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4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45190</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45190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45190</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45190</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45190</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45190</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45190</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45190</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45190</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45190</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45190</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45190</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45190</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45190</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45190</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45190</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45190</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45190</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45190</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45190</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45190</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45190</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45190</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45190</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45190</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45190</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45190</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45190</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45190</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45190</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45190</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45190</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45190</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45190</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45190</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45190</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45190</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45190</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45190</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45190</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45190</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45190</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45190</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45190</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45190</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45190</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45190</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45190</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45190</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45190</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45190</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45190</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45190</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45190</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45190</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45190</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45190</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45190</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45190</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49053-2018</t>
        </is>
      </c>
      <c r="B61" s="1" t="n">
        <v>43374</v>
      </c>
      <c r="C61" s="1" t="n">
        <v>45190</v>
      </c>
      <c r="D61" t="inlineStr">
        <is>
          <t>SKÅNE LÄN</t>
        </is>
      </c>
      <c r="E61" t="inlineStr">
        <is>
          <t>YSTAD</t>
        </is>
      </c>
      <c r="G61" t="n">
        <v>10.4</v>
      </c>
      <c r="H61" t="n">
        <v>1</v>
      </c>
      <c r="I61" t="n">
        <v>1</v>
      </c>
      <c r="J61" t="n">
        <v>1</v>
      </c>
      <c r="K61" t="n">
        <v>0</v>
      </c>
      <c r="L61" t="n">
        <v>0</v>
      </c>
      <c r="M61" t="n">
        <v>0</v>
      </c>
      <c r="N61" t="n">
        <v>0</v>
      </c>
      <c r="O61" t="n">
        <v>1</v>
      </c>
      <c r="P61" t="n">
        <v>0</v>
      </c>
      <c r="Q61" t="n">
        <v>2</v>
      </c>
      <c r="R61" s="2" t="inlineStr">
        <is>
          <t>Spillkråka
Skuggsprötmossa</t>
        </is>
      </c>
      <c r="S61">
        <f>HYPERLINK("https://klasma.github.io/Logging_YSTAD/artfynd/A 49053-2018.xlsx", "A 49053-2018")</f>
        <v/>
      </c>
      <c r="T61">
        <f>HYPERLINK("https://klasma.github.io/Logging_YSTAD/kartor/A 49053-2018.png", "A 49053-2018")</f>
        <v/>
      </c>
      <c r="V61">
        <f>HYPERLINK("https://klasma.github.io/Logging_YSTAD/klagomål/A 49053-2018.docx", "A 49053-2018")</f>
        <v/>
      </c>
      <c r="W61">
        <f>HYPERLINK("https://klasma.github.io/Logging_YSTAD/klagomålsmail/A 49053-2018.docx", "A 49053-2018")</f>
        <v/>
      </c>
      <c r="X61">
        <f>HYPERLINK("https://klasma.github.io/Logging_YSTAD/tillsyn/A 49053-2018.docx", "A 49053-2018")</f>
        <v/>
      </c>
      <c r="Y61">
        <f>HYPERLINK("https://klasma.github.io/Logging_YSTAD/tillsynsmail/A 49053-2018.docx", "A 49053-2018")</f>
        <v/>
      </c>
    </row>
    <row r="62" ht="15" customHeight="1">
      <c r="A62" t="inlineStr">
        <is>
          <t>A 62306-2018</t>
        </is>
      </c>
      <c r="B62" s="1" t="n">
        <v>43413</v>
      </c>
      <c r="C62" s="1" t="n">
        <v>45190</v>
      </c>
      <c r="D62" t="inlineStr">
        <is>
          <t>SKÅNE LÄN</t>
        </is>
      </c>
      <c r="E62" t="inlineStr">
        <is>
          <t>ESLÖV</t>
        </is>
      </c>
      <c r="G62" t="n">
        <v>20.9</v>
      </c>
      <c r="H62" t="n">
        <v>1</v>
      </c>
      <c r="I62" t="n">
        <v>1</v>
      </c>
      <c r="J62" t="n">
        <v>1</v>
      </c>
      <c r="K62" t="n">
        <v>0</v>
      </c>
      <c r="L62" t="n">
        <v>0</v>
      </c>
      <c r="M62" t="n">
        <v>0</v>
      </c>
      <c r="N62" t="n">
        <v>0</v>
      </c>
      <c r="O62" t="n">
        <v>1</v>
      </c>
      <c r="P62" t="n">
        <v>0</v>
      </c>
      <c r="Q62" t="n">
        <v>2</v>
      </c>
      <c r="R62" s="2" t="inlineStr">
        <is>
          <t>Spillkråka
Myskmadra</t>
        </is>
      </c>
      <c r="S62">
        <f>HYPERLINK("https://klasma.github.io/Logging_ESLOV/artfynd/A 62306-2018.xlsx", "A 62306-2018")</f>
        <v/>
      </c>
      <c r="T62">
        <f>HYPERLINK("https://klasma.github.io/Logging_ESLOV/kartor/A 62306-2018.png", "A 62306-2018")</f>
        <v/>
      </c>
      <c r="V62">
        <f>HYPERLINK("https://klasma.github.io/Logging_ESLOV/klagomål/A 62306-2018.docx", "A 62306-2018")</f>
        <v/>
      </c>
      <c r="W62">
        <f>HYPERLINK("https://klasma.github.io/Logging_ESLOV/klagomålsmail/A 62306-2018.docx", "A 62306-2018")</f>
        <v/>
      </c>
      <c r="X62">
        <f>HYPERLINK("https://klasma.github.io/Logging_ESLOV/tillsyn/A 62306-2018.docx", "A 62306-2018")</f>
        <v/>
      </c>
      <c r="Y62">
        <f>HYPERLINK("https://klasma.github.io/Logging_ESLOV/tillsynsmail/A 62306-2018.docx", "A 62306-2018")</f>
        <v/>
      </c>
    </row>
    <row r="63" ht="15" customHeight="1">
      <c r="A63" t="inlineStr">
        <is>
          <t>A 8855-2019</t>
        </is>
      </c>
      <c r="B63" s="1" t="n">
        <v>43503</v>
      </c>
      <c r="C63" s="1" t="n">
        <v>45190</v>
      </c>
      <c r="D63" t="inlineStr">
        <is>
          <t>SKÅNE LÄN</t>
        </is>
      </c>
      <c r="E63" t="inlineStr">
        <is>
          <t>LUND</t>
        </is>
      </c>
      <c r="G63" t="n">
        <v>2.7</v>
      </c>
      <c r="H63" t="n">
        <v>1</v>
      </c>
      <c r="I63" t="n">
        <v>0</v>
      </c>
      <c r="J63" t="n">
        <v>1</v>
      </c>
      <c r="K63" t="n">
        <v>0</v>
      </c>
      <c r="L63" t="n">
        <v>0</v>
      </c>
      <c r="M63" t="n">
        <v>0</v>
      </c>
      <c r="N63" t="n">
        <v>0</v>
      </c>
      <c r="O63" t="n">
        <v>1</v>
      </c>
      <c r="P63" t="n">
        <v>0</v>
      </c>
      <c r="Q63" t="n">
        <v>2</v>
      </c>
      <c r="R63" s="2" t="inlineStr">
        <is>
          <t>Desmeknopp
Lövgroda</t>
        </is>
      </c>
      <c r="S63">
        <f>HYPERLINK("https://klasma.github.io/Logging_LUND/artfynd/A 8855-2019.xlsx", "A 8855-2019")</f>
        <v/>
      </c>
      <c r="T63">
        <f>HYPERLINK("https://klasma.github.io/Logging_LUND/kartor/A 8855-2019.png", "A 8855-2019")</f>
        <v/>
      </c>
      <c r="V63">
        <f>HYPERLINK("https://klasma.github.io/Logging_LUND/klagomål/A 8855-2019.docx", "A 8855-2019")</f>
        <v/>
      </c>
      <c r="W63">
        <f>HYPERLINK("https://klasma.github.io/Logging_LUND/klagomålsmail/A 8855-2019.docx", "A 8855-2019")</f>
        <v/>
      </c>
      <c r="X63">
        <f>HYPERLINK("https://klasma.github.io/Logging_LUND/tillsyn/A 8855-2019.docx", "A 8855-2019")</f>
        <v/>
      </c>
      <c r="Y63">
        <f>HYPERLINK("https://klasma.github.io/Logging_LUND/tillsynsmail/A 8855-2019.docx", "A 8855-2019")</f>
        <v/>
      </c>
    </row>
    <row r="64" ht="15" customHeight="1">
      <c r="A64" t="inlineStr">
        <is>
          <t>A 15597-2019</t>
        </is>
      </c>
      <c r="B64" s="1" t="n">
        <v>43543</v>
      </c>
      <c r="C64" s="1" t="n">
        <v>45190</v>
      </c>
      <c r="D64" t="inlineStr">
        <is>
          <t>SKÅNE LÄN</t>
        </is>
      </c>
      <c r="E64" t="inlineStr">
        <is>
          <t>KRISTIANSTAD</t>
        </is>
      </c>
      <c r="F64" t="inlineStr">
        <is>
          <t>Övriga Aktiebolag</t>
        </is>
      </c>
      <c r="G64" t="n">
        <v>5</v>
      </c>
      <c r="H64" t="n">
        <v>0</v>
      </c>
      <c r="I64" t="n">
        <v>2</v>
      </c>
      <c r="J64" t="n">
        <v>0</v>
      </c>
      <c r="K64" t="n">
        <v>0</v>
      </c>
      <c r="L64" t="n">
        <v>0</v>
      </c>
      <c r="M64" t="n">
        <v>0</v>
      </c>
      <c r="N64" t="n">
        <v>0</v>
      </c>
      <c r="O64" t="n">
        <v>0</v>
      </c>
      <c r="P64" t="n">
        <v>0</v>
      </c>
      <c r="Q64" t="n">
        <v>2</v>
      </c>
      <c r="R64" s="2" t="inlineStr">
        <is>
          <t>Liten stinksvamp
Rutbläcksvamp</t>
        </is>
      </c>
      <c r="S64">
        <f>HYPERLINK("https://klasma.github.io/Logging_KRISTIANSTAD/artfynd/A 15597-2019.xlsx", "A 15597-2019")</f>
        <v/>
      </c>
      <c r="T64">
        <f>HYPERLINK("https://klasma.github.io/Logging_KRISTIANSTAD/kartor/A 15597-2019.png", "A 15597-2019")</f>
        <v/>
      </c>
      <c r="V64">
        <f>HYPERLINK("https://klasma.github.io/Logging_KRISTIANSTAD/klagomål/A 15597-2019.docx", "A 15597-2019")</f>
        <v/>
      </c>
      <c r="W64">
        <f>HYPERLINK("https://klasma.github.io/Logging_KRISTIANSTAD/klagomålsmail/A 15597-2019.docx", "A 15597-2019")</f>
        <v/>
      </c>
      <c r="X64">
        <f>HYPERLINK("https://klasma.github.io/Logging_KRISTIANSTAD/tillsyn/A 15597-2019.docx", "A 15597-2019")</f>
        <v/>
      </c>
      <c r="Y64">
        <f>HYPERLINK("https://klasma.github.io/Logging_KRISTIANSTAD/tillsynsmail/A 15597-2019.docx", "A 15597-2019")</f>
        <v/>
      </c>
    </row>
    <row r="65" ht="15" customHeight="1">
      <c r="A65" t="inlineStr">
        <is>
          <t>A 28059-2019</t>
        </is>
      </c>
      <c r="B65" s="1" t="n">
        <v>43612</v>
      </c>
      <c r="C65" s="1" t="n">
        <v>45190</v>
      </c>
      <c r="D65" t="inlineStr">
        <is>
          <t>SKÅNE LÄN</t>
        </is>
      </c>
      <c r="E65" t="inlineStr">
        <is>
          <t>SJÖBO</t>
        </is>
      </c>
      <c r="G65" t="n">
        <v>4.4</v>
      </c>
      <c r="H65" t="n">
        <v>0</v>
      </c>
      <c r="I65" t="n">
        <v>0</v>
      </c>
      <c r="J65" t="n">
        <v>0</v>
      </c>
      <c r="K65" t="n">
        <v>0</v>
      </c>
      <c r="L65" t="n">
        <v>1</v>
      </c>
      <c r="M65" t="n">
        <v>1</v>
      </c>
      <c r="N65" t="n">
        <v>0</v>
      </c>
      <c r="O65" t="n">
        <v>2</v>
      </c>
      <c r="P65" t="n">
        <v>2</v>
      </c>
      <c r="Q65" t="n">
        <v>2</v>
      </c>
      <c r="R65" s="2" t="inlineStr">
        <is>
          <t>Skogsalm
Ask</t>
        </is>
      </c>
      <c r="S65">
        <f>HYPERLINK("https://klasma.github.io/Logging_SJOBO/artfynd/A 28059-2019.xlsx", "A 28059-2019")</f>
        <v/>
      </c>
      <c r="T65">
        <f>HYPERLINK("https://klasma.github.io/Logging_SJOBO/kartor/A 28059-2019.png", "A 28059-2019")</f>
        <v/>
      </c>
      <c r="V65">
        <f>HYPERLINK("https://klasma.github.io/Logging_SJOBO/klagomål/A 28059-2019.docx", "A 28059-2019")</f>
        <v/>
      </c>
      <c r="W65">
        <f>HYPERLINK("https://klasma.github.io/Logging_SJOBO/klagomålsmail/A 28059-2019.docx", "A 28059-2019")</f>
        <v/>
      </c>
      <c r="X65">
        <f>HYPERLINK("https://klasma.github.io/Logging_SJOBO/tillsyn/A 28059-2019.docx", "A 28059-2019")</f>
        <v/>
      </c>
      <c r="Y65">
        <f>HYPERLINK("https://klasma.github.io/Logging_SJOBO/tillsynsmail/A 28059-2019.docx", "A 28059-2019")</f>
        <v/>
      </c>
    </row>
    <row r="66" ht="15" customHeight="1">
      <c r="A66" t="inlineStr">
        <is>
          <t>A 30713-2019</t>
        </is>
      </c>
      <c r="B66" s="1" t="n">
        <v>43636</v>
      </c>
      <c r="C66" s="1" t="n">
        <v>45190</v>
      </c>
      <c r="D66" t="inlineStr">
        <is>
          <t>SKÅNE LÄN</t>
        </is>
      </c>
      <c r="E66" t="inlineStr">
        <is>
          <t>SVEDALA</t>
        </is>
      </c>
      <c r="G66" t="n">
        <v>2</v>
      </c>
      <c r="H66" t="n">
        <v>0</v>
      </c>
      <c r="I66" t="n">
        <v>2</v>
      </c>
      <c r="J66" t="n">
        <v>0</v>
      </c>
      <c r="K66" t="n">
        <v>0</v>
      </c>
      <c r="L66" t="n">
        <v>0</v>
      </c>
      <c r="M66" t="n">
        <v>0</v>
      </c>
      <c r="N66" t="n">
        <v>0</v>
      </c>
      <c r="O66" t="n">
        <v>0</v>
      </c>
      <c r="P66" t="n">
        <v>0</v>
      </c>
      <c r="Q66" t="n">
        <v>2</v>
      </c>
      <c r="R66" s="2" t="inlineStr">
        <is>
          <t>Kragjordstjärna
Stor häxört</t>
        </is>
      </c>
      <c r="S66">
        <f>HYPERLINK("https://klasma.github.io/Logging_SVEDALA/artfynd/A 30713-2019.xlsx", "A 30713-2019")</f>
        <v/>
      </c>
      <c r="T66">
        <f>HYPERLINK("https://klasma.github.io/Logging_SVEDALA/kartor/A 30713-2019.png", "A 30713-2019")</f>
        <v/>
      </c>
      <c r="V66">
        <f>HYPERLINK("https://klasma.github.io/Logging_SVEDALA/klagomål/A 30713-2019.docx", "A 30713-2019")</f>
        <v/>
      </c>
      <c r="W66">
        <f>HYPERLINK("https://klasma.github.io/Logging_SVEDALA/klagomålsmail/A 30713-2019.docx", "A 30713-2019")</f>
        <v/>
      </c>
      <c r="X66">
        <f>HYPERLINK("https://klasma.github.io/Logging_SVEDALA/tillsyn/A 30713-2019.docx", "A 30713-2019")</f>
        <v/>
      </c>
      <c r="Y66">
        <f>HYPERLINK("https://klasma.github.io/Logging_SVEDALA/tillsynsmail/A 30713-2019.docx", "A 30713-2019")</f>
        <v/>
      </c>
    </row>
    <row r="67" ht="15" customHeight="1">
      <c r="A67" t="inlineStr">
        <is>
          <t>A 38525-2019</t>
        </is>
      </c>
      <c r="B67" s="1" t="n">
        <v>43682</v>
      </c>
      <c r="C67" s="1" t="n">
        <v>45190</v>
      </c>
      <c r="D67" t="inlineStr">
        <is>
          <t>SKÅNE LÄN</t>
        </is>
      </c>
      <c r="E67" t="inlineStr">
        <is>
          <t>HÖRBY</t>
        </is>
      </c>
      <c r="G67" t="n">
        <v>0.3</v>
      </c>
      <c r="H67" t="n">
        <v>1</v>
      </c>
      <c r="I67" t="n">
        <v>0</v>
      </c>
      <c r="J67" t="n">
        <v>0</v>
      </c>
      <c r="K67" t="n">
        <v>0</v>
      </c>
      <c r="L67" t="n">
        <v>1</v>
      </c>
      <c r="M67" t="n">
        <v>0</v>
      </c>
      <c r="N67" t="n">
        <v>0</v>
      </c>
      <c r="O67" t="n">
        <v>1</v>
      </c>
      <c r="P67" t="n">
        <v>1</v>
      </c>
      <c r="Q67" t="n">
        <v>2</v>
      </c>
      <c r="R67" s="2" t="inlineStr">
        <is>
          <t>Ask
Blåsippa</t>
        </is>
      </c>
      <c r="S67">
        <f>HYPERLINK("https://klasma.github.io/Logging_HORBY/artfynd/A 38525-2019.xlsx", "A 38525-2019")</f>
        <v/>
      </c>
      <c r="T67">
        <f>HYPERLINK("https://klasma.github.io/Logging_HORBY/kartor/A 38525-2019.png", "A 38525-2019")</f>
        <v/>
      </c>
      <c r="V67">
        <f>HYPERLINK("https://klasma.github.io/Logging_HORBY/klagomål/A 38525-2019.docx", "A 38525-2019")</f>
        <v/>
      </c>
      <c r="W67">
        <f>HYPERLINK("https://klasma.github.io/Logging_HORBY/klagomålsmail/A 38525-2019.docx", "A 38525-2019")</f>
        <v/>
      </c>
      <c r="X67">
        <f>HYPERLINK("https://klasma.github.io/Logging_HORBY/tillsyn/A 38525-2019.docx", "A 38525-2019")</f>
        <v/>
      </c>
      <c r="Y67">
        <f>HYPERLINK("https://klasma.github.io/Logging_HORBY/tillsynsmail/A 38525-2019.docx", "A 38525-2019")</f>
        <v/>
      </c>
    </row>
    <row r="68" ht="15" customHeight="1">
      <c r="A68" t="inlineStr">
        <is>
          <t>A 43229-2019</t>
        </is>
      </c>
      <c r="B68" s="1" t="n">
        <v>43700</v>
      </c>
      <c r="C68" s="1" t="n">
        <v>45190</v>
      </c>
      <c r="D68" t="inlineStr">
        <is>
          <t>SKÅNE LÄN</t>
        </is>
      </c>
      <c r="E68" t="inlineStr">
        <is>
          <t>LUND</t>
        </is>
      </c>
      <c r="G68" t="n">
        <v>12.3</v>
      </c>
      <c r="H68" t="n">
        <v>2</v>
      </c>
      <c r="I68" t="n">
        <v>0</v>
      </c>
      <c r="J68" t="n">
        <v>1</v>
      </c>
      <c r="K68" t="n">
        <v>0</v>
      </c>
      <c r="L68" t="n">
        <v>0</v>
      </c>
      <c r="M68" t="n">
        <v>0</v>
      </c>
      <c r="N68" t="n">
        <v>0</v>
      </c>
      <c r="O68" t="n">
        <v>1</v>
      </c>
      <c r="P68" t="n">
        <v>0</v>
      </c>
      <c r="Q68" t="n">
        <v>2</v>
      </c>
      <c r="R68" s="2" t="inlineStr">
        <is>
          <t>Spillkråka
Ätlig groda</t>
        </is>
      </c>
      <c r="S68">
        <f>HYPERLINK("https://klasma.github.io/Logging_LUND/artfynd/A 43229-2019.xlsx", "A 43229-2019")</f>
        <v/>
      </c>
      <c r="T68">
        <f>HYPERLINK("https://klasma.github.io/Logging_LUND/kartor/A 43229-2019.png", "A 43229-2019")</f>
        <v/>
      </c>
      <c r="V68">
        <f>HYPERLINK("https://klasma.github.io/Logging_LUND/klagomål/A 43229-2019.docx", "A 43229-2019")</f>
        <v/>
      </c>
      <c r="W68">
        <f>HYPERLINK("https://klasma.github.io/Logging_LUND/klagomålsmail/A 43229-2019.docx", "A 43229-2019")</f>
        <v/>
      </c>
      <c r="X68">
        <f>HYPERLINK("https://klasma.github.io/Logging_LUND/tillsyn/A 43229-2019.docx", "A 43229-2019")</f>
        <v/>
      </c>
      <c r="Y68">
        <f>HYPERLINK("https://klasma.github.io/Logging_LUND/tillsynsmail/A 43229-2019.docx", "A 43229-2019")</f>
        <v/>
      </c>
    </row>
    <row r="69" ht="15" customHeight="1">
      <c r="A69" t="inlineStr">
        <is>
          <t>A 48597-2019</t>
        </is>
      </c>
      <c r="B69" s="1" t="n">
        <v>43727</v>
      </c>
      <c r="C69" s="1" t="n">
        <v>45190</v>
      </c>
      <c r="D69" t="inlineStr">
        <is>
          <t>SKÅNE LÄN</t>
        </is>
      </c>
      <c r="E69" t="inlineStr">
        <is>
          <t>ÄNGELHOLM</t>
        </is>
      </c>
      <c r="G69" t="n">
        <v>3.8</v>
      </c>
      <c r="H69" t="n">
        <v>0</v>
      </c>
      <c r="I69" t="n">
        <v>0</v>
      </c>
      <c r="J69" t="n">
        <v>1</v>
      </c>
      <c r="K69" t="n">
        <v>1</v>
      </c>
      <c r="L69" t="n">
        <v>0</v>
      </c>
      <c r="M69" t="n">
        <v>0</v>
      </c>
      <c r="N69" t="n">
        <v>0</v>
      </c>
      <c r="O69" t="n">
        <v>2</v>
      </c>
      <c r="P69" t="n">
        <v>1</v>
      </c>
      <c r="Q69" t="n">
        <v>2</v>
      </c>
      <c r="R69" s="2" t="inlineStr">
        <is>
          <t>Bjärebjörnbär
Skånebjörnbär</t>
        </is>
      </c>
      <c r="S69">
        <f>HYPERLINK("https://klasma.github.io/Logging_ANGELHOLM/artfynd/A 48597-2019.xlsx", "A 48597-2019")</f>
        <v/>
      </c>
      <c r="T69">
        <f>HYPERLINK("https://klasma.github.io/Logging_ANGELHOLM/kartor/A 48597-2019.png", "A 48597-2019")</f>
        <v/>
      </c>
      <c r="V69">
        <f>HYPERLINK("https://klasma.github.io/Logging_ANGELHOLM/klagomål/A 48597-2019.docx", "A 48597-2019")</f>
        <v/>
      </c>
      <c r="W69">
        <f>HYPERLINK("https://klasma.github.io/Logging_ANGELHOLM/klagomålsmail/A 48597-2019.docx", "A 48597-2019")</f>
        <v/>
      </c>
      <c r="X69">
        <f>HYPERLINK("https://klasma.github.io/Logging_ANGELHOLM/tillsyn/A 48597-2019.docx", "A 48597-2019")</f>
        <v/>
      </c>
      <c r="Y69">
        <f>HYPERLINK("https://klasma.github.io/Logging_ANGELHOLM/tillsynsmail/A 48597-2019.docx", "A 48597-2019")</f>
        <v/>
      </c>
    </row>
    <row r="70" ht="15" customHeight="1">
      <c r="A70" t="inlineStr">
        <is>
          <t>A 6547-2020</t>
        </is>
      </c>
      <c r="B70" s="1" t="n">
        <v>43866</v>
      </c>
      <c r="C70" s="1" t="n">
        <v>45190</v>
      </c>
      <c r="D70" t="inlineStr">
        <is>
          <t>SKÅNE LÄN</t>
        </is>
      </c>
      <c r="E70" t="inlineStr">
        <is>
          <t>HÖRBY</t>
        </is>
      </c>
      <c r="G70" t="n">
        <v>3.5</v>
      </c>
      <c r="H70" t="n">
        <v>0</v>
      </c>
      <c r="I70" t="n">
        <v>0</v>
      </c>
      <c r="J70" t="n">
        <v>1</v>
      </c>
      <c r="K70" t="n">
        <v>0</v>
      </c>
      <c r="L70" t="n">
        <v>1</v>
      </c>
      <c r="M70" t="n">
        <v>0</v>
      </c>
      <c r="N70" t="n">
        <v>0</v>
      </c>
      <c r="O70" t="n">
        <v>2</v>
      </c>
      <c r="P70" t="n">
        <v>1</v>
      </c>
      <c r="Q70" t="n">
        <v>2</v>
      </c>
      <c r="R70" s="2" t="inlineStr">
        <is>
          <t>Ask
Stor sotdyna</t>
        </is>
      </c>
      <c r="S70">
        <f>HYPERLINK("https://klasma.github.io/Logging_HORBY/artfynd/A 6547-2020.xlsx", "A 6547-2020")</f>
        <v/>
      </c>
      <c r="T70">
        <f>HYPERLINK("https://klasma.github.io/Logging_HORBY/kartor/A 6547-2020.png", "A 6547-2020")</f>
        <v/>
      </c>
      <c r="V70">
        <f>HYPERLINK("https://klasma.github.io/Logging_HORBY/klagomål/A 6547-2020.docx", "A 6547-2020")</f>
        <v/>
      </c>
      <c r="W70">
        <f>HYPERLINK("https://klasma.github.io/Logging_HORBY/klagomålsmail/A 6547-2020.docx", "A 6547-2020")</f>
        <v/>
      </c>
      <c r="X70">
        <f>HYPERLINK("https://klasma.github.io/Logging_HORBY/tillsyn/A 6547-2020.docx", "A 6547-2020")</f>
        <v/>
      </c>
      <c r="Y70">
        <f>HYPERLINK("https://klasma.github.io/Logging_HORBY/tillsynsmail/A 6547-2020.docx", "A 6547-2020")</f>
        <v/>
      </c>
    </row>
    <row r="71" ht="15" customHeight="1">
      <c r="A71" t="inlineStr">
        <is>
          <t>A 8861-2020</t>
        </is>
      </c>
      <c r="B71" s="1" t="n">
        <v>43878</v>
      </c>
      <c r="C71" s="1" t="n">
        <v>45190</v>
      </c>
      <c r="D71" t="inlineStr">
        <is>
          <t>SKÅNE LÄN</t>
        </is>
      </c>
      <c r="E71" t="inlineStr">
        <is>
          <t>HÄSSLEHOLM</t>
        </is>
      </c>
      <c r="G71" t="n">
        <v>10.5</v>
      </c>
      <c r="H71" t="n">
        <v>0</v>
      </c>
      <c r="I71" t="n">
        <v>2</v>
      </c>
      <c r="J71" t="n">
        <v>0</v>
      </c>
      <c r="K71" t="n">
        <v>0</v>
      </c>
      <c r="L71" t="n">
        <v>0</v>
      </c>
      <c r="M71" t="n">
        <v>0</v>
      </c>
      <c r="N71" t="n">
        <v>0</v>
      </c>
      <c r="O71" t="n">
        <v>0</v>
      </c>
      <c r="P71" t="n">
        <v>0</v>
      </c>
      <c r="Q71" t="n">
        <v>2</v>
      </c>
      <c r="R71" s="2" t="inlineStr">
        <is>
          <t>Bågpraktmossa
Västlig hakmossa</t>
        </is>
      </c>
      <c r="S71">
        <f>HYPERLINK("https://klasma.github.io/Logging_HASSLEHOLM/artfynd/A 8861-2020.xlsx", "A 8861-2020")</f>
        <v/>
      </c>
      <c r="T71">
        <f>HYPERLINK("https://klasma.github.io/Logging_HASSLEHOLM/kartor/A 8861-2020.png", "A 8861-2020")</f>
        <v/>
      </c>
      <c r="V71">
        <f>HYPERLINK("https://klasma.github.io/Logging_HASSLEHOLM/klagomål/A 8861-2020.docx", "A 8861-2020")</f>
        <v/>
      </c>
      <c r="W71">
        <f>HYPERLINK("https://klasma.github.io/Logging_HASSLEHOLM/klagomålsmail/A 8861-2020.docx", "A 8861-2020")</f>
        <v/>
      </c>
      <c r="X71">
        <f>HYPERLINK("https://klasma.github.io/Logging_HASSLEHOLM/tillsyn/A 8861-2020.docx", "A 8861-2020")</f>
        <v/>
      </c>
      <c r="Y71">
        <f>HYPERLINK("https://klasma.github.io/Logging_HASSLEHOLM/tillsynsmail/A 8861-2020.docx", "A 8861-2020")</f>
        <v/>
      </c>
    </row>
    <row r="72" ht="15" customHeight="1">
      <c r="A72" t="inlineStr">
        <is>
          <t>A 18228-2020</t>
        </is>
      </c>
      <c r="B72" s="1" t="n">
        <v>43928</v>
      </c>
      <c r="C72" s="1" t="n">
        <v>45190</v>
      </c>
      <c r="D72" t="inlineStr">
        <is>
          <t>SKÅNE LÄN</t>
        </is>
      </c>
      <c r="E72" t="inlineStr">
        <is>
          <t>SVEDALA</t>
        </is>
      </c>
      <c r="G72" t="n">
        <v>1.1</v>
      </c>
      <c r="H72" t="n">
        <v>0</v>
      </c>
      <c r="I72" t="n">
        <v>0</v>
      </c>
      <c r="J72" t="n">
        <v>1</v>
      </c>
      <c r="K72" t="n">
        <v>0</v>
      </c>
      <c r="L72" t="n">
        <v>1</v>
      </c>
      <c r="M72" t="n">
        <v>0</v>
      </c>
      <c r="N72" t="n">
        <v>0</v>
      </c>
      <c r="O72" t="n">
        <v>2</v>
      </c>
      <c r="P72" t="n">
        <v>1</v>
      </c>
      <c r="Q72" t="n">
        <v>2</v>
      </c>
      <c r="R72" s="2" t="inlineStr">
        <is>
          <t>Ädellav
Bokkantlav</t>
        </is>
      </c>
      <c r="S72">
        <f>HYPERLINK("https://klasma.github.io/Logging_SVEDALA/artfynd/A 18228-2020.xlsx", "A 18228-2020")</f>
        <v/>
      </c>
      <c r="T72">
        <f>HYPERLINK("https://klasma.github.io/Logging_SVEDALA/kartor/A 18228-2020.png", "A 18228-2020")</f>
        <v/>
      </c>
      <c r="V72">
        <f>HYPERLINK("https://klasma.github.io/Logging_SVEDALA/klagomål/A 18228-2020.docx", "A 18228-2020")</f>
        <v/>
      </c>
      <c r="W72">
        <f>HYPERLINK("https://klasma.github.io/Logging_SVEDALA/klagomålsmail/A 18228-2020.docx", "A 18228-2020")</f>
        <v/>
      </c>
      <c r="X72">
        <f>HYPERLINK("https://klasma.github.io/Logging_SVEDALA/tillsyn/A 18228-2020.docx", "A 18228-2020")</f>
        <v/>
      </c>
      <c r="Y72">
        <f>HYPERLINK("https://klasma.github.io/Logging_SVEDALA/tillsynsmail/A 18228-2020.docx", "A 18228-2020")</f>
        <v/>
      </c>
    </row>
    <row r="73" ht="15" customHeight="1">
      <c r="A73" t="inlineStr">
        <is>
          <t>A 58790-2020</t>
        </is>
      </c>
      <c r="B73" s="1" t="n">
        <v>44146</v>
      </c>
      <c r="C73" s="1" t="n">
        <v>45190</v>
      </c>
      <c r="D73" t="inlineStr">
        <is>
          <t>SKÅNE LÄN</t>
        </is>
      </c>
      <c r="E73" t="inlineStr">
        <is>
          <t>ÄNGELHOLM</t>
        </is>
      </c>
      <c r="G73" t="n">
        <v>2.9</v>
      </c>
      <c r="H73" t="n">
        <v>1</v>
      </c>
      <c r="I73" t="n">
        <v>1</v>
      </c>
      <c r="J73" t="n">
        <v>1</v>
      </c>
      <c r="K73" t="n">
        <v>0</v>
      </c>
      <c r="L73" t="n">
        <v>0</v>
      </c>
      <c r="M73" t="n">
        <v>0</v>
      </c>
      <c r="N73" t="n">
        <v>0</v>
      </c>
      <c r="O73" t="n">
        <v>1</v>
      </c>
      <c r="P73" t="n">
        <v>0</v>
      </c>
      <c r="Q73" t="n">
        <v>2</v>
      </c>
      <c r="R73" s="2" t="inlineStr">
        <is>
          <t>Entita
Skogsbräsma</t>
        </is>
      </c>
      <c r="S73">
        <f>HYPERLINK("https://klasma.github.io/Logging_ANGELHOLM/artfynd/A 58790-2020.xlsx", "A 58790-2020")</f>
        <v/>
      </c>
      <c r="T73">
        <f>HYPERLINK("https://klasma.github.io/Logging_ANGELHOLM/kartor/A 58790-2020.png", "A 58790-2020")</f>
        <v/>
      </c>
      <c r="V73">
        <f>HYPERLINK("https://klasma.github.io/Logging_ANGELHOLM/klagomål/A 58790-2020.docx", "A 58790-2020")</f>
        <v/>
      </c>
      <c r="W73">
        <f>HYPERLINK("https://klasma.github.io/Logging_ANGELHOLM/klagomålsmail/A 58790-2020.docx", "A 58790-2020")</f>
        <v/>
      </c>
      <c r="X73">
        <f>HYPERLINK("https://klasma.github.io/Logging_ANGELHOLM/tillsyn/A 58790-2020.docx", "A 58790-2020")</f>
        <v/>
      </c>
      <c r="Y73">
        <f>HYPERLINK("https://klasma.github.io/Logging_ANGELHOLM/tillsynsmail/A 58790-2020.docx", "A 58790-2020")</f>
        <v/>
      </c>
    </row>
    <row r="74" ht="15" customHeight="1">
      <c r="A74" t="inlineStr">
        <is>
          <t>A 60100-2020</t>
        </is>
      </c>
      <c r="B74" s="1" t="n">
        <v>44151</v>
      </c>
      <c r="C74" s="1" t="n">
        <v>45190</v>
      </c>
      <c r="D74" t="inlineStr">
        <is>
          <t>SKÅNE LÄN</t>
        </is>
      </c>
      <c r="E74" t="inlineStr">
        <is>
          <t>SJÖBO</t>
        </is>
      </c>
      <c r="G74" t="n">
        <v>5.7</v>
      </c>
      <c r="H74" t="n">
        <v>1</v>
      </c>
      <c r="I74" t="n">
        <v>2</v>
      </c>
      <c r="J74" t="n">
        <v>0</v>
      </c>
      <c r="K74" t="n">
        <v>0</v>
      </c>
      <c r="L74" t="n">
        <v>0</v>
      </c>
      <c r="M74" t="n">
        <v>0</v>
      </c>
      <c r="N74" t="n">
        <v>0</v>
      </c>
      <c r="O74" t="n">
        <v>0</v>
      </c>
      <c r="P74" t="n">
        <v>0</v>
      </c>
      <c r="Q74" t="n">
        <v>2</v>
      </c>
      <c r="R74" s="2" t="inlineStr">
        <is>
          <t>Skogsknipprot
Svart trolldruva</t>
        </is>
      </c>
      <c r="S74">
        <f>HYPERLINK("https://klasma.github.io/Logging_SJOBO/artfynd/A 60100-2020.xlsx", "A 60100-2020")</f>
        <v/>
      </c>
      <c r="T74">
        <f>HYPERLINK("https://klasma.github.io/Logging_SJOBO/kartor/A 60100-2020.png", "A 60100-2020")</f>
        <v/>
      </c>
      <c r="V74">
        <f>HYPERLINK("https://klasma.github.io/Logging_SJOBO/klagomål/A 60100-2020.docx", "A 60100-2020")</f>
        <v/>
      </c>
      <c r="W74">
        <f>HYPERLINK("https://klasma.github.io/Logging_SJOBO/klagomålsmail/A 60100-2020.docx", "A 60100-2020")</f>
        <v/>
      </c>
      <c r="X74">
        <f>HYPERLINK("https://klasma.github.io/Logging_SJOBO/tillsyn/A 60100-2020.docx", "A 60100-2020")</f>
        <v/>
      </c>
      <c r="Y74">
        <f>HYPERLINK("https://klasma.github.io/Logging_SJOBO/tillsynsmail/A 60100-2020.docx", "A 60100-2020")</f>
        <v/>
      </c>
    </row>
    <row r="75" ht="15" customHeight="1">
      <c r="A75" t="inlineStr">
        <is>
          <t>A 3853-2021</t>
        </is>
      </c>
      <c r="B75" s="1" t="n">
        <v>44222</v>
      </c>
      <c r="C75" s="1" t="n">
        <v>45190</v>
      </c>
      <c r="D75" t="inlineStr">
        <is>
          <t>SKÅNE LÄN</t>
        </is>
      </c>
      <c r="E75" t="inlineStr">
        <is>
          <t>ÖSTRA GÖINGE</t>
        </is>
      </c>
      <c r="G75" t="n">
        <v>1.4</v>
      </c>
      <c r="H75" t="n">
        <v>0</v>
      </c>
      <c r="I75" t="n">
        <v>2</v>
      </c>
      <c r="J75" t="n">
        <v>0</v>
      </c>
      <c r="K75" t="n">
        <v>0</v>
      </c>
      <c r="L75" t="n">
        <v>0</v>
      </c>
      <c r="M75" t="n">
        <v>0</v>
      </c>
      <c r="N75" t="n">
        <v>0</v>
      </c>
      <c r="O75" t="n">
        <v>0</v>
      </c>
      <c r="P75" t="n">
        <v>0</v>
      </c>
      <c r="Q75" t="n">
        <v>2</v>
      </c>
      <c r="R75" s="2" t="inlineStr">
        <is>
          <t>Guldlockmossa
Platt fjädermossa</t>
        </is>
      </c>
      <c r="S75">
        <f>HYPERLINK("https://klasma.github.io/Logging_OSTRA_GOINGE/artfynd/A 3853-2021.xlsx", "A 3853-2021")</f>
        <v/>
      </c>
      <c r="T75">
        <f>HYPERLINK("https://klasma.github.io/Logging_OSTRA_GOINGE/kartor/A 3853-2021.png", "A 3853-2021")</f>
        <v/>
      </c>
      <c r="V75">
        <f>HYPERLINK("https://klasma.github.io/Logging_OSTRA_GOINGE/klagomål/A 3853-2021.docx", "A 3853-2021")</f>
        <v/>
      </c>
      <c r="W75">
        <f>HYPERLINK("https://klasma.github.io/Logging_OSTRA_GOINGE/klagomålsmail/A 3853-2021.docx", "A 3853-2021")</f>
        <v/>
      </c>
      <c r="X75">
        <f>HYPERLINK("https://klasma.github.io/Logging_OSTRA_GOINGE/tillsyn/A 3853-2021.docx", "A 3853-2021")</f>
        <v/>
      </c>
      <c r="Y75">
        <f>HYPERLINK("https://klasma.github.io/Logging_OSTRA_GOINGE/tillsynsmail/A 3853-2021.docx", "A 3853-2021")</f>
        <v/>
      </c>
    </row>
    <row r="76" ht="15" customHeight="1">
      <c r="A76" t="inlineStr">
        <is>
          <t>A 5244-2021</t>
        </is>
      </c>
      <c r="B76" s="1" t="n">
        <v>44229</v>
      </c>
      <c r="C76" s="1" t="n">
        <v>45190</v>
      </c>
      <c r="D76" t="inlineStr">
        <is>
          <t>SKÅNE LÄN</t>
        </is>
      </c>
      <c r="E76" t="inlineStr">
        <is>
          <t>SVEDALA</t>
        </is>
      </c>
      <c r="G76" t="n">
        <v>5.3</v>
      </c>
      <c r="H76" t="n">
        <v>0</v>
      </c>
      <c r="I76" t="n">
        <v>1</v>
      </c>
      <c r="J76" t="n">
        <v>1</v>
      </c>
      <c r="K76" t="n">
        <v>0</v>
      </c>
      <c r="L76" t="n">
        <v>0</v>
      </c>
      <c r="M76" t="n">
        <v>0</v>
      </c>
      <c r="N76" t="n">
        <v>0</v>
      </c>
      <c r="O76" t="n">
        <v>1</v>
      </c>
      <c r="P76" t="n">
        <v>0</v>
      </c>
      <c r="Q76" t="n">
        <v>2</v>
      </c>
      <c r="R76" s="2" t="inlineStr">
        <is>
          <t>Koralltaggsvamp
Safsa</t>
        </is>
      </c>
      <c r="S76">
        <f>HYPERLINK("https://klasma.github.io/Logging_SVEDALA/artfynd/A 5244-2021.xlsx", "A 5244-2021")</f>
        <v/>
      </c>
      <c r="T76">
        <f>HYPERLINK("https://klasma.github.io/Logging_SVEDALA/kartor/A 5244-2021.png", "A 5244-2021")</f>
        <v/>
      </c>
      <c r="V76">
        <f>HYPERLINK("https://klasma.github.io/Logging_SVEDALA/klagomål/A 5244-2021.docx", "A 5244-2021")</f>
        <v/>
      </c>
      <c r="W76">
        <f>HYPERLINK("https://klasma.github.io/Logging_SVEDALA/klagomålsmail/A 5244-2021.docx", "A 5244-2021")</f>
        <v/>
      </c>
      <c r="X76">
        <f>HYPERLINK("https://klasma.github.io/Logging_SVEDALA/tillsyn/A 5244-2021.docx", "A 5244-2021")</f>
        <v/>
      </c>
      <c r="Y76">
        <f>HYPERLINK("https://klasma.github.io/Logging_SVEDALA/tillsynsmail/A 5244-2021.docx", "A 5244-2021")</f>
        <v/>
      </c>
    </row>
    <row r="77" ht="15" customHeight="1">
      <c r="A77" t="inlineStr">
        <is>
          <t>A 21117-2021</t>
        </is>
      </c>
      <c r="B77" s="1" t="n">
        <v>44319</v>
      </c>
      <c r="C77" s="1" t="n">
        <v>45190</v>
      </c>
      <c r="D77" t="inlineStr">
        <is>
          <t>SKÅNE LÄN</t>
        </is>
      </c>
      <c r="E77" t="inlineStr">
        <is>
          <t>KRISTIANSTAD</t>
        </is>
      </c>
      <c r="G77" t="n">
        <v>22</v>
      </c>
      <c r="H77" t="n">
        <v>1</v>
      </c>
      <c r="I77" t="n">
        <v>0</v>
      </c>
      <c r="J77" t="n">
        <v>0</v>
      </c>
      <c r="K77" t="n">
        <v>0</v>
      </c>
      <c r="L77" t="n">
        <v>1</v>
      </c>
      <c r="M77" t="n">
        <v>0</v>
      </c>
      <c r="N77" t="n">
        <v>0</v>
      </c>
      <c r="O77" t="n">
        <v>1</v>
      </c>
      <c r="P77" t="n">
        <v>1</v>
      </c>
      <c r="Q77" t="n">
        <v>2</v>
      </c>
      <c r="R77" s="2" t="inlineStr">
        <is>
          <t>Ryl
Revlummer</t>
        </is>
      </c>
      <c r="S77">
        <f>HYPERLINK("https://klasma.github.io/Logging_KRISTIANSTAD/artfynd/A 21117-2021.xlsx", "A 21117-2021")</f>
        <v/>
      </c>
      <c r="T77">
        <f>HYPERLINK("https://klasma.github.io/Logging_KRISTIANSTAD/kartor/A 21117-2021.png", "A 21117-2021")</f>
        <v/>
      </c>
      <c r="V77">
        <f>HYPERLINK("https://klasma.github.io/Logging_KRISTIANSTAD/klagomål/A 21117-2021.docx", "A 21117-2021")</f>
        <v/>
      </c>
      <c r="W77">
        <f>HYPERLINK("https://klasma.github.io/Logging_KRISTIANSTAD/klagomålsmail/A 21117-2021.docx", "A 21117-2021")</f>
        <v/>
      </c>
      <c r="X77">
        <f>HYPERLINK("https://klasma.github.io/Logging_KRISTIANSTAD/tillsyn/A 21117-2021.docx", "A 21117-2021")</f>
        <v/>
      </c>
      <c r="Y77">
        <f>HYPERLINK("https://klasma.github.io/Logging_KRISTIANSTAD/tillsynsmail/A 21117-2021.docx", "A 21117-2021")</f>
        <v/>
      </c>
    </row>
    <row r="78" ht="15" customHeight="1">
      <c r="A78" t="inlineStr">
        <is>
          <t>A 22968-2021</t>
        </is>
      </c>
      <c r="B78" s="1" t="n">
        <v>44328</v>
      </c>
      <c r="C78" s="1" t="n">
        <v>45190</v>
      </c>
      <c r="D78" t="inlineStr">
        <is>
          <t>SKÅNE LÄN</t>
        </is>
      </c>
      <c r="E78" t="inlineStr">
        <is>
          <t>KRISTIANSTAD</t>
        </is>
      </c>
      <c r="G78" t="n">
        <v>1.1</v>
      </c>
      <c r="H78" t="n">
        <v>0</v>
      </c>
      <c r="I78" t="n">
        <v>0</v>
      </c>
      <c r="J78" t="n">
        <v>1</v>
      </c>
      <c r="K78" t="n">
        <v>0</v>
      </c>
      <c r="L78" t="n">
        <v>1</v>
      </c>
      <c r="M78" t="n">
        <v>0</v>
      </c>
      <c r="N78" t="n">
        <v>0</v>
      </c>
      <c r="O78" t="n">
        <v>2</v>
      </c>
      <c r="P78" t="n">
        <v>1</v>
      </c>
      <c r="Q78" t="n">
        <v>2</v>
      </c>
      <c r="R78" s="2" t="inlineStr">
        <is>
          <t>Prakttagging
Tallticka</t>
        </is>
      </c>
      <c r="S78">
        <f>HYPERLINK("https://klasma.github.io/Logging_KRISTIANSTAD/artfynd/A 22968-2021.xlsx", "A 22968-2021")</f>
        <v/>
      </c>
      <c r="T78">
        <f>HYPERLINK("https://klasma.github.io/Logging_KRISTIANSTAD/kartor/A 22968-2021.png", "A 22968-2021")</f>
        <v/>
      </c>
      <c r="V78">
        <f>HYPERLINK("https://klasma.github.io/Logging_KRISTIANSTAD/klagomål/A 22968-2021.docx", "A 22968-2021")</f>
        <v/>
      </c>
      <c r="W78">
        <f>HYPERLINK("https://klasma.github.io/Logging_KRISTIANSTAD/klagomålsmail/A 22968-2021.docx", "A 22968-2021")</f>
        <v/>
      </c>
      <c r="X78">
        <f>HYPERLINK("https://klasma.github.io/Logging_KRISTIANSTAD/tillsyn/A 22968-2021.docx", "A 22968-2021")</f>
        <v/>
      </c>
      <c r="Y78">
        <f>HYPERLINK("https://klasma.github.io/Logging_KRISTIANSTAD/tillsynsmail/A 22968-2021.docx", "A 22968-2021")</f>
        <v/>
      </c>
    </row>
    <row r="79" ht="15" customHeight="1">
      <c r="A79" t="inlineStr">
        <is>
          <t>A 28124-2021</t>
        </is>
      </c>
      <c r="B79" s="1" t="n">
        <v>44355</v>
      </c>
      <c r="C79" s="1" t="n">
        <v>45190</v>
      </c>
      <c r="D79" t="inlineStr">
        <is>
          <t>SKÅNE LÄN</t>
        </is>
      </c>
      <c r="E79" t="inlineStr">
        <is>
          <t>TOMELILLA</t>
        </is>
      </c>
      <c r="F79" t="inlineStr">
        <is>
          <t>Övriga Aktiebolag</t>
        </is>
      </c>
      <c r="G79" t="n">
        <v>7.4</v>
      </c>
      <c r="H79" t="n">
        <v>0</v>
      </c>
      <c r="I79" t="n">
        <v>1</v>
      </c>
      <c r="J79" t="n">
        <v>1</v>
      </c>
      <c r="K79" t="n">
        <v>0</v>
      </c>
      <c r="L79" t="n">
        <v>0</v>
      </c>
      <c r="M79" t="n">
        <v>0</v>
      </c>
      <c r="N79" t="n">
        <v>0</v>
      </c>
      <c r="O79" t="n">
        <v>1</v>
      </c>
      <c r="P79" t="n">
        <v>0</v>
      </c>
      <c r="Q79" t="n">
        <v>2</v>
      </c>
      <c r="R79" s="2" t="inlineStr">
        <is>
          <t>Bokvårtlav
Guldlockmossa</t>
        </is>
      </c>
      <c r="S79">
        <f>HYPERLINK("https://klasma.github.io/Logging_TOMELILLA/artfynd/A 28124-2021.xlsx", "A 28124-2021")</f>
        <v/>
      </c>
      <c r="T79">
        <f>HYPERLINK("https://klasma.github.io/Logging_TOMELILLA/kartor/A 28124-2021.png", "A 28124-2021")</f>
        <v/>
      </c>
      <c r="V79">
        <f>HYPERLINK("https://klasma.github.io/Logging_TOMELILLA/klagomål/A 28124-2021.docx", "A 28124-2021")</f>
        <v/>
      </c>
      <c r="W79">
        <f>HYPERLINK("https://klasma.github.io/Logging_TOMELILLA/klagomålsmail/A 28124-2021.docx", "A 28124-2021")</f>
        <v/>
      </c>
      <c r="X79">
        <f>HYPERLINK("https://klasma.github.io/Logging_TOMELILLA/tillsyn/A 28124-2021.docx", "A 28124-2021")</f>
        <v/>
      </c>
      <c r="Y79">
        <f>HYPERLINK("https://klasma.github.io/Logging_TOMELILLA/tillsynsmail/A 28124-2021.docx", "A 28124-2021")</f>
        <v/>
      </c>
    </row>
    <row r="80" ht="15" customHeight="1">
      <c r="A80" t="inlineStr">
        <is>
          <t>A 39121-2021</t>
        </is>
      </c>
      <c r="B80" s="1" t="n">
        <v>44412</v>
      </c>
      <c r="C80" s="1" t="n">
        <v>45190</v>
      </c>
      <c r="D80" t="inlineStr">
        <is>
          <t>SKÅNE LÄN</t>
        </is>
      </c>
      <c r="E80" t="inlineStr">
        <is>
          <t>SIMRISHAMN</t>
        </is>
      </c>
      <c r="G80" t="n">
        <v>1</v>
      </c>
      <c r="H80" t="n">
        <v>2</v>
      </c>
      <c r="I80" t="n">
        <v>0</v>
      </c>
      <c r="J80" t="n">
        <v>0</v>
      </c>
      <c r="K80" t="n">
        <v>0</v>
      </c>
      <c r="L80" t="n">
        <v>0</v>
      </c>
      <c r="M80" t="n">
        <v>0</v>
      </c>
      <c r="N80" t="n">
        <v>0</v>
      </c>
      <c r="O80" t="n">
        <v>0</v>
      </c>
      <c r="P80" t="n">
        <v>0</v>
      </c>
      <c r="Q80" t="n">
        <v>2</v>
      </c>
      <c r="R80" s="2" t="inlineStr">
        <is>
          <t>Lövgroda
Större vattensalamander</t>
        </is>
      </c>
      <c r="S80">
        <f>HYPERLINK("https://klasma.github.io/Logging_SIMRISHAMN/artfynd/A 39121-2021.xlsx", "A 39121-2021")</f>
        <v/>
      </c>
      <c r="T80">
        <f>HYPERLINK("https://klasma.github.io/Logging_SIMRISHAMN/kartor/A 39121-2021.png", "A 39121-2021")</f>
        <v/>
      </c>
      <c r="V80">
        <f>HYPERLINK("https://klasma.github.io/Logging_SIMRISHAMN/klagomål/A 39121-2021.docx", "A 39121-2021")</f>
        <v/>
      </c>
      <c r="W80">
        <f>HYPERLINK("https://klasma.github.io/Logging_SIMRISHAMN/klagomålsmail/A 39121-2021.docx", "A 39121-2021")</f>
        <v/>
      </c>
      <c r="X80">
        <f>HYPERLINK("https://klasma.github.io/Logging_SIMRISHAMN/tillsyn/A 39121-2021.docx", "A 39121-2021")</f>
        <v/>
      </c>
      <c r="Y80">
        <f>HYPERLINK("https://klasma.github.io/Logging_SIMRISHAMN/tillsynsmail/A 39121-2021.docx", "A 39121-2021")</f>
        <v/>
      </c>
    </row>
    <row r="81" ht="15" customHeight="1">
      <c r="A81" t="inlineStr">
        <is>
          <t>A 40999-2021</t>
        </is>
      </c>
      <c r="B81" s="1" t="n">
        <v>44421</v>
      </c>
      <c r="C81" s="1" t="n">
        <v>45190</v>
      </c>
      <c r="D81" t="inlineStr">
        <is>
          <t>SKÅNE LÄN</t>
        </is>
      </c>
      <c r="E81" t="inlineStr">
        <is>
          <t>LUND</t>
        </is>
      </c>
      <c r="G81" t="n">
        <v>4.4</v>
      </c>
      <c r="H81" t="n">
        <v>2</v>
      </c>
      <c r="I81" t="n">
        <v>0</v>
      </c>
      <c r="J81" t="n">
        <v>2</v>
      </c>
      <c r="K81" t="n">
        <v>0</v>
      </c>
      <c r="L81" t="n">
        <v>0</v>
      </c>
      <c r="M81" t="n">
        <v>0</v>
      </c>
      <c r="N81" t="n">
        <v>0</v>
      </c>
      <c r="O81" t="n">
        <v>2</v>
      </c>
      <c r="P81" t="n">
        <v>0</v>
      </c>
      <c r="Q81" t="n">
        <v>2</v>
      </c>
      <c r="R81" s="2" t="inlineStr">
        <is>
          <t>Spillkråka
Talltita</t>
        </is>
      </c>
      <c r="S81">
        <f>HYPERLINK("https://klasma.github.io/Logging_LUND/artfynd/A 40999-2021.xlsx", "A 40999-2021")</f>
        <v/>
      </c>
      <c r="T81">
        <f>HYPERLINK("https://klasma.github.io/Logging_LUND/kartor/A 40999-2021.png", "A 40999-2021")</f>
        <v/>
      </c>
      <c r="V81">
        <f>HYPERLINK("https://klasma.github.io/Logging_LUND/klagomål/A 40999-2021.docx", "A 40999-2021")</f>
        <v/>
      </c>
      <c r="W81">
        <f>HYPERLINK("https://klasma.github.io/Logging_LUND/klagomålsmail/A 40999-2021.docx", "A 40999-2021")</f>
        <v/>
      </c>
      <c r="X81">
        <f>HYPERLINK("https://klasma.github.io/Logging_LUND/tillsyn/A 40999-2021.docx", "A 40999-2021")</f>
        <v/>
      </c>
      <c r="Y81">
        <f>HYPERLINK("https://klasma.github.io/Logging_LUND/tillsynsmail/A 40999-2021.docx", "A 40999-2021")</f>
        <v/>
      </c>
    </row>
    <row r="82" ht="15" customHeight="1">
      <c r="A82" t="inlineStr">
        <is>
          <t>A 44167-2021</t>
        </is>
      </c>
      <c r="B82" s="1" t="n">
        <v>44434</v>
      </c>
      <c r="C82" s="1" t="n">
        <v>45190</v>
      </c>
      <c r="D82" t="inlineStr">
        <is>
          <t>SKÅNE LÄN</t>
        </is>
      </c>
      <c r="E82" t="inlineStr">
        <is>
          <t>HÄSSLEHOLM</t>
        </is>
      </c>
      <c r="G82" t="n">
        <v>0.7</v>
      </c>
      <c r="H82" t="n">
        <v>0</v>
      </c>
      <c r="I82" t="n">
        <v>1</v>
      </c>
      <c r="J82" t="n">
        <v>0</v>
      </c>
      <c r="K82" t="n">
        <v>0</v>
      </c>
      <c r="L82" t="n">
        <v>0</v>
      </c>
      <c r="M82" t="n">
        <v>1</v>
      </c>
      <c r="N82" t="n">
        <v>0</v>
      </c>
      <c r="O82" t="n">
        <v>1</v>
      </c>
      <c r="P82" t="n">
        <v>1</v>
      </c>
      <c r="Q82" t="n">
        <v>2</v>
      </c>
      <c r="R82" s="2" t="inlineStr">
        <is>
          <t>Naverlönn
Platt fjädermossa</t>
        </is>
      </c>
      <c r="S82">
        <f>HYPERLINK("https://klasma.github.io/Logging_HASSLEHOLM/artfynd/A 44167-2021.xlsx", "A 44167-2021")</f>
        <v/>
      </c>
      <c r="T82">
        <f>HYPERLINK("https://klasma.github.io/Logging_HASSLEHOLM/kartor/A 44167-2021.png", "A 44167-2021")</f>
        <v/>
      </c>
      <c r="V82">
        <f>HYPERLINK("https://klasma.github.io/Logging_HASSLEHOLM/klagomål/A 44167-2021.docx", "A 44167-2021")</f>
        <v/>
      </c>
      <c r="W82">
        <f>HYPERLINK("https://klasma.github.io/Logging_HASSLEHOLM/klagomålsmail/A 44167-2021.docx", "A 44167-2021")</f>
        <v/>
      </c>
      <c r="X82">
        <f>HYPERLINK("https://klasma.github.io/Logging_HASSLEHOLM/tillsyn/A 44167-2021.docx", "A 44167-2021")</f>
        <v/>
      </c>
      <c r="Y82">
        <f>HYPERLINK("https://klasma.github.io/Logging_HASSLEHOLM/tillsynsmail/A 44167-2021.docx", "A 44167-2021")</f>
        <v/>
      </c>
    </row>
    <row r="83" ht="15" customHeight="1">
      <c r="A83" t="inlineStr">
        <is>
          <t>A 54306-2021</t>
        </is>
      </c>
      <c r="B83" s="1" t="n">
        <v>44472</v>
      </c>
      <c r="C83" s="1" t="n">
        <v>45190</v>
      </c>
      <c r="D83" t="inlineStr">
        <is>
          <t>SKÅNE LÄN</t>
        </is>
      </c>
      <c r="E83" t="inlineStr">
        <is>
          <t>OSBY</t>
        </is>
      </c>
      <c r="G83" t="n">
        <v>2.3</v>
      </c>
      <c r="H83" t="n">
        <v>0</v>
      </c>
      <c r="I83" t="n">
        <v>2</v>
      </c>
      <c r="J83" t="n">
        <v>0</v>
      </c>
      <c r="K83" t="n">
        <v>0</v>
      </c>
      <c r="L83" t="n">
        <v>0</v>
      </c>
      <c r="M83" t="n">
        <v>0</v>
      </c>
      <c r="N83" t="n">
        <v>0</v>
      </c>
      <c r="O83" t="n">
        <v>0</v>
      </c>
      <c r="P83" t="n">
        <v>0</v>
      </c>
      <c r="Q83" t="n">
        <v>2</v>
      </c>
      <c r="R83" s="2" t="inlineStr">
        <is>
          <t>Bårdlav
Fällmossa</t>
        </is>
      </c>
      <c r="S83">
        <f>HYPERLINK("https://klasma.github.io/Logging_OSBY/artfynd/A 54306-2021.xlsx", "A 54306-2021")</f>
        <v/>
      </c>
      <c r="T83">
        <f>HYPERLINK("https://klasma.github.io/Logging_OSBY/kartor/A 54306-2021.png", "A 54306-2021")</f>
        <v/>
      </c>
      <c r="V83">
        <f>HYPERLINK("https://klasma.github.io/Logging_OSBY/klagomål/A 54306-2021.docx", "A 54306-2021")</f>
        <v/>
      </c>
      <c r="W83">
        <f>HYPERLINK("https://klasma.github.io/Logging_OSBY/klagomålsmail/A 54306-2021.docx", "A 54306-2021")</f>
        <v/>
      </c>
      <c r="X83">
        <f>HYPERLINK("https://klasma.github.io/Logging_OSBY/tillsyn/A 54306-2021.docx", "A 54306-2021")</f>
        <v/>
      </c>
      <c r="Y83">
        <f>HYPERLINK("https://klasma.github.io/Logging_OSBY/tillsynsmail/A 54306-2021.docx", "A 54306-2021")</f>
        <v/>
      </c>
    </row>
    <row r="84" ht="15" customHeight="1">
      <c r="A84" t="inlineStr">
        <is>
          <t>A 59690-2021</t>
        </is>
      </c>
      <c r="B84" s="1" t="n">
        <v>44494</v>
      </c>
      <c r="C84" s="1" t="n">
        <v>45190</v>
      </c>
      <c r="D84" t="inlineStr">
        <is>
          <t>SKÅNE LÄN</t>
        </is>
      </c>
      <c r="E84" t="inlineStr">
        <is>
          <t>KRISTIANSTAD</t>
        </is>
      </c>
      <c r="G84" t="n">
        <v>5.2</v>
      </c>
      <c r="H84" t="n">
        <v>1</v>
      </c>
      <c r="I84" t="n">
        <v>1</v>
      </c>
      <c r="J84" t="n">
        <v>0</v>
      </c>
      <c r="K84" t="n">
        <v>0</v>
      </c>
      <c r="L84" t="n">
        <v>0</v>
      </c>
      <c r="M84" t="n">
        <v>0</v>
      </c>
      <c r="N84" t="n">
        <v>0</v>
      </c>
      <c r="O84" t="n">
        <v>0</v>
      </c>
      <c r="P84" t="n">
        <v>0</v>
      </c>
      <c r="Q84" t="n">
        <v>2</v>
      </c>
      <c r="R84" s="2" t="inlineStr">
        <is>
          <t>Lundvårlök
Grönvit nattviol</t>
        </is>
      </c>
      <c r="S84">
        <f>HYPERLINK("https://klasma.github.io/Logging_KRISTIANSTAD/artfynd/A 59690-2021.xlsx", "A 59690-2021")</f>
        <v/>
      </c>
      <c r="T84">
        <f>HYPERLINK("https://klasma.github.io/Logging_KRISTIANSTAD/kartor/A 59690-2021.png", "A 59690-2021")</f>
        <v/>
      </c>
      <c r="V84">
        <f>HYPERLINK("https://klasma.github.io/Logging_KRISTIANSTAD/klagomål/A 59690-2021.docx", "A 59690-2021")</f>
        <v/>
      </c>
      <c r="W84">
        <f>HYPERLINK("https://klasma.github.io/Logging_KRISTIANSTAD/klagomålsmail/A 59690-2021.docx", "A 59690-2021")</f>
        <v/>
      </c>
      <c r="X84">
        <f>HYPERLINK("https://klasma.github.io/Logging_KRISTIANSTAD/tillsyn/A 59690-2021.docx", "A 59690-2021")</f>
        <v/>
      </c>
      <c r="Y84">
        <f>HYPERLINK("https://klasma.github.io/Logging_KRISTIANSTAD/tillsynsmail/A 59690-2021.docx", "A 59690-2021")</f>
        <v/>
      </c>
    </row>
    <row r="85" ht="15" customHeight="1">
      <c r="A85" t="inlineStr">
        <is>
          <t>A 26855-2022</t>
        </is>
      </c>
      <c r="B85" s="1" t="n">
        <v>44740</v>
      </c>
      <c r="C85" s="1" t="n">
        <v>45190</v>
      </c>
      <c r="D85" t="inlineStr">
        <is>
          <t>SKÅNE LÄN</t>
        </is>
      </c>
      <c r="E85" t="inlineStr">
        <is>
          <t>SVALÖV</t>
        </is>
      </c>
      <c r="G85" t="n">
        <v>5.2</v>
      </c>
      <c r="H85" t="n">
        <v>1</v>
      </c>
      <c r="I85" t="n">
        <v>1</v>
      </c>
      <c r="J85" t="n">
        <v>0</v>
      </c>
      <c r="K85" t="n">
        <v>0</v>
      </c>
      <c r="L85" t="n">
        <v>0</v>
      </c>
      <c r="M85" t="n">
        <v>0</v>
      </c>
      <c r="N85" t="n">
        <v>0</v>
      </c>
      <c r="O85" t="n">
        <v>0</v>
      </c>
      <c r="P85" t="n">
        <v>0</v>
      </c>
      <c r="Q85" t="n">
        <v>2</v>
      </c>
      <c r="R85" s="2" t="inlineStr">
        <is>
          <t>Skogsbräsma
Mattlummer</t>
        </is>
      </c>
      <c r="S85">
        <f>HYPERLINK("https://klasma.github.io/Logging_SVALOV/artfynd/A 26855-2022.xlsx", "A 26855-2022")</f>
        <v/>
      </c>
      <c r="T85">
        <f>HYPERLINK("https://klasma.github.io/Logging_SVALOV/kartor/A 26855-2022.png", "A 26855-2022")</f>
        <v/>
      </c>
      <c r="V85">
        <f>HYPERLINK("https://klasma.github.io/Logging_SVALOV/klagomål/A 26855-2022.docx", "A 26855-2022")</f>
        <v/>
      </c>
      <c r="W85">
        <f>HYPERLINK("https://klasma.github.io/Logging_SVALOV/klagomålsmail/A 26855-2022.docx", "A 26855-2022")</f>
        <v/>
      </c>
      <c r="X85">
        <f>HYPERLINK("https://klasma.github.io/Logging_SVALOV/tillsyn/A 26855-2022.docx", "A 26855-2022")</f>
        <v/>
      </c>
      <c r="Y85">
        <f>HYPERLINK("https://klasma.github.io/Logging_SVALOV/tillsynsmail/A 26855-2022.docx", "A 26855-2022")</f>
        <v/>
      </c>
    </row>
    <row r="86" ht="15" customHeight="1">
      <c r="A86" t="inlineStr">
        <is>
          <t>A 28929-2022</t>
        </is>
      </c>
      <c r="B86" s="1" t="n">
        <v>44749</v>
      </c>
      <c r="C86" s="1" t="n">
        <v>45190</v>
      </c>
      <c r="D86" t="inlineStr">
        <is>
          <t>SKÅNE LÄN</t>
        </is>
      </c>
      <c r="E86" t="inlineStr">
        <is>
          <t>SJÖBO</t>
        </is>
      </c>
      <c r="G86" t="n">
        <v>1</v>
      </c>
      <c r="H86" t="n">
        <v>2</v>
      </c>
      <c r="I86" t="n">
        <v>0</v>
      </c>
      <c r="J86" t="n">
        <v>0</v>
      </c>
      <c r="K86" t="n">
        <v>0</v>
      </c>
      <c r="L86" t="n">
        <v>0</v>
      </c>
      <c r="M86" t="n">
        <v>0</v>
      </c>
      <c r="N86" t="n">
        <v>0</v>
      </c>
      <c r="O86" t="n">
        <v>0</v>
      </c>
      <c r="P86" t="n">
        <v>0</v>
      </c>
      <c r="Q86" t="n">
        <v>2</v>
      </c>
      <c r="R86" s="2" t="inlineStr">
        <is>
          <t>Lövgroda
Större vattensalamander</t>
        </is>
      </c>
      <c r="S86">
        <f>HYPERLINK("https://klasma.github.io/Logging_SJOBO/artfynd/A 28929-2022.xlsx", "A 28929-2022")</f>
        <v/>
      </c>
      <c r="T86">
        <f>HYPERLINK("https://klasma.github.io/Logging_SJOBO/kartor/A 28929-2022.png", "A 28929-2022")</f>
        <v/>
      </c>
      <c r="V86">
        <f>HYPERLINK("https://klasma.github.io/Logging_SJOBO/klagomål/A 28929-2022.docx", "A 28929-2022")</f>
        <v/>
      </c>
      <c r="W86">
        <f>HYPERLINK("https://klasma.github.io/Logging_SJOBO/klagomålsmail/A 28929-2022.docx", "A 28929-2022")</f>
        <v/>
      </c>
      <c r="X86">
        <f>HYPERLINK("https://klasma.github.io/Logging_SJOBO/tillsyn/A 28929-2022.docx", "A 28929-2022")</f>
        <v/>
      </c>
      <c r="Y86">
        <f>HYPERLINK("https://klasma.github.io/Logging_SJOBO/tillsynsmail/A 28929-2022.docx", "A 28929-2022")</f>
        <v/>
      </c>
    </row>
    <row r="87" ht="15" customHeight="1">
      <c r="A87" t="inlineStr">
        <is>
          <t>A 30842-2022</t>
        </is>
      </c>
      <c r="B87" s="1" t="n">
        <v>44767</v>
      </c>
      <c r="C87" s="1" t="n">
        <v>45190</v>
      </c>
      <c r="D87" t="inlineStr">
        <is>
          <t>SKÅNE LÄN</t>
        </is>
      </c>
      <c r="E87" t="inlineStr">
        <is>
          <t>KRISTIANSTAD</t>
        </is>
      </c>
      <c r="G87" t="n">
        <v>2.6</v>
      </c>
      <c r="H87" t="n">
        <v>1</v>
      </c>
      <c r="I87" t="n">
        <v>0</v>
      </c>
      <c r="J87" t="n">
        <v>0</v>
      </c>
      <c r="K87" t="n">
        <v>1</v>
      </c>
      <c r="L87" t="n">
        <v>0</v>
      </c>
      <c r="M87" t="n">
        <v>0</v>
      </c>
      <c r="N87" t="n">
        <v>0</v>
      </c>
      <c r="O87" t="n">
        <v>1</v>
      </c>
      <c r="P87" t="n">
        <v>1</v>
      </c>
      <c r="Q87" t="n">
        <v>2</v>
      </c>
      <c r="R87" s="2" t="inlineStr">
        <is>
          <t>Småvänderot
Större vattensalamander</t>
        </is>
      </c>
      <c r="S87">
        <f>HYPERLINK("https://klasma.github.io/Logging_KRISTIANSTAD/artfynd/A 30842-2022.xlsx", "A 30842-2022")</f>
        <v/>
      </c>
      <c r="T87">
        <f>HYPERLINK("https://klasma.github.io/Logging_KRISTIANSTAD/kartor/A 30842-2022.png", "A 30842-2022")</f>
        <v/>
      </c>
      <c r="V87">
        <f>HYPERLINK("https://klasma.github.io/Logging_KRISTIANSTAD/klagomål/A 30842-2022.docx", "A 30842-2022")</f>
        <v/>
      </c>
      <c r="W87">
        <f>HYPERLINK("https://klasma.github.io/Logging_KRISTIANSTAD/klagomålsmail/A 30842-2022.docx", "A 30842-2022")</f>
        <v/>
      </c>
      <c r="X87">
        <f>HYPERLINK("https://klasma.github.io/Logging_KRISTIANSTAD/tillsyn/A 30842-2022.docx", "A 30842-2022")</f>
        <v/>
      </c>
      <c r="Y87">
        <f>HYPERLINK("https://klasma.github.io/Logging_KRISTIANSTAD/tillsynsmail/A 30842-2022.docx", "A 30842-2022")</f>
        <v/>
      </c>
    </row>
    <row r="88" ht="15" customHeight="1">
      <c r="A88" t="inlineStr">
        <is>
          <t>A 44585-2022</t>
        </is>
      </c>
      <c r="B88" s="1" t="n">
        <v>44840</v>
      </c>
      <c r="C88" s="1" t="n">
        <v>45190</v>
      </c>
      <c r="D88" t="inlineStr">
        <is>
          <t>SKÅNE LÄN</t>
        </is>
      </c>
      <c r="E88" t="inlineStr">
        <is>
          <t>KRISTIANSTAD</t>
        </is>
      </c>
      <c r="G88" t="n">
        <v>1.5</v>
      </c>
      <c r="H88" t="n">
        <v>0</v>
      </c>
      <c r="I88" t="n">
        <v>1</v>
      </c>
      <c r="J88" t="n">
        <v>1</v>
      </c>
      <c r="K88" t="n">
        <v>0</v>
      </c>
      <c r="L88" t="n">
        <v>0</v>
      </c>
      <c r="M88" t="n">
        <v>0</v>
      </c>
      <c r="N88" t="n">
        <v>0</v>
      </c>
      <c r="O88" t="n">
        <v>1</v>
      </c>
      <c r="P88" t="n">
        <v>0</v>
      </c>
      <c r="Q88" t="n">
        <v>2</v>
      </c>
      <c r="R88" s="2" t="inlineStr">
        <is>
          <t>Orangepudrad klotterlav
Jättesvampmal</t>
        </is>
      </c>
      <c r="S88">
        <f>HYPERLINK("https://klasma.github.io/Logging_KRISTIANSTAD/artfynd/A 44585-2022.xlsx", "A 44585-2022")</f>
        <v/>
      </c>
      <c r="T88">
        <f>HYPERLINK("https://klasma.github.io/Logging_KRISTIANSTAD/kartor/A 44585-2022.png", "A 44585-2022")</f>
        <v/>
      </c>
      <c r="V88">
        <f>HYPERLINK("https://klasma.github.io/Logging_KRISTIANSTAD/klagomål/A 44585-2022.docx", "A 44585-2022")</f>
        <v/>
      </c>
      <c r="W88">
        <f>HYPERLINK("https://klasma.github.io/Logging_KRISTIANSTAD/klagomålsmail/A 44585-2022.docx", "A 44585-2022")</f>
        <v/>
      </c>
      <c r="X88">
        <f>HYPERLINK("https://klasma.github.io/Logging_KRISTIANSTAD/tillsyn/A 44585-2022.docx", "A 44585-2022")</f>
        <v/>
      </c>
      <c r="Y88">
        <f>HYPERLINK("https://klasma.github.io/Logging_KRISTIANSTAD/tillsynsmail/A 44585-2022.docx", "A 44585-2022")</f>
        <v/>
      </c>
    </row>
    <row r="89" ht="15" customHeight="1">
      <c r="A89" t="inlineStr">
        <is>
          <t>A 53878-2022</t>
        </is>
      </c>
      <c r="B89" s="1" t="n">
        <v>44880</v>
      </c>
      <c r="C89" s="1" t="n">
        <v>45190</v>
      </c>
      <c r="D89" t="inlineStr">
        <is>
          <t>SKÅNE LÄN</t>
        </is>
      </c>
      <c r="E89" t="inlineStr">
        <is>
          <t>KLIPPAN</t>
        </is>
      </c>
      <c r="G89" t="n">
        <v>8.300000000000001</v>
      </c>
      <c r="H89" t="n">
        <v>2</v>
      </c>
      <c r="I89" t="n">
        <v>0</v>
      </c>
      <c r="J89" t="n">
        <v>2</v>
      </c>
      <c r="K89" t="n">
        <v>0</v>
      </c>
      <c r="L89" t="n">
        <v>0</v>
      </c>
      <c r="M89" t="n">
        <v>0</v>
      </c>
      <c r="N89" t="n">
        <v>0</v>
      </c>
      <c r="O89" t="n">
        <v>2</v>
      </c>
      <c r="P89" t="n">
        <v>0</v>
      </c>
      <c r="Q89" t="n">
        <v>2</v>
      </c>
      <c r="R89" s="2" t="inlineStr">
        <is>
          <t>Entita
Gulsparv</t>
        </is>
      </c>
      <c r="S89">
        <f>HYPERLINK("https://klasma.github.io/Logging_KLIPPAN/artfynd/A 53878-2022.xlsx", "A 53878-2022")</f>
        <v/>
      </c>
      <c r="T89">
        <f>HYPERLINK("https://klasma.github.io/Logging_KLIPPAN/kartor/A 53878-2022.png", "A 53878-2022")</f>
        <v/>
      </c>
      <c r="V89">
        <f>HYPERLINK("https://klasma.github.io/Logging_KLIPPAN/klagomål/A 53878-2022.docx", "A 53878-2022")</f>
        <v/>
      </c>
      <c r="W89">
        <f>HYPERLINK("https://klasma.github.io/Logging_KLIPPAN/klagomålsmail/A 53878-2022.docx", "A 53878-2022")</f>
        <v/>
      </c>
      <c r="X89">
        <f>HYPERLINK("https://klasma.github.io/Logging_KLIPPAN/tillsyn/A 53878-2022.docx", "A 53878-2022")</f>
        <v/>
      </c>
      <c r="Y89">
        <f>HYPERLINK("https://klasma.github.io/Logging_KLIPPAN/tillsynsmail/A 53878-2022.docx", "A 53878-2022")</f>
        <v/>
      </c>
    </row>
    <row r="90" ht="15" customHeight="1">
      <c r="A90" t="inlineStr">
        <is>
          <t>A 55072-2022</t>
        </is>
      </c>
      <c r="B90" s="1" t="n">
        <v>44886</v>
      </c>
      <c r="C90" s="1" t="n">
        <v>45190</v>
      </c>
      <c r="D90" t="inlineStr">
        <is>
          <t>SKÅNE LÄN</t>
        </is>
      </c>
      <c r="E90" t="inlineStr">
        <is>
          <t>SIMRISHAMN</t>
        </is>
      </c>
      <c r="F90" t="inlineStr">
        <is>
          <t>Sveaskog</t>
        </is>
      </c>
      <c r="G90" t="n">
        <v>7.3</v>
      </c>
      <c r="H90" t="n">
        <v>1</v>
      </c>
      <c r="I90" t="n">
        <v>1</v>
      </c>
      <c r="J90" t="n">
        <v>0</v>
      </c>
      <c r="K90" t="n">
        <v>0</v>
      </c>
      <c r="L90" t="n">
        <v>0</v>
      </c>
      <c r="M90" t="n">
        <v>0</v>
      </c>
      <c r="N90" t="n">
        <v>0</v>
      </c>
      <c r="O90" t="n">
        <v>0</v>
      </c>
      <c r="P90" t="n">
        <v>0</v>
      </c>
      <c r="Q90" t="n">
        <v>2</v>
      </c>
      <c r="R90" s="2" t="inlineStr">
        <is>
          <t>Murgröna
Gullviva</t>
        </is>
      </c>
      <c r="S90">
        <f>HYPERLINK("https://klasma.github.io/Logging_SIMRISHAMN/artfynd/A 55072-2022.xlsx", "A 55072-2022")</f>
        <v/>
      </c>
      <c r="T90">
        <f>HYPERLINK("https://klasma.github.io/Logging_SIMRISHAMN/kartor/A 55072-2022.png", "A 55072-2022")</f>
        <v/>
      </c>
      <c r="V90">
        <f>HYPERLINK("https://klasma.github.io/Logging_SIMRISHAMN/klagomål/A 55072-2022.docx", "A 55072-2022")</f>
        <v/>
      </c>
      <c r="W90">
        <f>HYPERLINK("https://klasma.github.io/Logging_SIMRISHAMN/klagomålsmail/A 55072-2022.docx", "A 55072-2022")</f>
        <v/>
      </c>
      <c r="X90">
        <f>HYPERLINK("https://klasma.github.io/Logging_SIMRISHAMN/tillsyn/A 55072-2022.docx", "A 55072-2022")</f>
        <v/>
      </c>
      <c r="Y90">
        <f>HYPERLINK("https://klasma.github.io/Logging_SIMRISHAMN/tillsynsmail/A 55072-2022.docx", "A 55072-2022")</f>
        <v/>
      </c>
    </row>
    <row r="91" ht="15" customHeight="1">
      <c r="A91" t="inlineStr">
        <is>
          <t>A 15229-2023</t>
        </is>
      </c>
      <c r="B91" s="1" t="n">
        <v>45016</v>
      </c>
      <c r="C91" s="1" t="n">
        <v>45190</v>
      </c>
      <c r="D91" t="inlineStr">
        <is>
          <t>SKÅNE LÄN</t>
        </is>
      </c>
      <c r="E91" t="inlineStr">
        <is>
          <t>KRISTIANSTAD</t>
        </is>
      </c>
      <c r="G91" t="n">
        <v>1.2</v>
      </c>
      <c r="H91" t="n">
        <v>2</v>
      </c>
      <c r="I91" t="n">
        <v>0</v>
      </c>
      <c r="J91" t="n">
        <v>2</v>
      </c>
      <c r="K91" t="n">
        <v>0</v>
      </c>
      <c r="L91" t="n">
        <v>0</v>
      </c>
      <c r="M91" t="n">
        <v>0</v>
      </c>
      <c r="N91" t="n">
        <v>0</v>
      </c>
      <c r="O91" t="n">
        <v>2</v>
      </c>
      <c r="P91" t="n">
        <v>0</v>
      </c>
      <c r="Q91" t="n">
        <v>2</v>
      </c>
      <c r="R91" s="2" t="inlineStr">
        <is>
          <t>Buskskvätta
Drillsnäppa</t>
        </is>
      </c>
      <c r="S91">
        <f>HYPERLINK("https://klasma.github.io/Logging_KRISTIANSTAD/artfynd/A 15229-2023.xlsx", "A 15229-2023")</f>
        <v/>
      </c>
      <c r="T91">
        <f>HYPERLINK("https://klasma.github.io/Logging_KRISTIANSTAD/kartor/A 15229-2023.png", "A 15229-2023")</f>
        <v/>
      </c>
      <c r="V91">
        <f>HYPERLINK("https://klasma.github.io/Logging_KRISTIANSTAD/klagomål/A 15229-2023.docx", "A 15229-2023")</f>
        <v/>
      </c>
      <c r="W91">
        <f>HYPERLINK("https://klasma.github.io/Logging_KRISTIANSTAD/klagomålsmail/A 15229-2023.docx", "A 15229-2023")</f>
        <v/>
      </c>
      <c r="X91">
        <f>HYPERLINK("https://klasma.github.io/Logging_KRISTIANSTAD/tillsyn/A 15229-2023.docx", "A 15229-2023")</f>
        <v/>
      </c>
      <c r="Y91">
        <f>HYPERLINK("https://klasma.github.io/Logging_KRISTIANSTAD/tillsynsmail/A 15229-2023.docx", "A 15229-2023")</f>
        <v/>
      </c>
    </row>
    <row r="92" ht="15" customHeight="1">
      <c r="A92" t="inlineStr">
        <is>
          <t>A 20702-2023</t>
        </is>
      </c>
      <c r="B92" s="1" t="n">
        <v>45058</v>
      </c>
      <c r="C92" s="1" t="n">
        <v>45190</v>
      </c>
      <c r="D92" t="inlineStr">
        <is>
          <t>SKÅNE LÄN</t>
        </is>
      </c>
      <c r="E92" t="inlineStr">
        <is>
          <t>KLIPPAN</t>
        </is>
      </c>
      <c r="G92" t="n">
        <v>5.9</v>
      </c>
      <c r="H92" t="n">
        <v>1</v>
      </c>
      <c r="I92" t="n">
        <v>0</v>
      </c>
      <c r="J92" t="n">
        <v>1</v>
      </c>
      <c r="K92" t="n">
        <v>0</v>
      </c>
      <c r="L92" t="n">
        <v>0</v>
      </c>
      <c r="M92" t="n">
        <v>0</v>
      </c>
      <c r="N92" t="n">
        <v>0</v>
      </c>
      <c r="O92" t="n">
        <v>1</v>
      </c>
      <c r="P92" t="n">
        <v>0</v>
      </c>
      <c r="Q92" t="n">
        <v>2</v>
      </c>
      <c r="R92" s="2" t="inlineStr">
        <is>
          <t>Svinrot
Grönvit nattviol</t>
        </is>
      </c>
      <c r="S92">
        <f>HYPERLINK("https://klasma.github.io/Logging_KLIPPAN/artfynd/A 20702-2023.xlsx", "A 20702-2023")</f>
        <v/>
      </c>
      <c r="T92">
        <f>HYPERLINK("https://klasma.github.io/Logging_KLIPPAN/kartor/A 20702-2023.png", "A 20702-2023")</f>
        <v/>
      </c>
      <c r="V92">
        <f>HYPERLINK("https://klasma.github.io/Logging_KLIPPAN/klagomål/A 20702-2023.docx", "A 20702-2023")</f>
        <v/>
      </c>
      <c r="W92">
        <f>HYPERLINK("https://klasma.github.io/Logging_KLIPPAN/klagomålsmail/A 20702-2023.docx", "A 20702-2023")</f>
        <v/>
      </c>
      <c r="X92">
        <f>HYPERLINK("https://klasma.github.io/Logging_KLIPPAN/tillsyn/A 20702-2023.docx", "A 20702-2023")</f>
        <v/>
      </c>
      <c r="Y92">
        <f>HYPERLINK("https://klasma.github.io/Logging_KLIPPAN/tillsynsmail/A 20702-2023.docx", "A 20702-2023")</f>
        <v/>
      </c>
    </row>
    <row r="93" ht="15" customHeight="1">
      <c r="A93" t="inlineStr">
        <is>
          <t>A 26736-2023</t>
        </is>
      </c>
      <c r="B93" s="1" t="n">
        <v>45090</v>
      </c>
      <c r="C93" s="1" t="n">
        <v>45190</v>
      </c>
      <c r="D93" t="inlineStr">
        <is>
          <t>SKÅNE LÄN</t>
        </is>
      </c>
      <c r="E93" t="inlineStr">
        <is>
          <t>SJÖBO</t>
        </is>
      </c>
      <c r="G93" t="n">
        <v>9.4</v>
      </c>
      <c r="H93" t="n">
        <v>0</v>
      </c>
      <c r="I93" t="n">
        <v>0</v>
      </c>
      <c r="J93" t="n">
        <v>1</v>
      </c>
      <c r="K93" t="n">
        <v>1</v>
      </c>
      <c r="L93" t="n">
        <v>0</v>
      </c>
      <c r="M93" t="n">
        <v>0</v>
      </c>
      <c r="N93" t="n">
        <v>0</v>
      </c>
      <c r="O93" t="n">
        <v>2</v>
      </c>
      <c r="P93" t="n">
        <v>1</v>
      </c>
      <c r="Q93" t="n">
        <v>2</v>
      </c>
      <c r="R93" s="2" t="inlineStr">
        <is>
          <t>Fläcklungört
Månviol</t>
        </is>
      </c>
      <c r="S93">
        <f>HYPERLINK("https://klasma.github.io/Logging_SJOBO/artfynd/A 26736-2023.xlsx", "A 26736-2023")</f>
        <v/>
      </c>
      <c r="T93">
        <f>HYPERLINK("https://klasma.github.io/Logging_SJOBO/kartor/A 26736-2023.png", "A 26736-2023")</f>
        <v/>
      </c>
      <c r="V93">
        <f>HYPERLINK("https://klasma.github.io/Logging_SJOBO/klagomål/A 26736-2023.docx", "A 26736-2023")</f>
        <v/>
      </c>
      <c r="W93">
        <f>HYPERLINK("https://klasma.github.io/Logging_SJOBO/klagomålsmail/A 26736-2023.docx", "A 26736-2023")</f>
        <v/>
      </c>
      <c r="X93">
        <f>HYPERLINK("https://klasma.github.io/Logging_SJOBO/tillsyn/A 26736-2023.docx", "A 26736-2023")</f>
        <v/>
      </c>
      <c r="Y93">
        <f>HYPERLINK("https://klasma.github.io/Logging_SJOBO/tillsynsmail/A 26736-2023.docx", "A 26736-2023")</f>
        <v/>
      </c>
    </row>
    <row r="94" ht="15" customHeight="1">
      <c r="A94" t="inlineStr">
        <is>
          <t>A 27284-2023</t>
        </is>
      </c>
      <c r="B94" s="1" t="n">
        <v>45096</v>
      </c>
      <c r="C94" s="1" t="n">
        <v>45190</v>
      </c>
      <c r="D94" t="inlineStr">
        <is>
          <t>SKÅNE LÄN</t>
        </is>
      </c>
      <c r="E94" t="inlineStr">
        <is>
          <t>ÖSTRA GÖINGE</t>
        </is>
      </c>
      <c r="F94" t="inlineStr">
        <is>
          <t>Sveaskog</t>
        </is>
      </c>
      <c r="G94" t="n">
        <v>6.6</v>
      </c>
      <c r="H94" t="n">
        <v>2</v>
      </c>
      <c r="I94" t="n">
        <v>0</v>
      </c>
      <c r="J94" t="n">
        <v>0</v>
      </c>
      <c r="K94" t="n">
        <v>0</v>
      </c>
      <c r="L94" t="n">
        <v>0</v>
      </c>
      <c r="M94" t="n">
        <v>0</v>
      </c>
      <c r="N94" t="n">
        <v>0</v>
      </c>
      <c r="O94" t="n">
        <v>0</v>
      </c>
      <c r="P94" t="n">
        <v>0</v>
      </c>
      <c r="Q94" t="n">
        <v>2</v>
      </c>
      <c r="R94" s="2" t="inlineStr">
        <is>
          <t>Bred paljettdykare
Bredkantad dykare</t>
        </is>
      </c>
      <c r="S94">
        <f>HYPERLINK("https://klasma.github.io/Logging_OSTRA_GOINGE/artfynd/A 27284-2023.xlsx", "A 27284-2023")</f>
        <v/>
      </c>
      <c r="T94">
        <f>HYPERLINK("https://klasma.github.io/Logging_OSTRA_GOINGE/kartor/A 27284-2023.png", "A 27284-2023")</f>
        <v/>
      </c>
      <c r="V94">
        <f>HYPERLINK("https://klasma.github.io/Logging_OSTRA_GOINGE/klagomål/A 27284-2023.docx", "A 27284-2023")</f>
        <v/>
      </c>
      <c r="W94">
        <f>HYPERLINK("https://klasma.github.io/Logging_OSTRA_GOINGE/klagomålsmail/A 27284-2023.docx", "A 27284-2023")</f>
        <v/>
      </c>
      <c r="X94">
        <f>HYPERLINK("https://klasma.github.io/Logging_OSTRA_GOINGE/tillsyn/A 27284-2023.docx", "A 27284-2023")</f>
        <v/>
      </c>
      <c r="Y94">
        <f>HYPERLINK("https://klasma.github.io/Logging_OSTRA_GOINGE/tillsynsmail/A 27284-2023.docx", "A 27284-2023")</f>
        <v/>
      </c>
    </row>
    <row r="95" ht="15" customHeight="1">
      <c r="A95" t="inlineStr">
        <is>
          <t>A 29029-2023</t>
        </is>
      </c>
      <c r="B95" s="1" t="n">
        <v>45104</v>
      </c>
      <c r="C95" s="1" t="n">
        <v>45190</v>
      </c>
      <c r="D95" t="inlineStr">
        <is>
          <t>SKÅNE LÄN</t>
        </is>
      </c>
      <c r="E95" t="inlineStr">
        <is>
          <t>SVEDALA</t>
        </is>
      </c>
      <c r="G95" t="n">
        <v>22.3</v>
      </c>
      <c r="H95" t="n">
        <v>2</v>
      </c>
      <c r="I95" t="n">
        <v>0</v>
      </c>
      <c r="J95" t="n">
        <v>0</v>
      </c>
      <c r="K95" t="n">
        <v>0</v>
      </c>
      <c r="L95" t="n">
        <v>0</v>
      </c>
      <c r="M95" t="n">
        <v>0</v>
      </c>
      <c r="N95" t="n">
        <v>0</v>
      </c>
      <c r="O95" t="n">
        <v>0</v>
      </c>
      <c r="P95" t="n">
        <v>0</v>
      </c>
      <c r="Q95" t="n">
        <v>2</v>
      </c>
      <c r="R95" s="2" t="inlineStr">
        <is>
          <t>Citronfläckad kärrtrollslända
Ätlig groda</t>
        </is>
      </c>
      <c r="S95">
        <f>HYPERLINK("https://klasma.github.io/Logging_SVEDALA/artfynd/A 29029-2023.xlsx", "A 29029-2023")</f>
        <v/>
      </c>
      <c r="T95">
        <f>HYPERLINK("https://klasma.github.io/Logging_SVEDALA/kartor/A 29029-2023.png", "A 29029-2023")</f>
        <v/>
      </c>
      <c r="V95">
        <f>HYPERLINK("https://klasma.github.io/Logging_SVEDALA/klagomål/A 29029-2023.docx", "A 29029-2023")</f>
        <v/>
      </c>
      <c r="W95">
        <f>HYPERLINK("https://klasma.github.io/Logging_SVEDALA/klagomålsmail/A 29029-2023.docx", "A 29029-2023")</f>
        <v/>
      </c>
      <c r="X95">
        <f>HYPERLINK("https://klasma.github.io/Logging_SVEDALA/tillsyn/A 29029-2023.docx", "A 29029-2023")</f>
        <v/>
      </c>
      <c r="Y95">
        <f>HYPERLINK("https://klasma.github.io/Logging_SVEDALA/tillsynsmail/A 29029-2023.docx", "A 29029-2023")</f>
        <v/>
      </c>
    </row>
    <row r="96" ht="15" customHeight="1">
      <c r="A96" t="inlineStr">
        <is>
          <t>A 29032-2023</t>
        </is>
      </c>
      <c r="B96" s="1" t="n">
        <v>45104</v>
      </c>
      <c r="C96" s="1" t="n">
        <v>45190</v>
      </c>
      <c r="D96" t="inlineStr">
        <is>
          <t>SKÅNE LÄN</t>
        </is>
      </c>
      <c r="E96" t="inlineStr">
        <is>
          <t>SVEDALA</t>
        </is>
      </c>
      <c r="G96" t="n">
        <v>2</v>
      </c>
      <c r="H96" t="n">
        <v>2</v>
      </c>
      <c r="I96" t="n">
        <v>0</v>
      </c>
      <c r="J96" t="n">
        <v>0</v>
      </c>
      <c r="K96" t="n">
        <v>0</v>
      </c>
      <c r="L96" t="n">
        <v>0</v>
      </c>
      <c r="M96" t="n">
        <v>0</v>
      </c>
      <c r="N96" t="n">
        <v>0</v>
      </c>
      <c r="O96" t="n">
        <v>0</v>
      </c>
      <c r="P96" t="n">
        <v>0</v>
      </c>
      <c r="Q96" t="n">
        <v>2</v>
      </c>
      <c r="R96" s="2" t="inlineStr">
        <is>
          <t>Åkergroda
Vanlig groda</t>
        </is>
      </c>
      <c r="S96">
        <f>HYPERLINK("https://klasma.github.io/Logging_SVEDALA/artfynd/A 29032-2023.xlsx", "A 29032-2023")</f>
        <v/>
      </c>
      <c r="T96">
        <f>HYPERLINK("https://klasma.github.io/Logging_SVEDALA/kartor/A 29032-2023.png", "A 29032-2023")</f>
        <v/>
      </c>
      <c r="V96">
        <f>HYPERLINK("https://klasma.github.io/Logging_SVEDALA/klagomål/A 29032-2023.docx", "A 29032-2023")</f>
        <v/>
      </c>
      <c r="W96">
        <f>HYPERLINK("https://klasma.github.io/Logging_SVEDALA/klagomålsmail/A 29032-2023.docx", "A 29032-2023")</f>
        <v/>
      </c>
      <c r="X96">
        <f>HYPERLINK("https://klasma.github.io/Logging_SVEDALA/tillsyn/A 29032-2023.docx", "A 29032-2023")</f>
        <v/>
      </c>
      <c r="Y96">
        <f>HYPERLINK("https://klasma.github.io/Logging_SVEDALA/tillsynsmail/A 29032-2023.docx", "A 29032-2023")</f>
        <v/>
      </c>
    </row>
    <row r="97" ht="15" customHeight="1">
      <c r="A97" t="inlineStr">
        <is>
          <t>A 29038-2023</t>
        </is>
      </c>
      <c r="B97" s="1" t="n">
        <v>45104</v>
      </c>
      <c r="C97" s="1" t="n">
        <v>45190</v>
      </c>
      <c r="D97" t="inlineStr">
        <is>
          <t>SKÅNE LÄN</t>
        </is>
      </c>
      <c r="E97" t="inlineStr">
        <is>
          <t>LUND</t>
        </is>
      </c>
      <c r="G97" t="n">
        <v>10.1</v>
      </c>
      <c r="H97" t="n">
        <v>0</v>
      </c>
      <c r="I97" t="n">
        <v>1</v>
      </c>
      <c r="J97" t="n">
        <v>0</v>
      </c>
      <c r="K97" t="n">
        <v>1</v>
      </c>
      <c r="L97" t="n">
        <v>0</v>
      </c>
      <c r="M97" t="n">
        <v>0</v>
      </c>
      <c r="N97" t="n">
        <v>0</v>
      </c>
      <c r="O97" t="n">
        <v>1</v>
      </c>
      <c r="P97" t="n">
        <v>1</v>
      </c>
      <c r="Q97" t="n">
        <v>2</v>
      </c>
      <c r="R97" s="2" t="inlineStr">
        <is>
          <t>Revig blodrot
Skogsbräsma</t>
        </is>
      </c>
      <c r="S97">
        <f>HYPERLINK("https://klasma.github.io/Logging_LUND/artfynd/A 29038-2023.xlsx", "A 29038-2023")</f>
        <v/>
      </c>
      <c r="T97">
        <f>HYPERLINK("https://klasma.github.io/Logging_LUND/kartor/A 29038-2023.png", "A 29038-2023")</f>
        <v/>
      </c>
      <c r="V97">
        <f>HYPERLINK("https://klasma.github.io/Logging_LUND/klagomål/A 29038-2023.docx", "A 29038-2023")</f>
        <v/>
      </c>
      <c r="W97">
        <f>HYPERLINK("https://klasma.github.io/Logging_LUND/klagomålsmail/A 29038-2023.docx", "A 29038-2023")</f>
        <v/>
      </c>
      <c r="X97">
        <f>HYPERLINK("https://klasma.github.io/Logging_LUND/tillsyn/A 29038-2023.docx", "A 29038-2023")</f>
        <v/>
      </c>
      <c r="Y97">
        <f>HYPERLINK("https://klasma.github.io/Logging_LUND/tillsynsmail/A 29038-2023.docx", "A 29038-2023")</f>
        <v/>
      </c>
    </row>
    <row r="98" ht="15" customHeight="1">
      <c r="A98" t="inlineStr">
        <is>
          <t>A 31697-2023</t>
        </is>
      </c>
      <c r="B98" s="1" t="n">
        <v>45117</v>
      </c>
      <c r="C98" s="1" t="n">
        <v>45190</v>
      </c>
      <c r="D98" t="inlineStr">
        <is>
          <t>SKÅNE LÄN</t>
        </is>
      </c>
      <c r="E98" t="inlineStr">
        <is>
          <t>SVEDALA</t>
        </is>
      </c>
      <c r="G98" t="n">
        <v>2.2</v>
      </c>
      <c r="H98" t="n">
        <v>2</v>
      </c>
      <c r="I98" t="n">
        <v>0</v>
      </c>
      <c r="J98" t="n">
        <v>0</v>
      </c>
      <c r="K98" t="n">
        <v>0</v>
      </c>
      <c r="L98" t="n">
        <v>0</v>
      </c>
      <c r="M98" t="n">
        <v>0</v>
      </c>
      <c r="N98" t="n">
        <v>0</v>
      </c>
      <c r="O98" t="n">
        <v>0</v>
      </c>
      <c r="P98" t="n">
        <v>0</v>
      </c>
      <c r="Q98" t="n">
        <v>2</v>
      </c>
      <c r="R98" s="2" t="inlineStr">
        <is>
          <t>Lövgroda
Större vattensalamander</t>
        </is>
      </c>
      <c r="S98">
        <f>HYPERLINK("https://klasma.github.io/Logging_SVEDALA/artfynd/A 31697-2023.xlsx", "A 31697-2023")</f>
        <v/>
      </c>
      <c r="T98">
        <f>HYPERLINK("https://klasma.github.io/Logging_SVEDALA/kartor/A 31697-2023.png", "A 31697-2023")</f>
        <v/>
      </c>
      <c r="V98">
        <f>HYPERLINK("https://klasma.github.io/Logging_SVEDALA/klagomål/A 31697-2023.docx", "A 31697-2023")</f>
        <v/>
      </c>
      <c r="W98">
        <f>HYPERLINK("https://klasma.github.io/Logging_SVEDALA/klagomålsmail/A 31697-2023.docx", "A 31697-2023")</f>
        <v/>
      </c>
      <c r="X98">
        <f>HYPERLINK("https://klasma.github.io/Logging_SVEDALA/tillsyn/A 31697-2023.docx", "A 31697-2023")</f>
        <v/>
      </c>
      <c r="Y98">
        <f>HYPERLINK("https://klasma.github.io/Logging_SVEDALA/tillsynsmail/A 31697-2023.docx", "A 31697-2023")</f>
        <v/>
      </c>
    </row>
    <row r="99" ht="15" customHeight="1">
      <c r="A99" t="inlineStr">
        <is>
          <t>A 33364-2023</t>
        </is>
      </c>
      <c r="B99" s="1" t="n">
        <v>45128</v>
      </c>
      <c r="C99" s="1" t="n">
        <v>45190</v>
      </c>
      <c r="D99" t="inlineStr">
        <is>
          <t>SKÅNE LÄN</t>
        </is>
      </c>
      <c r="E99" t="inlineStr">
        <is>
          <t>KRISTIANSTAD</t>
        </is>
      </c>
      <c r="G99" t="n">
        <v>6</v>
      </c>
      <c r="H99" t="n">
        <v>1</v>
      </c>
      <c r="I99" t="n">
        <v>1</v>
      </c>
      <c r="J99" t="n">
        <v>0</v>
      </c>
      <c r="K99" t="n">
        <v>0</v>
      </c>
      <c r="L99" t="n">
        <v>0</v>
      </c>
      <c r="M99" t="n">
        <v>0</v>
      </c>
      <c r="N99" t="n">
        <v>0</v>
      </c>
      <c r="O99" t="n">
        <v>0</v>
      </c>
      <c r="P99" t="n">
        <v>0</v>
      </c>
      <c r="Q99" t="n">
        <v>2</v>
      </c>
      <c r="R99" s="2" t="inlineStr">
        <is>
          <t>Västlig hakmossa
Större vattensalamander</t>
        </is>
      </c>
      <c r="S99">
        <f>HYPERLINK("https://klasma.github.io/Logging_KRISTIANSTAD/artfynd/A 33364-2023.xlsx", "A 33364-2023")</f>
        <v/>
      </c>
      <c r="T99">
        <f>HYPERLINK("https://klasma.github.io/Logging_KRISTIANSTAD/kartor/A 33364-2023.png", "A 33364-2023")</f>
        <v/>
      </c>
      <c r="V99">
        <f>HYPERLINK("https://klasma.github.io/Logging_KRISTIANSTAD/klagomål/A 33364-2023.docx", "A 33364-2023")</f>
        <v/>
      </c>
      <c r="W99">
        <f>HYPERLINK("https://klasma.github.io/Logging_KRISTIANSTAD/klagomålsmail/A 33364-2023.docx", "A 33364-2023")</f>
        <v/>
      </c>
      <c r="X99">
        <f>HYPERLINK("https://klasma.github.io/Logging_KRISTIANSTAD/tillsyn/A 33364-2023.docx", "A 33364-2023")</f>
        <v/>
      </c>
      <c r="Y99">
        <f>HYPERLINK("https://klasma.github.io/Logging_KRISTIANSTAD/tillsynsmail/A 33364-2023.docx", "A 33364-2023")</f>
        <v/>
      </c>
    </row>
    <row r="100" ht="15" customHeight="1">
      <c r="A100" t="inlineStr">
        <is>
          <t>A 34816-2023</t>
        </is>
      </c>
      <c r="B100" s="1" t="n">
        <v>45141</v>
      </c>
      <c r="C100" s="1" t="n">
        <v>45190</v>
      </c>
      <c r="D100" t="inlineStr">
        <is>
          <t>SKÅNE LÄN</t>
        </is>
      </c>
      <c r="E100" t="inlineStr">
        <is>
          <t>SVALÖV</t>
        </is>
      </c>
      <c r="G100" t="n">
        <v>1.6</v>
      </c>
      <c r="H100" t="n">
        <v>0</v>
      </c>
      <c r="I100" t="n">
        <v>1</v>
      </c>
      <c r="J100" t="n">
        <v>0</v>
      </c>
      <c r="K100" t="n">
        <v>1</v>
      </c>
      <c r="L100" t="n">
        <v>0</v>
      </c>
      <c r="M100" t="n">
        <v>0</v>
      </c>
      <c r="N100" t="n">
        <v>0</v>
      </c>
      <c r="O100" t="n">
        <v>1</v>
      </c>
      <c r="P100" t="n">
        <v>1</v>
      </c>
      <c r="Q100" t="n">
        <v>2</v>
      </c>
      <c r="R100" s="2" t="inlineStr">
        <is>
          <t>Bokblombock
Jättesvampmal</t>
        </is>
      </c>
      <c r="S100">
        <f>HYPERLINK("https://klasma.github.io/Logging_SVALOV/artfynd/A 34816-2023.xlsx", "A 34816-2023")</f>
        <v/>
      </c>
      <c r="T100">
        <f>HYPERLINK("https://klasma.github.io/Logging_SVALOV/kartor/A 34816-2023.png", "A 34816-2023")</f>
        <v/>
      </c>
      <c r="V100">
        <f>HYPERLINK("https://klasma.github.io/Logging_SVALOV/klagomål/A 34816-2023.docx", "A 34816-2023")</f>
        <v/>
      </c>
      <c r="W100">
        <f>HYPERLINK("https://klasma.github.io/Logging_SVALOV/klagomålsmail/A 34816-2023.docx", "A 34816-2023")</f>
        <v/>
      </c>
      <c r="X100">
        <f>HYPERLINK("https://klasma.github.io/Logging_SVALOV/tillsyn/A 34816-2023.docx", "A 34816-2023")</f>
        <v/>
      </c>
      <c r="Y100">
        <f>HYPERLINK("https://klasma.github.io/Logging_SVALOV/tillsynsmail/A 34816-2023.docx", "A 34816-2023")</f>
        <v/>
      </c>
    </row>
    <row r="101" ht="15" customHeight="1">
      <c r="A101" t="inlineStr">
        <is>
          <t>A 35695-2018</t>
        </is>
      </c>
      <c r="B101" s="1" t="n">
        <v>43326</v>
      </c>
      <c r="C101" s="1" t="n">
        <v>45190</v>
      </c>
      <c r="D101" t="inlineStr">
        <is>
          <t>SKÅNE LÄN</t>
        </is>
      </c>
      <c r="E101" t="inlineStr">
        <is>
          <t>ÖSTRA GÖINGE</t>
        </is>
      </c>
      <c r="G101" t="n">
        <v>2.9</v>
      </c>
      <c r="H101" t="n">
        <v>1</v>
      </c>
      <c r="I101" t="n">
        <v>0</v>
      </c>
      <c r="J101" t="n">
        <v>0</v>
      </c>
      <c r="K101" t="n">
        <v>0</v>
      </c>
      <c r="L101" t="n">
        <v>0</v>
      </c>
      <c r="M101" t="n">
        <v>0</v>
      </c>
      <c r="N101" t="n">
        <v>0</v>
      </c>
      <c r="O101" t="n">
        <v>0</v>
      </c>
      <c r="P101" t="n">
        <v>0</v>
      </c>
      <c r="Q101" t="n">
        <v>1</v>
      </c>
      <c r="R101" s="2" t="inlineStr">
        <is>
          <t>Hårklomossa</t>
        </is>
      </c>
      <c r="S101">
        <f>HYPERLINK("https://klasma.github.io/Logging_OSTRA_GOINGE/artfynd/A 35695-2018.xlsx", "A 35695-2018")</f>
        <v/>
      </c>
      <c r="T101">
        <f>HYPERLINK("https://klasma.github.io/Logging_OSTRA_GOINGE/kartor/A 35695-2018.png", "A 35695-2018")</f>
        <v/>
      </c>
      <c r="V101">
        <f>HYPERLINK("https://klasma.github.io/Logging_OSTRA_GOINGE/klagomål/A 35695-2018.docx", "A 35695-2018")</f>
        <v/>
      </c>
      <c r="W101">
        <f>HYPERLINK("https://klasma.github.io/Logging_OSTRA_GOINGE/klagomålsmail/A 35695-2018.docx", "A 35695-2018")</f>
        <v/>
      </c>
      <c r="X101">
        <f>HYPERLINK("https://klasma.github.io/Logging_OSTRA_GOINGE/tillsyn/A 35695-2018.docx", "A 35695-2018")</f>
        <v/>
      </c>
      <c r="Y101">
        <f>HYPERLINK("https://klasma.github.io/Logging_OSTRA_GOINGE/tillsynsmail/A 35695-2018.docx", "A 35695-2018")</f>
        <v/>
      </c>
    </row>
    <row r="102" ht="15" customHeight="1">
      <c r="A102" t="inlineStr">
        <is>
          <t>A 36135-2018</t>
        </is>
      </c>
      <c r="B102" s="1" t="n">
        <v>43327</v>
      </c>
      <c r="C102" s="1" t="n">
        <v>45190</v>
      </c>
      <c r="D102" t="inlineStr">
        <is>
          <t>SKÅNE LÄN</t>
        </is>
      </c>
      <c r="E102" t="inlineStr">
        <is>
          <t>SJÖBO</t>
        </is>
      </c>
      <c r="G102" t="n">
        <v>1.5</v>
      </c>
      <c r="H102" t="n">
        <v>1</v>
      </c>
      <c r="I102" t="n">
        <v>0</v>
      </c>
      <c r="J102" t="n">
        <v>0</v>
      </c>
      <c r="K102" t="n">
        <v>0</v>
      </c>
      <c r="L102" t="n">
        <v>1</v>
      </c>
      <c r="M102" t="n">
        <v>0</v>
      </c>
      <c r="N102" t="n">
        <v>0</v>
      </c>
      <c r="O102" t="n">
        <v>1</v>
      </c>
      <c r="P102" t="n">
        <v>1</v>
      </c>
      <c r="Q102" t="n">
        <v>1</v>
      </c>
      <c r="R102" s="2" t="inlineStr">
        <is>
          <t>Tistelsnyltrot</t>
        </is>
      </c>
      <c r="S102">
        <f>HYPERLINK("https://klasma.github.io/Logging_SJOBO/artfynd/A 36135-2018.xlsx", "A 36135-2018")</f>
        <v/>
      </c>
      <c r="T102">
        <f>HYPERLINK("https://klasma.github.io/Logging_SJOBO/kartor/A 36135-2018.png", "A 36135-2018")</f>
        <v/>
      </c>
      <c r="V102">
        <f>HYPERLINK("https://klasma.github.io/Logging_SJOBO/klagomål/A 36135-2018.docx", "A 36135-2018")</f>
        <v/>
      </c>
      <c r="W102">
        <f>HYPERLINK("https://klasma.github.io/Logging_SJOBO/klagomålsmail/A 36135-2018.docx", "A 36135-2018")</f>
        <v/>
      </c>
      <c r="X102">
        <f>HYPERLINK("https://klasma.github.io/Logging_SJOBO/tillsyn/A 36135-2018.docx", "A 36135-2018")</f>
        <v/>
      </c>
      <c r="Y102">
        <f>HYPERLINK("https://klasma.github.io/Logging_SJOBO/tillsynsmail/A 36135-2018.docx", "A 36135-2018")</f>
        <v/>
      </c>
    </row>
    <row r="103" ht="15" customHeight="1">
      <c r="A103" t="inlineStr">
        <is>
          <t>A 36249-2018</t>
        </is>
      </c>
      <c r="B103" s="1" t="n">
        <v>43327</v>
      </c>
      <c r="C103" s="1" t="n">
        <v>45190</v>
      </c>
      <c r="D103" t="inlineStr">
        <is>
          <t>SKÅNE LÄN</t>
        </is>
      </c>
      <c r="E103" t="inlineStr">
        <is>
          <t>SVEDALA</t>
        </is>
      </c>
      <c r="G103" t="n">
        <v>1</v>
      </c>
      <c r="H103" t="n">
        <v>0</v>
      </c>
      <c r="I103" t="n">
        <v>0</v>
      </c>
      <c r="J103" t="n">
        <v>1</v>
      </c>
      <c r="K103" t="n">
        <v>0</v>
      </c>
      <c r="L103" t="n">
        <v>0</v>
      </c>
      <c r="M103" t="n">
        <v>0</v>
      </c>
      <c r="N103" t="n">
        <v>0</v>
      </c>
      <c r="O103" t="n">
        <v>1</v>
      </c>
      <c r="P103" t="n">
        <v>0</v>
      </c>
      <c r="Q103" t="n">
        <v>1</v>
      </c>
      <c r="R103" s="2" t="inlineStr">
        <is>
          <t>Skugglosta</t>
        </is>
      </c>
      <c r="S103">
        <f>HYPERLINK("https://klasma.github.io/Logging_SVEDALA/artfynd/A 36249-2018.xlsx", "A 36249-2018")</f>
        <v/>
      </c>
      <c r="T103">
        <f>HYPERLINK("https://klasma.github.io/Logging_SVEDALA/kartor/A 36249-2018.png", "A 36249-2018")</f>
        <v/>
      </c>
      <c r="V103">
        <f>HYPERLINK("https://klasma.github.io/Logging_SVEDALA/klagomål/A 36249-2018.docx", "A 36249-2018")</f>
        <v/>
      </c>
      <c r="W103">
        <f>HYPERLINK("https://klasma.github.io/Logging_SVEDALA/klagomålsmail/A 36249-2018.docx", "A 36249-2018")</f>
        <v/>
      </c>
      <c r="X103">
        <f>HYPERLINK("https://klasma.github.io/Logging_SVEDALA/tillsyn/A 36249-2018.docx", "A 36249-2018")</f>
        <v/>
      </c>
      <c r="Y103">
        <f>HYPERLINK("https://klasma.github.io/Logging_SVEDALA/tillsynsmail/A 36249-2018.docx", "A 36249-2018")</f>
        <v/>
      </c>
    </row>
    <row r="104" ht="15" customHeight="1">
      <c r="A104" t="inlineStr">
        <is>
          <t>A 49919-2018</t>
        </is>
      </c>
      <c r="B104" s="1" t="n">
        <v>43376</v>
      </c>
      <c r="C104" s="1" t="n">
        <v>45190</v>
      </c>
      <c r="D104" t="inlineStr">
        <is>
          <t>SKÅNE LÄN</t>
        </is>
      </c>
      <c r="E104" t="inlineStr">
        <is>
          <t>ÖSTRA GÖINGE</t>
        </is>
      </c>
      <c r="G104" t="n">
        <v>2.2</v>
      </c>
      <c r="H104" t="n">
        <v>1</v>
      </c>
      <c r="I104" t="n">
        <v>0</v>
      </c>
      <c r="J104" t="n">
        <v>0</v>
      </c>
      <c r="K104" t="n">
        <v>0</v>
      </c>
      <c r="L104" t="n">
        <v>0</v>
      </c>
      <c r="M104" t="n">
        <v>0</v>
      </c>
      <c r="N104" t="n">
        <v>0</v>
      </c>
      <c r="O104" t="n">
        <v>0</v>
      </c>
      <c r="P104" t="n">
        <v>0</v>
      </c>
      <c r="Q104" t="n">
        <v>1</v>
      </c>
      <c r="R104" s="2" t="inlineStr">
        <is>
          <t>Kopparödla</t>
        </is>
      </c>
      <c r="S104">
        <f>HYPERLINK("https://klasma.github.io/Logging_OSTRA_GOINGE/artfynd/A 49919-2018.xlsx", "A 49919-2018")</f>
        <v/>
      </c>
      <c r="T104">
        <f>HYPERLINK("https://klasma.github.io/Logging_OSTRA_GOINGE/kartor/A 49919-2018.png", "A 49919-2018")</f>
        <v/>
      </c>
      <c r="V104">
        <f>HYPERLINK("https://klasma.github.io/Logging_OSTRA_GOINGE/klagomål/A 49919-2018.docx", "A 49919-2018")</f>
        <v/>
      </c>
      <c r="W104">
        <f>HYPERLINK("https://klasma.github.io/Logging_OSTRA_GOINGE/klagomålsmail/A 49919-2018.docx", "A 49919-2018")</f>
        <v/>
      </c>
      <c r="X104">
        <f>HYPERLINK("https://klasma.github.io/Logging_OSTRA_GOINGE/tillsyn/A 49919-2018.docx", "A 49919-2018")</f>
        <v/>
      </c>
      <c r="Y104">
        <f>HYPERLINK("https://klasma.github.io/Logging_OSTRA_GOINGE/tillsynsmail/A 49919-2018.docx", "A 49919-2018")</f>
        <v/>
      </c>
    </row>
    <row r="105" ht="15" customHeight="1">
      <c r="A105" t="inlineStr">
        <is>
          <t>A 62876-2018</t>
        </is>
      </c>
      <c r="B105" s="1" t="n">
        <v>43413</v>
      </c>
      <c r="C105" s="1" t="n">
        <v>45190</v>
      </c>
      <c r="D105" t="inlineStr">
        <is>
          <t>SKÅNE LÄN</t>
        </is>
      </c>
      <c r="E105" t="inlineStr">
        <is>
          <t>ESLÖV</t>
        </is>
      </c>
      <c r="G105" t="n">
        <v>0.7</v>
      </c>
      <c r="H105" t="n">
        <v>0</v>
      </c>
      <c r="I105" t="n">
        <v>0</v>
      </c>
      <c r="J105" t="n">
        <v>0</v>
      </c>
      <c r="K105" t="n">
        <v>0</v>
      </c>
      <c r="L105" t="n">
        <v>1</v>
      </c>
      <c r="M105" t="n">
        <v>0</v>
      </c>
      <c r="N105" t="n">
        <v>0</v>
      </c>
      <c r="O105" t="n">
        <v>1</v>
      </c>
      <c r="P105" t="n">
        <v>1</v>
      </c>
      <c r="Q105" t="n">
        <v>1</v>
      </c>
      <c r="R105" s="2" t="inlineStr">
        <is>
          <t>Ask</t>
        </is>
      </c>
      <c r="S105">
        <f>HYPERLINK("https://klasma.github.io/Logging_ESLOV/artfynd/A 62876-2018.xlsx", "A 62876-2018")</f>
        <v/>
      </c>
      <c r="T105">
        <f>HYPERLINK("https://klasma.github.io/Logging_ESLOV/kartor/A 62876-2018.png", "A 62876-2018")</f>
        <v/>
      </c>
      <c r="V105">
        <f>HYPERLINK("https://klasma.github.io/Logging_ESLOV/klagomål/A 62876-2018.docx", "A 62876-2018")</f>
        <v/>
      </c>
      <c r="W105">
        <f>HYPERLINK("https://klasma.github.io/Logging_ESLOV/klagomålsmail/A 62876-2018.docx", "A 62876-2018")</f>
        <v/>
      </c>
      <c r="X105">
        <f>HYPERLINK("https://klasma.github.io/Logging_ESLOV/tillsyn/A 62876-2018.docx", "A 62876-2018")</f>
        <v/>
      </c>
      <c r="Y105">
        <f>HYPERLINK("https://klasma.github.io/Logging_ESLOV/tillsynsmail/A 62876-2018.docx", "A 62876-2018")</f>
        <v/>
      </c>
    </row>
    <row r="106" ht="15" customHeight="1">
      <c r="A106" t="inlineStr">
        <is>
          <t>A 64077-2018</t>
        </is>
      </c>
      <c r="B106" s="1" t="n">
        <v>43430</v>
      </c>
      <c r="C106" s="1" t="n">
        <v>45190</v>
      </c>
      <c r="D106" t="inlineStr">
        <is>
          <t>SKÅNE LÄN</t>
        </is>
      </c>
      <c r="E106" t="inlineStr">
        <is>
          <t>ÖSTRA GÖINGE</t>
        </is>
      </c>
      <c r="G106" t="n">
        <v>1.2</v>
      </c>
      <c r="H106" t="n">
        <v>0</v>
      </c>
      <c r="I106" t="n">
        <v>1</v>
      </c>
      <c r="J106" t="n">
        <v>0</v>
      </c>
      <c r="K106" t="n">
        <v>0</v>
      </c>
      <c r="L106" t="n">
        <v>0</v>
      </c>
      <c r="M106" t="n">
        <v>0</v>
      </c>
      <c r="N106" t="n">
        <v>0</v>
      </c>
      <c r="O106" t="n">
        <v>0</v>
      </c>
      <c r="P106" t="n">
        <v>0</v>
      </c>
      <c r="Q106" t="n">
        <v>1</v>
      </c>
      <c r="R106" s="2" t="inlineStr">
        <is>
          <t>Kantjordstjärna</t>
        </is>
      </c>
      <c r="S106">
        <f>HYPERLINK("https://klasma.github.io/Logging_OSTRA_GOINGE/artfynd/A 64077-2018.xlsx", "A 64077-2018")</f>
        <v/>
      </c>
      <c r="T106">
        <f>HYPERLINK("https://klasma.github.io/Logging_OSTRA_GOINGE/kartor/A 64077-2018.png", "A 64077-2018")</f>
        <v/>
      </c>
      <c r="V106">
        <f>HYPERLINK("https://klasma.github.io/Logging_OSTRA_GOINGE/klagomål/A 64077-2018.docx", "A 64077-2018")</f>
        <v/>
      </c>
      <c r="W106">
        <f>HYPERLINK("https://klasma.github.io/Logging_OSTRA_GOINGE/klagomålsmail/A 64077-2018.docx", "A 64077-2018")</f>
        <v/>
      </c>
      <c r="X106">
        <f>HYPERLINK("https://klasma.github.io/Logging_OSTRA_GOINGE/tillsyn/A 64077-2018.docx", "A 64077-2018")</f>
        <v/>
      </c>
      <c r="Y106">
        <f>HYPERLINK("https://klasma.github.io/Logging_OSTRA_GOINGE/tillsynsmail/A 64077-2018.docx", "A 64077-2018")</f>
        <v/>
      </c>
    </row>
    <row r="107" ht="15" customHeight="1">
      <c r="A107" t="inlineStr">
        <is>
          <t>A 66018-2018</t>
        </is>
      </c>
      <c r="B107" s="1" t="n">
        <v>43434</v>
      </c>
      <c r="C107" s="1" t="n">
        <v>45190</v>
      </c>
      <c r="D107" t="inlineStr">
        <is>
          <t>SKÅNE LÄN</t>
        </is>
      </c>
      <c r="E107" t="inlineStr">
        <is>
          <t>KRISTIANSTAD</t>
        </is>
      </c>
      <c r="G107" t="n">
        <v>1.9</v>
      </c>
      <c r="H107" t="n">
        <v>0</v>
      </c>
      <c r="I107" t="n">
        <v>0</v>
      </c>
      <c r="J107" t="n">
        <v>0</v>
      </c>
      <c r="K107" t="n">
        <v>1</v>
      </c>
      <c r="L107" t="n">
        <v>0</v>
      </c>
      <c r="M107" t="n">
        <v>0</v>
      </c>
      <c r="N107" t="n">
        <v>0</v>
      </c>
      <c r="O107" t="n">
        <v>1</v>
      </c>
      <c r="P107" t="n">
        <v>1</v>
      </c>
      <c r="Q107" t="n">
        <v>1</v>
      </c>
      <c r="R107" s="2" t="inlineStr">
        <is>
          <t>Småvänderot</t>
        </is>
      </c>
      <c r="S107">
        <f>HYPERLINK("https://klasma.github.io/Logging_KRISTIANSTAD/artfynd/A 66018-2018.xlsx", "A 66018-2018")</f>
        <v/>
      </c>
      <c r="T107">
        <f>HYPERLINK("https://klasma.github.io/Logging_KRISTIANSTAD/kartor/A 66018-2018.png", "A 66018-2018")</f>
        <v/>
      </c>
      <c r="V107">
        <f>HYPERLINK("https://klasma.github.io/Logging_KRISTIANSTAD/klagomål/A 66018-2018.docx", "A 66018-2018")</f>
        <v/>
      </c>
      <c r="W107">
        <f>HYPERLINK("https://klasma.github.io/Logging_KRISTIANSTAD/klagomålsmail/A 66018-2018.docx", "A 66018-2018")</f>
        <v/>
      </c>
      <c r="X107">
        <f>HYPERLINK("https://klasma.github.io/Logging_KRISTIANSTAD/tillsyn/A 66018-2018.docx", "A 66018-2018")</f>
        <v/>
      </c>
      <c r="Y107">
        <f>HYPERLINK("https://klasma.github.io/Logging_KRISTIANSTAD/tillsynsmail/A 66018-2018.docx", "A 66018-2018")</f>
        <v/>
      </c>
    </row>
    <row r="108" ht="15" customHeight="1">
      <c r="A108" t="inlineStr">
        <is>
          <t>A 66665-2018</t>
        </is>
      </c>
      <c r="B108" s="1" t="n">
        <v>43437</v>
      </c>
      <c r="C108" s="1" t="n">
        <v>45190</v>
      </c>
      <c r="D108" t="inlineStr">
        <is>
          <t>SKÅNE LÄN</t>
        </is>
      </c>
      <c r="E108" t="inlineStr">
        <is>
          <t>KRISTIANSTAD</t>
        </is>
      </c>
      <c r="G108" t="n">
        <v>2.8</v>
      </c>
      <c r="H108" t="n">
        <v>0</v>
      </c>
      <c r="I108" t="n">
        <v>1</v>
      </c>
      <c r="J108" t="n">
        <v>0</v>
      </c>
      <c r="K108" t="n">
        <v>0</v>
      </c>
      <c r="L108" t="n">
        <v>0</v>
      </c>
      <c r="M108" t="n">
        <v>0</v>
      </c>
      <c r="N108" t="n">
        <v>0</v>
      </c>
      <c r="O108" t="n">
        <v>0</v>
      </c>
      <c r="P108" t="n">
        <v>0</v>
      </c>
      <c r="Q108" t="n">
        <v>1</v>
      </c>
      <c r="R108" s="2" t="inlineStr">
        <is>
          <t>Murgröna</t>
        </is>
      </c>
      <c r="S108">
        <f>HYPERLINK("https://klasma.github.io/Logging_KRISTIANSTAD/artfynd/A 66665-2018.xlsx", "A 66665-2018")</f>
        <v/>
      </c>
      <c r="T108">
        <f>HYPERLINK("https://klasma.github.io/Logging_KRISTIANSTAD/kartor/A 66665-2018.png", "A 66665-2018")</f>
        <v/>
      </c>
      <c r="V108">
        <f>HYPERLINK("https://klasma.github.io/Logging_KRISTIANSTAD/klagomål/A 66665-2018.docx", "A 66665-2018")</f>
        <v/>
      </c>
      <c r="W108">
        <f>HYPERLINK("https://klasma.github.io/Logging_KRISTIANSTAD/klagomålsmail/A 66665-2018.docx", "A 66665-2018")</f>
        <v/>
      </c>
      <c r="X108">
        <f>HYPERLINK("https://klasma.github.io/Logging_KRISTIANSTAD/tillsyn/A 66665-2018.docx", "A 66665-2018")</f>
        <v/>
      </c>
      <c r="Y108">
        <f>HYPERLINK("https://klasma.github.io/Logging_KRISTIANSTAD/tillsynsmail/A 66665-2018.docx", "A 66665-2018")</f>
        <v/>
      </c>
    </row>
    <row r="109" ht="15" customHeight="1">
      <c r="A109" t="inlineStr">
        <is>
          <t>A 67152-2018</t>
        </is>
      </c>
      <c r="B109" s="1" t="n">
        <v>43438</v>
      </c>
      <c r="C109" s="1" t="n">
        <v>45190</v>
      </c>
      <c r="D109" t="inlineStr">
        <is>
          <t>SKÅNE LÄN</t>
        </is>
      </c>
      <c r="E109" t="inlineStr">
        <is>
          <t>HÄSSLEHOLM</t>
        </is>
      </c>
      <c r="F109" t="inlineStr">
        <is>
          <t>Kommuner</t>
        </is>
      </c>
      <c r="G109" t="n">
        <v>5.3</v>
      </c>
      <c r="H109" t="n">
        <v>0</v>
      </c>
      <c r="I109" t="n">
        <v>0</v>
      </c>
      <c r="J109" t="n">
        <v>1</v>
      </c>
      <c r="K109" t="n">
        <v>0</v>
      </c>
      <c r="L109" t="n">
        <v>0</v>
      </c>
      <c r="M109" t="n">
        <v>0</v>
      </c>
      <c r="N109" t="n">
        <v>0</v>
      </c>
      <c r="O109" t="n">
        <v>1</v>
      </c>
      <c r="P109" t="n">
        <v>0</v>
      </c>
      <c r="Q109" t="n">
        <v>1</v>
      </c>
      <c r="R109" s="2" t="inlineStr">
        <is>
          <t>Gullklöver</t>
        </is>
      </c>
      <c r="S109">
        <f>HYPERLINK("https://klasma.github.io/Logging_HASSLEHOLM/artfynd/A 67152-2018.xlsx", "A 67152-2018")</f>
        <v/>
      </c>
      <c r="T109">
        <f>HYPERLINK("https://klasma.github.io/Logging_HASSLEHOLM/kartor/A 67152-2018.png", "A 67152-2018")</f>
        <v/>
      </c>
      <c r="V109">
        <f>HYPERLINK("https://klasma.github.io/Logging_HASSLEHOLM/klagomål/A 67152-2018.docx", "A 67152-2018")</f>
        <v/>
      </c>
      <c r="W109">
        <f>HYPERLINK("https://klasma.github.io/Logging_HASSLEHOLM/klagomålsmail/A 67152-2018.docx", "A 67152-2018")</f>
        <v/>
      </c>
      <c r="X109">
        <f>HYPERLINK("https://klasma.github.io/Logging_HASSLEHOLM/tillsyn/A 67152-2018.docx", "A 67152-2018")</f>
        <v/>
      </c>
      <c r="Y109">
        <f>HYPERLINK("https://klasma.github.io/Logging_HASSLEHOLM/tillsynsmail/A 67152-2018.docx", "A 67152-2018")</f>
        <v/>
      </c>
    </row>
    <row r="110" ht="15" customHeight="1">
      <c r="A110" t="inlineStr">
        <is>
          <t>A 67008-2018</t>
        </is>
      </c>
      <c r="B110" s="1" t="n">
        <v>43438</v>
      </c>
      <c r="C110" s="1" t="n">
        <v>45190</v>
      </c>
      <c r="D110" t="inlineStr">
        <is>
          <t>SKÅNE LÄN</t>
        </is>
      </c>
      <c r="E110" t="inlineStr">
        <is>
          <t>HÄSSLEHOLM</t>
        </is>
      </c>
      <c r="F110" t="inlineStr">
        <is>
          <t>Kommuner</t>
        </is>
      </c>
      <c r="G110" t="n">
        <v>2</v>
      </c>
      <c r="H110" t="n">
        <v>1</v>
      </c>
      <c r="I110" t="n">
        <v>0</v>
      </c>
      <c r="J110" t="n">
        <v>0</v>
      </c>
      <c r="K110" t="n">
        <v>0</v>
      </c>
      <c r="L110" t="n">
        <v>0</v>
      </c>
      <c r="M110" t="n">
        <v>0</v>
      </c>
      <c r="N110" t="n">
        <v>0</v>
      </c>
      <c r="O110" t="n">
        <v>0</v>
      </c>
      <c r="P110" t="n">
        <v>0</v>
      </c>
      <c r="Q110" t="n">
        <v>1</v>
      </c>
      <c r="R110" s="2" t="inlineStr">
        <is>
          <t>Huggorm</t>
        </is>
      </c>
      <c r="S110">
        <f>HYPERLINK("https://klasma.github.io/Logging_HASSLEHOLM/artfynd/A 67008-2018.xlsx", "A 67008-2018")</f>
        <v/>
      </c>
      <c r="T110">
        <f>HYPERLINK("https://klasma.github.io/Logging_HASSLEHOLM/kartor/A 67008-2018.png", "A 67008-2018")</f>
        <v/>
      </c>
      <c r="V110">
        <f>HYPERLINK("https://klasma.github.io/Logging_HASSLEHOLM/klagomål/A 67008-2018.docx", "A 67008-2018")</f>
        <v/>
      </c>
      <c r="W110">
        <f>HYPERLINK("https://klasma.github.io/Logging_HASSLEHOLM/klagomålsmail/A 67008-2018.docx", "A 67008-2018")</f>
        <v/>
      </c>
      <c r="X110">
        <f>HYPERLINK("https://klasma.github.io/Logging_HASSLEHOLM/tillsyn/A 67008-2018.docx", "A 67008-2018")</f>
        <v/>
      </c>
      <c r="Y110">
        <f>HYPERLINK("https://klasma.github.io/Logging_HASSLEHOLM/tillsynsmail/A 67008-2018.docx", "A 67008-2018")</f>
        <v/>
      </c>
    </row>
    <row r="111" ht="15" customHeight="1">
      <c r="A111" t="inlineStr">
        <is>
          <t>A 67851-2018</t>
        </is>
      </c>
      <c r="B111" s="1" t="n">
        <v>43440</v>
      </c>
      <c r="C111" s="1" t="n">
        <v>45190</v>
      </c>
      <c r="D111" t="inlineStr">
        <is>
          <t>SKÅNE LÄN</t>
        </is>
      </c>
      <c r="E111" t="inlineStr">
        <is>
          <t>HÄSSLEHOLM</t>
        </is>
      </c>
      <c r="G111" t="n">
        <v>0.5</v>
      </c>
      <c r="H111" t="n">
        <v>1</v>
      </c>
      <c r="I111" t="n">
        <v>0</v>
      </c>
      <c r="J111" t="n">
        <v>1</v>
      </c>
      <c r="K111" t="n">
        <v>0</v>
      </c>
      <c r="L111" t="n">
        <v>0</v>
      </c>
      <c r="M111" t="n">
        <v>0</v>
      </c>
      <c r="N111" t="n">
        <v>0</v>
      </c>
      <c r="O111" t="n">
        <v>1</v>
      </c>
      <c r="P111" t="n">
        <v>0</v>
      </c>
      <c r="Q111" t="n">
        <v>1</v>
      </c>
      <c r="R111" s="2" t="inlineStr">
        <is>
          <t>Spillkråka</t>
        </is>
      </c>
      <c r="S111">
        <f>HYPERLINK("https://klasma.github.io/Logging_HASSLEHOLM/artfynd/A 67851-2018.xlsx", "A 67851-2018")</f>
        <v/>
      </c>
      <c r="T111">
        <f>HYPERLINK("https://klasma.github.io/Logging_HASSLEHOLM/kartor/A 67851-2018.png", "A 67851-2018")</f>
        <v/>
      </c>
      <c r="V111">
        <f>HYPERLINK("https://klasma.github.io/Logging_HASSLEHOLM/klagomål/A 67851-2018.docx", "A 67851-2018")</f>
        <v/>
      </c>
      <c r="W111">
        <f>HYPERLINK("https://klasma.github.io/Logging_HASSLEHOLM/klagomålsmail/A 67851-2018.docx", "A 67851-2018")</f>
        <v/>
      </c>
      <c r="X111">
        <f>HYPERLINK("https://klasma.github.io/Logging_HASSLEHOLM/tillsyn/A 67851-2018.docx", "A 67851-2018")</f>
        <v/>
      </c>
      <c r="Y111">
        <f>HYPERLINK("https://klasma.github.io/Logging_HASSLEHOLM/tillsynsmail/A 67851-2018.docx", "A 67851-2018")</f>
        <v/>
      </c>
    </row>
    <row r="112" ht="15" customHeight="1">
      <c r="A112" t="inlineStr">
        <is>
          <t>A 69458-2018</t>
        </is>
      </c>
      <c r="B112" s="1" t="n">
        <v>43446</v>
      </c>
      <c r="C112" s="1" t="n">
        <v>45190</v>
      </c>
      <c r="D112" t="inlineStr">
        <is>
          <t>SKÅNE LÄN</t>
        </is>
      </c>
      <c r="E112" t="inlineStr">
        <is>
          <t>HÄSSLEHOLM</t>
        </is>
      </c>
      <c r="G112" t="n">
        <v>1.3</v>
      </c>
      <c r="H112" t="n">
        <v>0</v>
      </c>
      <c r="I112" t="n">
        <v>0</v>
      </c>
      <c r="J112" t="n">
        <v>0</v>
      </c>
      <c r="K112" t="n">
        <v>0</v>
      </c>
      <c r="L112" t="n">
        <v>1</v>
      </c>
      <c r="M112" t="n">
        <v>0</v>
      </c>
      <c r="N112" t="n">
        <v>0</v>
      </c>
      <c r="O112" t="n">
        <v>1</v>
      </c>
      <c r="P112" t="n">
        <v>1</v>
      </c>
      <c r="Q112" t="n">
        <v>1</v>
      </c>
      <c r="R112" s="2" t="inlineStr">
        <is>
          <t>Ask</t>
        </is>
      </c>
      <c r="S112">
        <f>HYPERLINK("https://klasma.github.io/Logging_HASSLEHOLM/artfynd/A 69458-2018.xlsx", "A 69458-2018")</f>
        <v/>
      </c>
      <c r="T112">
        <f>HYPERLINK("https://klasma.github.io/Logging_HASSLEHOLM/kartor/A 69458-2018.png", "A 69458-2018")</f>
        <v/>
      </c>
      <c r="V112">
        <f>HYPERLINK("https://klasma.github.io/Logging_HASSLEHOLM/klagomål/A 69458-2018.docx", "A 69458-2018")</f>
        <v/>
      </c>
      <c r="W112">
        <f>HYPERLINK("https://klasma.github.io/Logging_HASSLEHOLM/klagomålsmail/A 69458-2018.docx", "A 69458-2018")</f>
        <v/>
      </c>
      <c r="X112">
        <f>HYPERLINK("https://klasma.github.io/Logging_HASSLEHOLM/tillsyn/A 69458-2018.docx", "A 69458-2018")</f>
        <v/>
      </c>
      <c r="Y112">
        <f>HYPERLINK("https://klasma.github.io/Logging_HASSLEHOLM/tillsynsmail/A 69458-2018.docx", "A 69458-2018")</f>
        <v/>
      </c>
    </row>
    <row r="113" ht="15" customHeight="1">
      <c r="A113" t="inlineStr">
        <is>
          <t>A 2124-2019</t>
        </is>
      </c>
      <c r="B113" s="1" t="n">
        <v>43467</v>
      </c>
      <c r="C113" s="1" t="n">
        <v>45190</v>
      </c>
      <c r="D113" t="inlineStr">
        <is>
          <t>SKÅNE LÄN</t>
        </is>
      </c>
      <c r="E113" t="inlineStr">
        <is>
          <t>SJÖBO</t>
        </is>
      </c>
      <c r="G113" t="n">
        <v>3.7</v>
      </c>
      <c r="H113" t="n">
        <v>1</v>
      </c>
      <c r="I113" t="n">
        <v>1</v>
      </c>
      <c r="J113" t="n">
        <v>0</v>
      </c>
      <c r="K113" t="n">
        <v>0</v>
      </c>
      <c r="L113" t="n">
        <v>0</v>
      </c>
      <c r="M113" t="n">
        <v>0</v>
      </c>
      <c r="N113" t="n">
        <v>0</v>
      </c>
      <c r="O113" t="n">
        <v>0</v>
      </c>
      <c r="P113" t="n">
        <v>0</v>
      </c>
      <c r="Q113" t="n">
        <v>1</v>
      </c>
      <c r="R113" s="2" t="inlineStr">
        <is>
          <t>Ekoxe</t>
        </is>
      </c>
      <c r="S113">
        <f>HYPERLINK("https://klasma.github.io/Logging_SJOBO/artfynd/A 2124-2019.xlsx", "A 2124-2019")</f>
        <v/>
      </c>
      <c r="T113">
        <f>HYPERLINK("https://klasma.github.io/Logging_SJOBO/kartor/A 2124-2019.png", "A 2124-2019")</f>
        <v/>
      </c>
      <c r="V113">
        <f>HYPERLINK("https://klasma.github.io/Logging_SJOBO/klagomål/A 2124-2019.docx", "A 2124-2019")</f>
        <v/>
      </c>
      <c r="W113">
        <f>HYPERLINK("https://klasma.github.io/Logging_SJOBO/klagomålsmail/A 2124-2019.docx", "A 2124-2019")</f>
        <v/>
      </c>
      <c r="X113">
        <f>HYPERLINK("https://klasma.github.io/Logging_SJOBO/tillsyn/A 2124-2019.docx", "A 2124-2019")</f>
        <v/>
      </c>
      <c r="Y113">
        <f>HYPERLINK("https://klasma.github.io/Logging_SJOBO/tillsynsmail/A 2124-2019.docx", "A 2124-2019")</f>
        <v/>
      </c>
    </row>
    <row r="114" ht="15" customHeight="1">
      <c r="A114" t="inlineStr">
        <is>
          <t>A 569-2019</t>
        </is>
      </c>
      <c r="B114" s="1" t="n">
        <v>43469</v>
      </c>
      <c r="C114" s="1" t="n">
        <v>45190</v>
      </c>
      <c r="D114" t="inlineStr">
        <is>
          <t>SKÅNE LÄN</t>
        </is>
      </c>
      <c r="E114" t="inlineStr">
        <is>
          <t>KRISTIANSTAD</t>
        </is>
      </c>
      <c r="G114" t="n">
        <v>8.1</v>
      </c>
      <c r="H114" t="n">
        <v>1</v>
      </c>
      <c r="I114" t="n">
        <v>0</v>
      </c>
      <c r="J114" t="n">
        <v>1</v>
      </c>
      <c r="K114" t="n">
        <v>0</v>
      </c>
      <c r="L114" t="n">
        <v>0</v>
      </c>
      <c r="M114" t="n">
        <v>0</v>
      </c>
      <c r="N114" t="n">
        <v>0</v>
      </c>
      <c r="O114" t="n">
        <v>1</v>
      </c>
      <c r="P114" t="n">
        <v>0</v>
      </c>
      <c r="Q114" t="n">
        <v>1</v>
      </c>
      <c r="R114" s="2" t="inlineStr">
        <is>
          <t>Havsörn</t>
        </is>
      </c>
      <c r="S114">
        <f>HYPERLINK("https://klasma.github.io/Logging_KRISTIANSTAD/artfynd/A 569-2019.xlsx", "A 569-2019")</f>
        <v/>
      </c>
      <c r="T114">
        <f>HYPERLINK("https://klasma.github.io/Logging_KRISTIANSTAD/kartor/A 569-2019.png", "A 569-2019")</f>
        <v/>
      </c>
      <c r="V114">
        <f>HYPERLINK("https://klasma.github.io/Logging_KRISTIANSTAD/klagomål/A 569-2019.docx", "A 569-2019")</f>
        <v/>
      </c>
      <c r="W114">
        <f>HYPERLINK("https://klasma.github.io/Logging_KRISTIANSTAD/klagomålsmail/A 569-2019.docx", "A 569-2019")</f>
        <v/>
      </c>
      <c r="X114">
        <f>HYPERLINK("https://klasma.github.io/Logging_KRISTIANSTAD/tillsyn/A 569-2019.docx", "A 569-2019")</f>
        <v/>
      </c>
      <c r="Y114">
        <f>HYPERLINK("https://klasma.github.io/Logging_KRISTIANSTAD/tillsynsmail/A 569-2019.docx", "A 569-2019")</f>
        <v/>
      </c>
    </row>
    <row r="115" ht="15" customHeight="1">
      <c r="A115" t="inlineStr">
        <is>
          <t>A 2675-2019</t>
        </is>
      </c>
      <c r="B115" s="1" t="n">
        <v>43469</v>
      </c>
      <c r="C115" s="1" t="n">
        <v>45190</v>
      </c>
      <c r="D115" t="inlineStr">
        <is>
          <t>SKÅNE LÄN</t>
        </is>
      </c>
      <c r="E115" t="inlineStr">
        <is>
          <t>BÅSTAD</t>
        </is>
      </c>
      <c r="G115" t="n">
        <v>12.2</v>
      </c>
      <c r="H115" t="n">
        <v>0</v>
      </c>
      <c r="I115" t="n">
        <v>0</v>
      </c>
      <c r="J115" t="n">
        <v>0</v>
      </c>
      <c r="K115" t="n">
        <v>1</v>
      </c>
      <c r="L115" t="n">
        <v>0</v>
      </c>
      <c r="M115" t="n">
        <v>0</v>
      </c>
      <c r="N115" t="n">
        <v>0</v>
      </c>
      <c r="O115" t="n">
        <v>1</v>
      </c>
      <c r="P115" t="n">
        <v>1</v>
      </c>
      <c r="Q115" t="n">
        <v>1</v>
      </c>
      <c r="R115" s="2" t="inlineStr">
        <is>
          <t>Slåttergubbe</t>
        </is>
      </c>
      <c r="S115">
        <f>HYPERLINK("https://klasma.github.io/Logging_BASTAD/artfynd/A 2675-2019.xlsx", "A 2675-2019")</f>
        <v/>
      </c>
      <c r="T115">
        <f>HYPERLINK("https://klasma.github.io/Logging_BASTAD/kartor/A 2675-2019.png", "A 2675-2019")</f>
        <v/>
      </c>
      <c r="V115">
        <f>HYPERLINK("https://klasma.github.io/Logging_BASTAD/klagomål/A 2675-2019.docx", "A 2675-2019")</f>
        <v/>
      </c>
      <c r="W115">
        <f>HYPERLINK("https://klasma.github.io/Logging_BASTAD/klagomålsmail/A 2675-2019.docx", "A 2675-2019")</f>
        <v/>
      </c>
      <c r="X115">
        <f>HYPERLINK("https://klasma.github.io/Logging_BASTAD/tillsyn/A 2675-2019.docx", "A 2675-2019")</f>
        <v/>
      </c>
      <c r="Y115">
        <f>HYPERLINK("https://klasma.github.io/Logging_BASTAD/tillsynsmail/A 2675-2019.docx", "A 2675-2019")</f>
        <v/>
      </c>
    </row>
    <row r="116" ht="15" customHeight="1">
      <c r="A116" t="inlineStr">
        <is>
          <t>A 1829-2019</t>
        </is>
      </c>
      <c r="B116" s="1" t="n">
        <v>43474</v>
      </c>
      <c r="C116" s="1" t="n">
        <v>45190</v>
      </c>
      <c r="D116" t="inlineStr">
        <is>
          <t>SKÅNE LÄN</t>
        </is>
      </c>
      <c r="E116" t="inlineStr">
        <is>
          <t>HÄSSLEHOLM</t>
        </is>
      </c>
      <c r="G116" t="n">
        <v>4.7</v>
      </c>
      <c r="H116" t="n">
        <v>0</v>
      </c>
      <c r="I116" t="n">
        <v>1</v>
      </c>
      <c r="J116" t="n">
        <v>0</v>
      </c>
      <c r="K116" t="n">
        <v>0</v>
      </c>
      <c r="L116" t="n">
        <v>0</v>
      </c>
      <c r="M116" t="n">
        <v>0</v>
      </c>
      <c r="N116" t="n">
        <v>0</v>
      </c>
      <c r="O116" t="n">
        <v>0</v>
      </c>
      <c r="P116" t="n">
        <v>0</v>
      </c>
      <c r="Q116" t="n">
        <v>1</v>
      </c>
      <c r="R116" s="2" t="inlineStr">
        <is>
          <t>Dvärghäxört</t>
        </is>
      </c>
      <c r="S116">
        <f>HYPERLINK("https://klasma.github.io/Logging_HASSLEHOLM/artfynd/A 1829-2019.xlsx", "A 1829-2019")</f>
        <v/>
      </c>
      <c r="T116">
        <f>HYPERLINK("https://klasma.github.io/Logging_HASSLEHOLM/kartor/A 1829-2019.png", "A 1829-2019")</f>
        <v/>
      </c>
      <c r="V116">
        <f>HYPERLINK("https://klasma.github.io/Logging_HASSLEHOLM/klagomål/A 1829-2019.docx", "A 1829-2019")</f>
        <v/>
      </c>
      <c r="W116">
        <f>HYPERLINK("https://klasma.github.io/Logging_HASSLEHOLM/klagomålsmail/A 1829-2019.docx", "A 1829-2019")</f>
        <v/>
      </c>
      <c r="X116">
        <f>HYPERLINK("https://klasma.github.io/Logging_HASSLEHOLM/tillsyn/A 1829-2019.docx", "A 1829-2019")</f>
        <v/>
      </c>
      <c r="Y116">
        <f>HYPERLINK("https://klasma.github.io/Logging_HASSLEHOLM/tillsynsmail/A 1829-2019.docx", "A 1829-2019")</f>
        <v/>
      </c>
    </row>
    <row r="117" ht="15" customHeight="1">
      <c r="A117" t="inlineStr">
        <is>
          <t>A 3218-2019</t>
        </is>
      </c>
      <c r="B117" s="1" t="n">
        <v>43480</v>
      </c>
      <c r="C117" s="1" t="n">
        <v>45190</v>
      </c>
      <c r="D117" t="inlineStr">
        <is>
          <t>SKÅNE LÄN</t>
        </is>
      </c>
      <c r="E117" t="inlineStr">
        <is>
          <t>TOMELILLA</t>
        </is>
      </c>
      <c r="F117" t="inlineStr">
        <is>
          <t>Övriga Aktiebolag</t>
        </is>
      </c>
      <c r="G117" t="n">
        <v>7.5</v>
      </c>
      <c r="H117" t="n">
        <v>1</v>
      </c>
      <c r="I117" t="n">
        <v>0</v>
      </c>
      <c r="J117" t="n">
        <v>0</v>
      </c>
      <c r="K117" t="n">
        <v>0</v>
      </c>
      <c r="L117" t="n">
        <v>1</v>
      </c>
      <c r="M117" t="n">
        <v>0</v>
      </c>
      <c r="N117" t="n">
        <v>0</v>
      </c>
      <c r="O117" t="n">
        <v>1</v>
      </c>
      <c r="P117" t="n">
        <v>1</v>
      </c>
      <c r="Q117" t="n">
        <v>1</v>
      </c>
      <c r="R117" s="2" t="inlineStr">
        <is>
          <t>Vit stork</t>
        </is>
      </c>
      <c r="S117">
        <f>HYPERLINK("https://klasma.github.io/Logging_TOMELILLA/artfynd/A 3218-2019.xlsx", "A 3218-2019")</f>
        <v/>
      </c>
      <c r="T117">
        <f>HYPERLINK("https://klasma.github.io/Logging_TOMELILLA/kartor/A 3218-2019.png", "A 3218-2019")</f>
        <v/>
      </c>
      <c r="V117">
        <f>HYPERLINK("https://klasma.github.io/Logging_TOMELILLA/klagomål/A 3218-2019.docx", "A 3218-2019")</f>
        <v/>
      </c>
      <c r="W117">
        <f>HYPERLINK("https://klasma.github.io/Logging_TOMELILLA/klagomålsmail/A 3218-2019.docx", "A 3218-2019")</f>
        <v/>
      </c>
      <c r="X117">
        <f>HYPERLINK("https://klasma.github.io/Logging_TOMELILLA/tillsyn/A 3218-2019.docx", "A 3218-2019")</f>
        <v/>
      </c>
      <c r="Y117">
        <f>HYPERLINK("https://klasma.github.io/Logging_TOMELILLA/tillsynsmail/A 3218-2019.docx", "A 3218-2019")</f>
        <v/>
      </c>
    </row>
    <row r="118" ht="15" customHeight="1">
      <c r="A118" t="inlineStr">
        <is>
          <t>A 5791-2019</t>
        </is>
      </c>
      <c r="B118" s="1" t="n">
        <v>43482</v>
      </c>
      <c r="C118" s="1" t="n">
        <v>45190</v>
      </c>
      <c r="D118" t="inlineStr">
        <is>
          <t>SKÅNE LÄN</t>
        </is>
      </c>
      <c r="E118" t="inlineStr">
        <is>
          <t>OSBY</t>
        </is>
      </c>
      <c r="G118" t="n">
        <v>6.9</v>
      </c>
      <c r="H118" t="n">
        <v>0</v>
      </c>
      <c r="I118" t="n">
        <v>0</v>
      </c>
      <c r="J118" t="n">
        <v>0</v>
      </c>
      <c r="K118" t="n">
        <v>1</v>
      </c>
      <c r="L118" t="n">
        <v>0</v>
      </c>
      <c r="M118" t="n">
        <v>0</v>
      </c>
      <c r="N118" t="n">
        <v>0</v>
      </c>
      <c r="O118" t="n">
        <v>1</v>
      </c>
      <c r="P118" t="n">
        <v>1</v>
      </c>
      <c r="Q118" t="n">
        <v>1</v>
      </c>
      <c r="R118" s="2" t="inlineStr">
        <is>
          <t>Sjötåtel</t>
        </is>
      </c>
      <c r="S118">
        <f>HYPERLINK("https://klasma.github.io/Logging_OSBY/artfynd/A 5791-2019.xlsx", "A 5791-2019")</f>
        <v/>
      </c>
      <c r="T118">
        <f>HYPERLINK("https://klasma.github.io/Logging_OSBY/kartor/A 5791-2019.png", "A 5791-2019")</f>
        <v/>
      </c>
      <c r="V118">
        <f>HYPERLINK("https://klasma.github.io/Logging_OSBY/klagomål/A 5791-2019.docx", "A 5791-2019")</f>
        <v/>
      </c>
      <c r="W118">
        <f>HYPERLINK("https://klasma.github.io/Logging_OSBY/klagomålsmail/A 5791-2019.docx", "A 5791-2019")</f>
        <v/>
      </c>
      <c r="X118">
        <f>HYPERLINK("https://klasma.github.io/Logging_OSBY/tillsyn/A 5791-2019.docx", "A 5791-2019")</f>
        <v/>
      </c>
      <c r="Y118">
        <f>HYPERLINK("https://klasma.github.io/Logging_OSBY/tillsynsmail/A 5791-2019.docx", "A 5791-2019")</f>
        <v/>
      </c>
    </row>
    <row r="119" ht="15" customHeight="1">
      <c r="A119" t="inlineStr">
        <is>
          <t>A 6674-2019</t>
        </is>
      </c>
      <c r="B119" s="1" t="n">
        <v>43494</v>
      </c>
      <c r="C119" s="1" t="n">
        <v>45190</v>
      </c>
      <c r="D119" t="inlineStr">
        <is>
          <t>SKÅNE LÄN</t>
        </is>
      </c>
      <c r="E119" t="inlineStr">
        <is>
          <t>OSBY</t>
        </is>
      </c>
      <c r="F119" t="inlineStr">
        <is>
          <t>Kommuner</t>
        </is>
      </c>
      <c r="G119" t="n">
        <v>0.9</v>
      </c>
      <c r="H119" t="n">
        <v>1</v>
      </c>
      <c r="I119" t="n">
        <v>0</v>
      </c>
      <c r="J119" t="n">
        <v>1</v>
      </c>
      <c r="K119" t="n">
        <v>0</v>
      </c>
      <c r="L119" t="n">
        <v>0</v>
      </c>
      <c r="M119" t="n">
        <v>0</v>
      </c>
      <c r="N119" t="n">
        <v>0</v>
      </c>
      <c r="O119" t="n">
        <v>1</v>
      </c>
      <c r="P119" t="n">
        <v>0</v>
      </c>
      <c r="Q119" t="n">
        <v>1</v>
      </c>
      <c r="R119" s="2" t="inlineStr">
        <is>
          <t>Utter</t>
        </is>
      </c>
      <c r="S119">
        <f>HYPERLINK("https://klasma.github.io/Logging_OSBY/artfynd/A 6674-2019.xlsx", "A 6674-2019")</f>
        <v/>
      </c>
      <c r="T119">
        <f>HYPERLINK("https://klasma.github.io/Logging_OSBY/kartor/A 6674-2019.png", "A 6674-2019")</f>
        <v/>
      </c>
      <c r="V119">
        <f>HYPERLINK("https://klasma.github.io/Logging_OSBY/klagomål/A 6674-2019.docx", "A 6674-2019")</f>
        <v/>
      </c>
      <c r="W119">
        <f>HYPERLINK("https://klasma.github.io/Logging_OSBY/klagomålsmail/A 6674-2019.docx", "A 6674-2019")</f>
        <v/>
      </c>
      <c r="X119">
        <f>HYPERLINK("https://klasma.github.io/Logging_OSBY/tillsyn/A 6674-2019.docx", "A 6674-2019")</f>
        <v/>
      </c>
      <c r="Y119">
        <f>HYPERLINK("https://klasma.github.io/Logging_OSBY/tillsynsmail/A 6674-2019.docx", "A 6674-2019")</f>
        <v/>
      </c>
    </row>
    <row r="120" ht="15" customHeight="1">
      <c r="A120" t="inlineStr">
        <is>
          <t>A 8457-2019</t>
        </is>
      </c>
      <c r="B120" s="1" t="n">
        <v>43500</v>
      </c>
      <c r="C120" s="1" t="n">
        <v>45190</v>
      </c>
      <c r="D120" t="inlineStr">
        <is>
          <t>SKÅNE LÄN</t>
        </is>
      </c>
      <c r="E120" t="inlineStr">
        <is>
          <t>HÖÖR</t>
        </is>
      </c>
      <c r="G120" t="n">
        <v>5.9</v>
      </c>
      <c r="H120" t="n">
        <v>0</v>
      </c>
      <c r="I120" t="n">
        <v>0</v>
      </c>
      <c r="J120" t="n">
        <v>0</v>
      </c>
      <c r="K120" t="n">
        <v>0</v>
      </c>
      <c r="L120" t="n">
        <v>1</v>
      </c>
      <c r="M120" t="n">
        <v>0</v>
      </c>
      <c r="N120" t="n">
        <v>0</v>
      </c>
      <c r="O120" t="n">
        <v>1</v>
      </c>
      <c r="P120" t="n">
        <v>1</v>
      </c>
      <c r="Q120" t="n">
        <v>1</v>
      </c>
      <c r="R120" s="2" t="inlineStr">
        <is>
          <t>Ask</t>
        </is>
      </c>
      <c r="S120">
        <f>HYPERLINK("https://klasma.github.io/Logging_HOOR/artfynd/A 8457-2019.xlsx", "A 8457-2019")</f>
        <v/>
      </c>
      <c r="T120">
        <f>HYPERLINK("https://klasma.github.io/Logging_HOOR/kartor/A 8457-2019.png", "A 8457-2019")</f>
        <v/>
      </c>
      <c r="V120">
        <f>HYPERLINK("https://klasma.github.io/Logging_HOOR/klagomål/A 8457-2019.docx", "A 8457-2019")</f>
        <v/>
      </c>
      <c r="W120">
        <f>HYPERLINK("https://klasma.github.io/Logging_HOOR/klagomålsmail/A 8457-2019.docx", "A 8457-2019")</f>
        <v/>
      </c>
      <c r="X120">
        <f>HYPERLINK("https://klasma.github.io/Logging_HOOR/tillsyn/A 8457-2019.docx", "A 8457-2019")</f>
        <v/>
      </c>
      <c r="Y120">
        <f>HYPERLINK("https://klasma.github.io/Logging_HOOR/tillsynsmail/A 8457-2019.docx", "A 8457-2019")</f>
        <v/>
      </c>
    </row>
    <row r="121" ht="15" customHeight="1">
      <c r="A121" t="inlineStr">
        <is>
          <t>A 8446-2019</t>
        </is>
      </c>
      <c r="B121" s="1" t="n">
        <v>43500</v>
      </c>
      <c r="C121" s="1" t="n">
        <v>45190</v>
      </c>
      <c r="D121" t="inlineStr">
        <is>
          <t>SKÅNE LÄN</t>
        </is>
      </c>
      <c r="E121" t="inlineStr">
        <is>
          <t>HÖÖR</t>
        </is>
      </c>
      <c r="G121" t="n">
        <v>3.6</v>
      </c>
      <c r="H121" t="n">
        <v>0</v>
      </c>
      <c r="I121" t="n">
        <v>0</v>
      </c>
      <c r="J121" t="n">
        <v>0</v>
      </c>
      <c r="K121" t="n">
        <v>1</v>
      </c>
      <c r="L121" t="n">
        <v>0</v>
      </c>
      <c r="M121" t="n">
        <v>0</v>
      </c>
      <c r="N121" t="n">
        <v>0</v>
      </c>
      <c r="O121" t="n">
        <v>1</v>
      </c>
      <c r="P121" t="n">
        <v>1</v>
      </c>
      <c r="Q121" t="n">
        <v>1</v>
      </c>
      <c r="R121" s="2" t="inlineStr">
        <is>
          <t>Småvänderot</t>
        </is>
      </c>
      <c r="S121">
        <f>HYPERLINK("https://klasma.github.io/Logging_HOOR/artfynd/A 8446-2019.xlsx", "A 8446-2019")</f>
        <v/>
      </c>
      <c r="T121">
        <f>HYPERLINK("https://klasma.github.io/Logging_HOOR/kartor/A 8446-2019.png", "A 8446-2019")</f>
        <v/>
      </c>
      <c r="V121">
        <f>HYPERLINK("https://klasma.github.io/Logging_HOOR/klagomål/A 8446-2019.docx", "A 8446-2019")</f>
        <v/>
      </c>
      <c r="W121">
        <f>HYPERLINK("https://klasma.github.io/Logging_HOOR/klagomålsmail/A 8446-2019.docx", "A 8446-2019")</f>
        <v/>
      </c>
      <c r="X121">
        <f>HYPERLINK("https://klasma.github.io/Logging_HOOR/tillsyn/A 8446-2019.docx", "A 8446-2019")</f>
        <v/>
      </c>
      <c r="Y121">
        <f>HYPERLINK("https://klasma.github.io/Logging_HOOR/tillsynsmail/A 8446-2019.docx", "A 8446-2019")</f>
        <v/>
      </c>
    </row>
    <row r="122" ht="15" customHeight="1">
      <c r="A122" t="inlineStr">
        <is>
          <t>A 12467-2019</t>
        </is>
      </c>
      <c r="B122" s="1" t="n">
        <v>43523</v>
      </c>
      <c r="C122" s="1" t="n">
        <v>45190</v>
      </c>
      <c r="D122" t="inlineStr">
        <is>
          <t>SKÅNE LÄN</t>
        </is>
      </c>
      <c r="E122" t="inlineStr">
        <is>
          <t>ÖSTRA GÖINGE</t>
        </is>
      </c>
      <c r="G122" t="n">
        <v>1.4</v>
      </c>
      <c r="H122" t="n">
        <v>0</v>
      </c>
      <c r="I122" t="n">
        <v>1</v>
      </c>
      <c r="J122" t="n">
        <v>0</v>
      </c>
      <c r="K122" t="n">
        <v>0</v>
      </c>
      <c r="L122" t="n">
        <v>0</v>
      </c>
      <c r="M122" t="n">
        <v>0</v>
      </c>
      <c r="N122" t="n">
        <v>0</v>
      </c>
      <c r="O122" t="n">
        <v>0</v>
      </c>
      <c r="P122" t="n">
        <v>0</v>
      </c>
      <c r="Q122" t="n">
        <v>1</v>
      </c>
      <c r="R122" s="2" t="inlineStr">
        <is>
          <t>Stor häxört</t>
        </is>
      </c>
      <c r="S122">
        <f>HYPERLINK("https://klasma.github.io/Logging_OSTRA_GOINGE/artfynd/A 12467-2019.xlsx", "A 12467-2019")</f>
        <v/>
      </c>
      <c r="T122">
        <f>HYPERLINK("https://klasma.github.io/Logging_OSTRA_GOINGE/kartor/A 12467-2019.png", "A 12467-2019")</f>
        <v/>
      </c>
      <c r="V122">
        <f>HYPERLINK("https://klasma.github.io/Logging_OSTRA_GOINGE/klagomål/A 12467-2019.docx", "A 12467-2019")</f>
        <v/>
      </c>
      <c r="W122">
        <f>HYPERLINK("https://klasma.github.io/Logging_OSTRA_GOINGE/klagomålsmail/A 12467-2019.docx", "A 12467-2019")</f>
        <v/>
      </c>
      <c r="X122">
        <f>HYPERLINK("https://klasma.github.io/Logging_OSTRA_GOINGE/tillsyn/A 12467-2019.docx", "A 12467-2019")</f>
        <v/>
      </c>
      <c r="Y122">
        <f>HYPERLINK("https://klasma.github.io/Logging_OSTRA_GOINGE/tillsynsmail/A 12467-2019.docx", "A 12467-2019")</f>
        <v/>
      </c>
    </row>
    <row r="123" ht="15" customHeight="1">
      <c r="A123" t="inlineStr">
        <is>
          <t>A 12932-2019</t>
        </is>
      </c>
      <c r="B123" s="1" t="n">
        <v>43525</v>
      </c>
      <c r="C123" s="1" t="n">
        <v>45190</v>
      </c>
      <c r="D123" t="inlineStr">
        <is>
          <t>SKÅNE LÄN</t>
        </is>
      </c>
      <c r="E123" t="inlineStr">
        <is>
          <t>HÄSSLEHOLM</t>
        </is>
      </c>
      <c r="G123" t="n">
        <v>13.6</v>
      </c>
      <c r="H123" t="n">
        <v>1</v>
      </c>
      <c r="I123" t="n">
        <v>0</v>
      </c>
      <c r="J123" t="n">
        <v>0</v>
      </c>
      <c r="K123" t="n">
        <v>0</v>
      </c>
      <c r="L123" t="n">
        <v>0</v>
      </c>
      <c r="M123" t="n">
        <v>0</v>
      </c>
      <c r="N123" t="n">
        <v>0</v>
      </c>
      <c r="O123" t="n">
        <v>0</v>
      </c>
      <c r="P123" t="n">
        <v>0</v>
      </c>
      <c r="Q123" t="n">
        <v>1</v>
      </c>
      <c r="R123" s="2" t="inlineStr">
        <is>
          <t>Revlummer</t>
        </is>
      </c>
      <c r="S123">
        <f>HYPERLINK("https://klasma.github.io/Logging_HASSLEHOLM/artfynd/A 12932-2019.xlsx", "A 12932-2019")</f>
        <v/>
      </c>
      <c r="T123">
        <f>HYPERLINK("https://klasma.github.io/Logging_HASSLEHOLM/kartor/A 12932-2019.png", "A 12932-2019")</f>
        <v/>
      </c>
      <c r="V123">
        <f>HYPERLINK("https://klasma.github.io/Logging_HASSLEHOLM/klagomål/A 12932-2019.docx", "A 12932-2019")</f>
        <v/>
      </c>
      <c r="W123">
        <f>HYPERLINK("https://klasma.github.io/Logging_HASSLEHOLM/klagomålsmail/A 12932-2019.docx", "A 12932-2019")</f>
        <v/>
      </c>
      <c r="X123">
        <f>HYPERLINK("https://klasma.github.io/Logging_HASSLEHOLM/tillsyn/A 12932-2019.docx", "A 12932-2019")</f>
        <v/>
      </c>
      <c r="Y123">
        <f>HYPERLINK("https://klasma.github.io/Logging_HASSLEHOLM/tillsynsmail/A 12932-2019.docx", "A 12932-2019")</f>
        <v/>
      </c>
    </row>
    <row r="124" ht="15" customHeight="1">
      <c r="A124" t="inlineStr">
        <is>
          <t>A 15860-2019</t>
        </is>
      </c>
      <c r="B124" s="1" t="n">
        <v>43543</v>
      </c>
      <c r="C124" s="1" t="n">
        <v>45190</v>
      </c>
      <c r="D124" t="inlineStr">
        <is>
          <t>SKÅNE LÄN</t>
        </is>
      </c>
      <c r="E124" t="inlineStr">
        <is>
          <t>LUND</t>
        </is>
      </c>
      <c r="G124" t="n">
        <v>26.6</v>
      </c>
      <c r="H124" t="n">
        <v>0</v>
      </c>
      <c r="I124" t="n">
        <v>1</v>
      </c>
      <c r="J124" t="n">
        <v>0</v>
      </c>
      <c r="K124" t="n">
        <v>0</v>
      </c>
      <c r="L124" t="n">
        <v>0</v>
      </c>
      <c r="M124" t="n">
        <v>0</v>
      </c>
      <c r="N124" t="n">
        <v>0</v>
      </c>
      <c r="O124" t="n">
        <v>0</v>
      </c>
      <c r="P124" t="n">
        <v>0</v>
      </c>
      <c r="Q124" t="n">
        <v>1</v>
      </c>
      <c r="R124" s="2" t="inlineStr">
        <is>
          <t>Skogsbräsma</t>
        </is>
      </c>
      <c r="S124">
        <f>HYPERLINK("https://klasma.github.io/Logging_LUND/artfynd/A 15860-2019.xlsx", "A 15860-2019")</f>
        <v/>
      </c>
      <c r="T124">
        <f>HYPERLINK("https://klasma.github.io/Logging_LUND/kartor/A 15860-2019.png", "A 15860-2019")</f>
        <v/>
      </c>
      <c r="V124">
        <f>HYPERLINK("https://klasma.github.io/Logging_LUND/klagomål/A 15860-2019.docx", "A 15860-2019")</f>
        <v/>
      </c>
      <c r="W124">
        <f>HYPERLINK("https://klasma.github.io/Logging_LUND/klagomålsmail/A 15860-2019.docx", "A 15860-2019")</f>
        <v/>
      </c>
      <c r="X124">
        <f>HYPERLINK("https://klasma.github.io/Logging_LUND/tillsyn/A 15860-2019.docx", "A 15860-2019")</f>
        <v/>
      </c>
      <c r="Y124">
        <f>HYPERLINK("https://klasma.github.io/Logging_LUND/tillsynsmail/A 15860-2019.docx", "A 15860-2019")</f>
        <v/>
      </c>
    </row>
    <row r="125" ht="15" customHeight="1">
      <c r="A125" t="inlineStr">
        <is>
          <t>A 20427-2019</t>
        </is>
      </c>
      <c r="B125" s="1" t="n">
        <v>43571</v>
      </c>
      <c r="C125" s="1" t="n">
        <v>45190</v>
      </c>
      <c r="D125" t="inlineStr">
        <is>
          <t>SKÅNE LÄN</t>
        </is>
      </c>
      <c r="E125" t="inlineStr">
        <is>
          <t>SJÖBO</t>
        </is>
      </c>
      <c r="G125" t="n">
        <v>4.5</v>
      </c>
      <c r="H125" t="n">
        <v>0</v>
      </c>
      <c r="I125" t="n">
        <v>0</v>
      </c>
      <c r="J125" t="n">
        <v>0</v>
      </c>
      <c r="K125" t="n">
        <v>0</v>
      </c>
      <c r="L125" t="n">
        <v>1</v>
      </c>
      <c r="M125" t="n">
        <v>0</v>
      </c>
      <c r="N125" t="n">
        <v>0</v>
      </c>
      <c r="O125" t="n">
        <v>1</v>
      </c>
      <c r="P125" t="n">
        <v>1</v>
      </c>
      <c r="Q125" t="n">
        <v>1</v>
      </c>
      <c r="R125" s="2" t="inlineStr">
        <is>
          <t>Ask</t>
        </is>
      </c>
      <c r="S125">
        <f>HYPERLINK("https://klasma.github.io/Logging_SJOBO/artfynd/A 20427-2019.xlsx", "A 20427-2019")</f>
        <v/>
      </c>
      <c r="T125">
        <f>HYPERLINK("https://klasma.github.io/Logging_SJOBO/kartor/A 20427-2019.png", "A 20427-2019")</f>
        <v/>
      </c>
      <c r="V125">
        <f>HYPERLINK("https://klasma.github.io/Logging_SJOBO/klagomål/A 20427-2019.docx", "A 20427-2019")</f>
        <v/>
      </c>
      <c r="W125">
        <f>HYPERLINK("https://klasma.github.io/Logging_SJOBO/klagomålsmail/A 20427-2019.docx", "A 20427-2019")</f>
        <v/>
      </c>
      <c r="X125">
        <f>HYPERLINK("https://klasma.github.io/Logging_SJOBO/tillsyn/A 20427-2019.docx", "A 20427-2019")</f>
        <v/>
      </c>
      <c r="Y125">
        <f>HYPERLINK("https://klasma.github.io/Logging_SJOBO/tillsynsmail/A 20427-2019.docx", "A 20427-2019")</f>
        <v/>
      </c>
    </row>
    <row r="126" ht="15" customHeight="1">
      <c r="A126" t="inlineStr">
        <is>
          <t>A 28988-2019</t>
        </is>
      </c>
      <c r="B126" s="1" t="n">
        <v>43620</v>
      </c>
      <c r="C126" s="1" t="n">
        <v>45190</v>
      </c>
      <c r="D126" t="inlineStr">
        <is>
          <t>SKÅNE LÄN</t>
        </is>
      </c>
      <c r="E126" t="inlineStr">
        <is>
          <t>HÄSSLEHOLM</t>
        </is>
      </c>
      <c r="G126" t="n">
        <v>1</v>
      </c>
      <c r="H126" t="n">
        <v>0</v>
      </c>
      <c r="I126" t="n">
        <v>0</v>
      </c>
      <c r="J126" t="n">
        <v>0</v>
      </c>
      <c r="K126" t="n">
        <v>1</v>
      </c>
      <c r="L126" t="n">
        <v>0</v>
      </c>
      <c r="M126" t="n">
        <v>0</v>
      </c>
      <c r="N126" t="n">
        <v>0</v>
      </c>
      <c r="O126" t="n">
        <v>1</v>
      </c>
      <c r="P126" t="n">
        <v>1</v>
      </c>
      <c r="Q126" t="n">
        <v>1</v>
      </c>
      <c r="R126" s="2" t="inlineStr">
        <is>
          <t>Slåttergubbe</t>
        </is>
      </c>
      <c r="S126">
        <f>HYPERLINK("https://klasma.github.io/Logging_HASSLEHOLM/artfynd/A 28988-2019.xlsx", "A 28988-2019")</f>
        <v/>
      </c>
      <c r="T126">
        <f>HYPERLINK("https://klasma.github.io/Logging_HASSLEHOLM/kartor/A 28988-2019.png", "A 28988-2019")</f>
        <v/>
      </c>
      <c r="V126">
        <f>HYPERLINK("https://klasma.github.io/Logging_HASSLEHOLM/klagomål/A 28988-2019.docx", "A 28988-2019")</f>
        <v/>
      </c>
      <c r="W126">
        <f>HYPERLINK("https://klasma.github.io/Logging_HASSLEHOLM/klagomålsmail/A 28988-2019.docx", "A 28988-2019")</f>
        <v/>
      </c>
      <c r="X126">
        <f>HYPERLINK("https://klasma.github.io/Logging_HASSLEHOLM/tillsyn/A 28988-2019.docx", "A 28988-2019")</f>
        <v/>
      </c>
      <c r="Y126">
        <f>HYPERLINK("https://klasma.github.io/Logging_HASSLEHOLM/tillsynsmail/A 28988-2019.docx", "A 28988-2019")</f>
        <v/>
      </c>
    </row>
    <row r="127" ht="15" customHeight="1">
      <c r="A127" t="inlineStr">
        <is>
          <t>A 29223-2019</t>
        </is>
      </c>
      <c r="B127" s="1" t="n">
        <v>43629</v>
      </c>
      <c r="C127" s="1" t="n">
        <v>45190</v>
      </c>
      <c r="D127" t="inlineStr">
        <is>
          <t>SKÅNE LÄN</t>
        </is>
      </c>
      <c r="E127" t="inlineStr">
        <is>
          <t>HÄSSLEHOLM</t>
        </is>
      </c>
      <c r="G127" t="n">
        <v>1.6</v>
      </c>
      <c r="H127" t="n">
        <v>0</v>
      </c>
      <c r="I127" t="n">
        <v>0</v>
      </c>
      <c r="J127" t="n">
        <v>1</v>
      </c>
      <c r="K127" t="n">
        <v>0</v>
      </c>
      <c r="L127" t="n">
        <v>0</v>
      </c>
      <c r="M127" t="n">
        <v>0</v>
      </c>
      <c r="N127" t="n">
        <v>0</v>
      </c>
      <c r="O127" t="n">
        <v>1</v>
      </c>
      <c r="P127" t="n">
        <v>0</v>
      </c>
      <c r="Q127" t="n">
        <v>1</v>
      </c>
      <c r="R127" s="2" t="inlineStr">
        <is>
          <t>Brandbitterskivling</t>
        </is>
      </c>
      <c r="S127">
        <f>HYPERLINK("https://klasma.github.io/Logging_HASSLEHOLM/artfynd/A 29223-2019.xlsx", "A 29223-2019")</f>
        <v/>
      </c>
      <c r="T127">
        <f>HYPERLINK("https://klasma.github.io/Logging_HASSLEHOLM/kartor/A 29223-2019.png", "A 29223-2019")</f>
        <v/>
      </c>
      <c r="V127">
        <f>HYPERLINK("https://klasma.github.io/Logging_HASSLEHOLM/klagomål/A 29223-2019.docx", "A 29223-2019")</f>
        <v/>
      </c>
      <c r="W127">
        <f>HYPERLINK("https://klasma.github.io/Logging_HASSLEHOLM/klagomålsmail/A 29223-2019.docx", "A 29223-2019")</f>
        <v/>
      </c>
      <c r="X127">
        <f>HYPERLINK("https://klasma.github.io/Logging_HASSLEHOLM/tillsyn/A 29223-2019.docx", "A 29223-2019")</f>
        <v/>
      </c>
      <c r="Y127">
        <f>HYPERLINK("https://klasma.github.io/Logging_HASSLEHOLM/tillsynsmail/A 29223-2019.docx", "A 29223-2019")</f>
        <v/>
      </c>
    </row>
    <row r="128" ht="15" customHeight="1">
      <c r="A128" t="inlineStr">
        <is>
          <t>A 29765-2019</t>
        </is>
      </c>
      <c r="B128" s="1" t="n">
        <v>43632</v>
      </c>
      <c r="C128" s="1" t="n">
        <v>45190</v>
      </c>
      <c r="D128" t="inlineStr">
        <is>
          <t>SKÅNE LÄN</t>
        </is>
      </c>
      <c r="E128" t="inlineStr">
        <is>
          <t>HÄSSLEHOLM</t>
        </is>
      </c>
      <c r="G128" t="n">
        <v>13.9</v>
      </c>
      <c r="H128" t="n">
        <v>0</v>
      </c>
      <c r="I128" t="n">
        <v>0</v>
      </c>
      <c r="J128" t="n">
        <v>0</v>
      </c>
      <c r="K128" t="n">
        <v>0</v>
      </c>
      <c r="L128" t="n">
        <v>0</v>
      </c>
      <c r="M128" t="n">
        <v>1</v>
      </c>
      <c r="N128" t="n">
        <v>0</v>
      </c>
      <c r="O128" t="n">
        <v>1</v>
      </c>
      <c r="P128" t="n">
        <v>1</v>
      </c>
      <c r="Q128" t="n">
        <v>1</v>
      </c>
      <c r="R128" s="2" t="inlineStr">
        <is>
          <t>Flodkräfta</t>
        </is>
      </c>
      <c r="S128">
        <f>HYPERLINK("https://klasma.github.io/Logging_HASSLEHOLM/artfynd/A 29765-2019.xlsx", "A 29765-2019")</f>
        <v/>
      </c>
      <c r="T128">
        <f>HYPERLINK("https://klasma.github.io/Logging_HASSLEHOLM/kartor/A 29765-2019.png", "A 29765-2019")</f>
        <v/>
      </c>
      <c r="V128">
        <f>HYPERLINK("https://klasma.github.io/Logging_HASSLEHOLM/klagomål/A 29765-2019.docx", "A 29765-2019")</f>
        <v/>
      </c>
      <c r="W128">
        <f>HYPERLINK("https://klasma.github.io/Logging_HASSLEHOLM/klagomålsmail/A 29765-2019.docx", "A 29765-2019")</f>
        <v/>
      </c>
      <c r="X128">
        <f>HYPERLINK("https://klasma.github.io/Logging_HASSLEHOLM/tillsyn/A 29765-2019.docx", "A 29765-2019")</f>
        <v/>
      </c>
      <c r="Y128">
        <f>HYPERLINK("https://klasma.github.io/Logging_HASSLEHOLM/tillsynsmail/A 29765-2019.docx", "A 29765-2019")</f>
        <v/>
      </c>
    </row>
    <row r="129" ht="15" customHeight="1">
      <c r="A129" t="inlineStr">
        <is>
          <t>A 30710-2019</t>
        </is>
      </c>
      <c r="B129" s="1" t="n">
        <v>43636</v>
      </c>
      <c r="C129" s="1" t="n">
        <v>45190</v>
      </c>
      <c r="D129" t="inlineStr">
        <is>
          <t>SKÅNE LÄN</t>
        </is>
      </c>
      <c r="E129" t="inlineStr">
        <is>
          <t>SVEDALA</t>
        </is>
      </c>
      <c r="G129" t="n">
        <v>1.5</v>
      </c>
      <c r="H129" t="n">
        <v>0</v>
      </c>
      <c r="I129" t="n">
        <v>1</v>
      </c>
      <c r="J129" t="n">
        <v>0</v>
      </c>
      <c r="K129" t="n">
        <v>0</v>
      </c>
      <c r="L129" t="n">
        <v>0</v>
      </c>
      <c r="M129" t="n">
        <v>0</v>
      </c>
      <c r="N129" t="n">
        <v>0</v>
      </c>
      <c r="O129" t="n">
        <v>0</v>
      </c>
      <c r="P129" t="n">
        <v>0</v>
      </c>
      <c r="Q129" t="n">
        <v>1</v>
      </c>
      <c r="R129" s="2" t="inlineStr">
        <is>
          <t>Bokoxe</t>
        </is>
      </c>
      <c r="S129">
        <f>HYPERLINK("https://klasma.github.io/Logging_SVEDALA/artfynd/A 30710-2019.xlsx", "A 30710-2019")</f>
        <v/>
      </c>
      <c r="T129">
        <f>HYPERLINK("https://klasma.github.io/Logging_SVEDALA/kartor/A 30710-2019.png", "A 30710-2019")</f>
        <v/>
      </c>
      <c r="V129">
        <f>HYPERLINK("https://klasma.github.io/Logging_SVEDALA/klagomål/A 30710-2019.docx", "A 30710-2019")</f>
        <v/>
      </c>
      <c r="W129">
        <f>HYPERLINK("https://klasma.github.io/Logging_SVEDALA/klagomålsmail/A 30710-2019.docx", "A 30710-2019")</f>
        <v/>
      </c>
      <c r="X129">
        <f>HYPERLINK("https://klasma.github.io/Logging_SVEDALA/tillsyn/A 30710-2019.docx", "A 30710-2019")</f>
        <v/>
      </c>
      <c r="Y129">
        <f>HYPERLINK("https://klasma.github.io/Logging_SVEDALA/tillsynsmail/A 30710-2019.docx", "A 30710-2019")</f>
        <v/>
      </c>
    </row>
    <row r="130" ht="15" customHeight="1">
      <c r="A130" t="inlineStr">
        <is>
          <t>A 32997-2019</t>
        </is>
      </c>
      <c r="B130" s="1" t="n">
        <v>43649</v>
      </c>
      <c r="C130" s="1" t="n">
        <v>45190</v>
      </c>
      <c r="D130" t="inlineStr">
        <is>
          <t>SKÅNE LÄN</t>
        </is>
      </c>
      <c r="E130" t="inlineStr">
        <is>
          <t>HÄSSLEHOLM</t>
        </is>
      </c>
      <c r="G130" t="n">
        <v>3.9</v>
      </c>
      <c r="H130" t="n">
        <v>1</v>
      </c>
      <c r="I130" t="n">
        <v>0</v>
      </c>
      <c r="J130" t="n">
        <v>0</v>
      </c>
      <c r="K130" t="n">
        <v>1</v>
      </c>
      <c r="L130" t="n">
        <v>0</v>
      </c>
      <c r="M130" t="n">
        <v>0</v>
      </c>
      <c r="N130" t="n">
        <v>0</v>
      </c>
      <c r="O130" t="n">
        <v>1</v>
      </c>
      <c r="P130" t="n">
        <v>1</v>
      </c>
      <c r="Q130" t="n">
        <v>1</v>
      </c>
      <c r="R130" s="2" t="inlineStr">
        <is>
          <t>Knärot</t>
        </is>
      </c>
      <c r="S130">
        <f>HYPERLINK("https://klasma.github.io/Logging_HASSLEHOLM/artfynd/A 32997-2019.xlsx", "A 32997-2019")</f>
        <v/>
      </c>
      <c r="T130">
        <f>HYPERLINK("https://klasma.github.io/Logging_HASSLEHOLM/kartor/A 32997-2019.png", "A 32997-2019")</f>
        <v/>
      </c>
      <c r="U130">
        <f>HYPERLINK("https://klasma.github.io/Logging_HASSLEHOLM/knärot/A 32997-2019.png", "A 32997-2019")</f>
        <v/>
      </c>
      <c r="V130">
        <f>HYPERLINK("https://klasma.github.io/Logging_HASSLEHOLM/klagomål/A 32997-2019.docx", "A 32997-2019")</f>
        <v/>
      </c>
      <c r="W130">
        <f>HYPERLINK("https://klasma.github.io/Logging_HASSLEHOLM/klagomålsmail/A 32997-2019.docx", "A 32997-2019")</f>
        <v/>
      </c>
      <c r="X130">
        <f>HYPERLINK("https://klasma.github.io/Logging_HASSLEHOLM/tillsyn/A 32997-2019.docx", "A 32997-2019")</f>
        <v/>
      </c>
      <c r="Y130">
        <f>HYPERLINK("https://klasma.github.io/Logging_HASSLEHOLM/tillsynsmail/A 32997-2019.docx", "A 32997-2019")</f>
        <v/>
      </c>
    </row>
    <row r="131" ht="15" customHeight="1">
      <c r="A131" t="inlineStr">
        <is>
          <t>A 38678-2019</t>
        </is>
      </c>
      <c r="B131" s="1" t="n">
        <v>43684</v>
      </c>
      <c r="C131" s="1" t="n">
        <v>45190</v>
      </c>
      <c r="D131" t="inlineStr">
        <is>
          <t>SKÅNE LÄN</t>
        </is>
      </c>
      <c r="E131" t="inlineStr">
        <is>
          <t>KRISTIANSTAD</t>
        </is>
      </c>
      <c r="G131" t="n">
        <v>2.5</v>
      </c>
      <c r="H131" t="n">
        <v>1</v>
      </c>
      <c r="I131" t="n">
        <v>0</v>
      </c>
      <c r="J131" t="n">
        <v>0</v>
      </c>
      <c r="K131" t="n">
        <v>1</v>
      </c>
      <c r="L131" t="n">
        <v>0</v>
      </c>
      <c r="M131" t="n">
        <v>0</v>
      </c>
      <c r="N131" t="n">
        <v>0</v>
      </c>
      <c r="O131" t="n">
        <v>1</v>
      </c>
      <c r="P131" t="n">
        <v>1</v>
      </c>
      <c r="Q131" t="n">
        <v>1</v>
      </c>
      <c r="R131" s="2" t="inlineStr">
        <is>
          <t>Backsippa</t>
        </is>
      </c>
      <c r="S131">
        <f>HYPERLINK("https://klasma.github.io/Logging_KRISTIANSTAD/artfynd/A 38678-2019.xlsx", "A 38678-2019")</f>
        <v/>
      </c>
      <c r="T131">
        <f>HYPERLINK("https://klasma.github.io/Logging_KRISTIANSTAD/kartor/A 38678-2019.png", "A 38678-2019")</f>
        <v/>
      </c>
      <c r="V131">
        <f>HYPERLINK("https://klasma.github.io/Logging_KRISTIANSTAD/klagomål/A 38678-2019.docx", "A 38678-2019")</f>
        <v/>
      </c>
      <c r="W131">
        <f>HYPERLINK("https://klasma.github.io/Logging_KRISTIANSTAD/klagomålsmail/A 38678-2019.docx", "A 38678-2019")</f>
        <v/>
      </c>
      <c r="X131">
        <f>HYPERLINK("https://klasma.github.io/Logging_KRISTIANSTAD/tillsyn/A 38678-2019.docx", "A 38678-2019")</f>
        <v/>
      </c>
      <c r="Y131">
        <f>HYPERLINK("https://klasma.github.io/Logging_KRISTIANSTAD/tillsynsmail/A 38678-2019.docx", "A 38678-2019")</f>
        <v/>
      </c>
    </row>
    <row r="132" ht="15" customHeight="1">
      <c r="A132" t="inlineStr">
        <is>
          <t>A 38268-2019</t>
        </is>
      </c>
      <c r="B132" s="1" t="n">
        <v>43684</v>
      </c>
      <c r="C132" s="1" t="n">
        <v>45190</v>
      </c>
      <c r="D132" t="inlineStr">
        <is>
          <t>SKÅNE LÄN</t>
        </is>
      </c>
      <c r="E132" t="inlineStr">
        <is>
          <t>OSBY</t>
        </is>
      </c>
      <c r="G132" t="n">
        <v>0.4</v>
      </c>
      <c r="H132" t="n">
        <v>0</v>
      </c>
      <c r="I132" t="n">
        <v>0</v>
      </c>
      <c r="J132" t="n">
        <v>0</v>
      </c>
      <c r="K132" t="n">
        <v>0</v>
      </c>
      <c r="L132" t="n">
        <v>1</v>
      </c>
      <c r="M132" t="n">
        <v>0</v>
      </c>
      <c r="N132" t="n">
        <v>0</v>
      </c>
      <c r="O132" t="n">
        <v>1</v>
      </c>
      <c r="P132" t="n">
        <v>1</v>
      </c>
      <c r="Q132" t="n">
        <v>1</v>
      </c>
      <c r="R132" s="2" t="inlineStr">
        <is>
          <t>Ask</t>
        </is>
      </c>
      <c r="S132">
        <f>HYPERLINK("https://klasma.github.io/Logging_OSBY/artfynd/A 38268-2019.xlsx", "A 38268-2019")</f>
        <v/>
      </c>
      <c r="T132">
        <f>HYPERLINK("https://klasma.github.io/Logging_OSBY/kartor/A 38268-2019.png", "A 38268-2019")</f>
        <v/>
      </c>
      <c r="V132">
        <f>HYPERLINK("https://klasma.github.io/Logging_OSBY/klagomål/A 38268-2019.docx", "A 38268-2019")</f>
        <v/>
      </c>
      <c r="W132">
        <f>HYPERLINK("https://klasma.github.io/Logging_OSBY/klagomålsmail/A 38268-2019.docx", "A 38268-2019")</f>
        <v/>
      </c>
      <c r="X132">
        <f>HYPERLINK("https://klasma.github.io/Logging_OSBY/tillsyn/A 38268-2019.docx", "A 38268-2019")</f>
        <v/>
      </c>
      <c r="Y132">
        <f>HYPERLINK("https://klasma.github.io/Logging_OSBY/tillsynsmail/A 38268-2019.docx", "A 38268-2019")</f>
        <v/>
      </c>
    </row>
    <row r="133" ht="15" customHeight="1">
      <c r="A133" t="inlineStr">
        <is>
          <t>A 46202-2019</t>
        </is>
      </c>
      <c r="B133" s="1" t="n">
        <v>43713</v>
      </c>
      <c r="C133" s="1" t="n">
        <v>45190</v>
      </c>
      <c r="D133" t="inlineStr">
        <is>
          <t>SKÅNE LÄN</t>
        </is>
      </c>
      <c r="E133" t="inlineStr">
        <is>
          <t>SVEDALA</t>
        </is>
      </c>
      <c r="G133" t="n">
        <v>2.5</v>
      </c>
      <c r="H133" t="n">
        <v>0</v>
      </c>
      <c r="I133" t="n">
        <v>0</v>
      </c>
      <c r="J133" t="n">
        <v>0</v>
      </c>
      <c r="K133" t="n">
        <v>0</v>
      </c>
      <c r="L133" t="n">
        <v>1</v>
      </c>
      <c r="M133" t="n">
        <v>0</v>
      </c>
      <c r="N133" t="n">
        <v>0</v>
      </c>
      <c r="O133" t="n">
        <v>1</v>
      </c>
      <c r="P133" t="n">
        <v>1</v>
      </c>
      <c r="Q133" t="n">
        <v>1</v>
      </c>
      <c r="R133" s="2" t="inlineStr">
        <is>
          <t>Ask</t>
        </is>
      </c>
      <c r="S133">
        <f>HYPERLINK("https://klasma.github.io/Logging_SVEDALA/artfynd/A 46202-2019.xlsx", "A 46202-2019")</f>
        <v/>
      </c>
      <c r="T133">
        <f>HYPERLINK("https://klasma.github.io/Logging_SVEDALA/kartor/A 46202-2019.png", "A 46202-2019")</f>
        <v/>
      </c>
      <c r="V133">
        <f>HYPERLINK("https://klasma.github.io/Logging_SVEDALA/klagomål/A 46202-2019.docx", "A 46202-2019")</f>
        <v/>
      </c>
      <c r="W133">
        <f>HYPERLINK("https://klasma.github.io/Logging_SVEDALA/klagomålsmail/A 46202-2019.docx", "A 46202-2019")</f>
        <v/>
      </c>
      <c r="X133">
        <f>HYPERLINK("https://klasma.github.io/Logging_SVEDALA/tillsyn/A 46202-2019.docx", "A 46202-2019")</f>
        <v/>
      </c>
      <c r="Y133">
        <f>HYPERLINK("https://klasma.github.io/Logging_SVEDALA/tillsynsmail/A 46202-2019.docx", "A 46202-2019")</f>
        <v/>
      </c>
    </row>
    <row r="134" ht="15" customHeight="1">
      <c r="A134" t="inlineStr">
        <is>
          <t>A 46680-2019</t>
        </is>
      </c>
      <c r="B134" s="1" t="n">
        <v>43717</v>
      </c>
      <c r="C134" s="1" t="n">
        <v>45190</v>
      </c>
      <c r="D134" t="inlineStr">
        <is>
          <t>SKÅNE LÄN</t>
        </is>
      </c>
      <c r="E134" t="inlineStr">
        <is>
          <t>KRISTIANSTAD</t>
        </is>
      </c>
      <c r="G134" t="n">
        <v>2</v>
      </c>
      <c r="H134" t="n">
        <v>0</v>
      </c>
      <c r="I134" t="n">
        <v>1</v>
      </c>
      <c r="J134" t="n">
        <v>0</v>
      </c>
      <c r="K134" t="n">
        <v>0</v>
      </c>
      <c r="L134" t="n">
        <v>0</v>
      </c>
      <c r="M134" t="n">
        <v>0</v>
      </c>
      <c r="N134" t="n">
        <v>0</v>
      </c>
      <c r="O134" t="n">
        <v>0</v>
      </c>
      <c r="P134" t="n">
        <v>0</v>
      </c>
      <c r="Q134" t="n">
        <v>1</v>
      </c>
      <c r="R134" s="2" t="inlineStr">
        <is>
          <t>Kransrams</t>
        </is>
      </c>
      <c r="S134">
        <f>HYPERLINK("https://klasma.github.io/Logging_KRISTIANSTAD/artfynd/A 46680-2019.xlsx", "A 46680-2019")</f>
        <v/>
      </c>
      <c r="T134">
        <f>HYPERLINK("https://klasma.github.io/Logging_KRISTIANSTAD/kartor/A 46680-2019.png", "A 46680-2019")</f>
        <v/>
      </c>
      <c r="V134">
        <f>HYPERLINK("https://klasma.github.io/Logging_KRISTIANSTAD/klagomål/A 46680-2019.docx", "A 46680-2019")</f>
        <v/>
      </c>
      <c r="W134">
        <f>HYPERLINK("https://klasma.github.io/Logging_KRISTIANSTAD/klagomålsmail/A 46680-2019.docx", "A 46680-2019")</f>
        <v/>
      </c>
      <c r="X134">
        <f>HYPERLINK("https://klasma.github.io/Logging_KRISTIANSTAD/tillsyn/A 46680-2019.docx", "A 46680-2019")</f>
        <v/>
      </c>
      <c r="Y134">
        <f>HYPERLINK("https://klasma.github.io/Logging_KRISTIANSTAD/tillsynsmail/A 46680-2019.docx", "A 46680-2019")</f>
        <v/>
      </c>
    </row>
    <row r="135" ht="15" customHeight="1">
      <c r="A135" t="inlineStr">
        <is>
          <t>A 47678-2019</t>
        </is>
      </c>
      <c r="B135" s="1" t="n">
        <v>43724</v>
      </c>
      <c r="C135" s="1" t="n">
        <v>45190</v>
      </c>
      <c r="D135" t="inlineStr">
        <is>
          <t>SKÅNE LÄN</t>
        </is>
      </c>
      <c r="E135" t="inlineStr">
        <is>
          <t>HÄSSLEHOLM</t>
        </is>
      </c>
      <c r="G135" t="n">
        <v>3.7</v>
      </c>
      <c r="H135" t="n">
        <v>0</v>
      </c>
      <c r="I135" t="n">
        <v>0</v>
      </c>
      <c r="J135" t="n">
        <v>1</v>
      </c>
      <c r="K135" t="n">
        <v>0</v>
      </c>
      <c r="L135" t="n">
        <v>0</v>
      </c>
      <c r="M135" t="n">
        <v>0</v>
      </c>
      <c r="N135" t="n">
        <v>0</v>
      </c>
      <c r="O135" t="n">
        <v>1</v>
      </c>
      <c r="P135" t="n">
        <v>0</v>
      </c>
      <c r="Q135" t="n">
        <v>1</v>
      </c>
      <c r="R135" s="2" t="inlineStr">
        <is>
          <t>Nålbjörnbär</t>
        </is>
      </c>
      <c r="S135">
        <f>HYPERLINK("https://klasma.github.io/Logging_HASSLEHOLM/artfynd/A 47678-2019.xlsx", "A 47678-2019")</f>
        <v/>
      </c>
      <c r="T135">
        <f>HYPERLINK("https://klasma.github.io/Logging_HASSLEHOLM/kartor/A 47678-2019.png", "A 47678-2019")</f>
        <v/>
      </c>
      <c r="V135">
        <f>HYPERLINK("https://klasma.github.io/Logging_HASSLEHOLM/klagomål/A 47678-2019.docx", "A 47678-2019")</f>
        <v/>
      </c>
      <c r="W135">
        <f>HYPERLINK("https://klasma.github.io/Logging_HASSLEHOLM/klagomålsmail/A 47678-2019.docx", "A 47678-2019")</f>
        <v/>
      </c>
      <c r="X135">
        <f>HYPERLINK("https://klasma.github.io/Logging_HASSLEHOLM/tillsyn/A 47678-2019.docx", "A 47678-2019")</f>
        <v/>
      </c>
      <c r="Y135">
        <f>HYPERLINK("https://klasma.github.io/Logging_HASSLEHOLM/tillsynsmail/A 47678-2019.docx", "A 47678-2019")</f>
        <v/>
      </c>
    </row>
    <row r="136" ht="15" customHeight="1">
      <c r="A136" t="inlineStr">
        <is>
          <t>A 47468-2019</t>
        </is>
      </c>
      <c r="B136" s="1" t="n">
        <v>43724</v>
      </c>
      <c r="C136" s="1" t="n">
        <v>45190</v>
      </c>
      <c r="D136" t="inlineStr">
        <is>
          <t>SKÅNE LÄN</t>
        </is>
      </c>
      <c r="E136" t="inlineStr">
        <is>
          <t>HÄSSLEHOLM</t>
        </is>
      </c>
      <c r="G136" t="n">
        <v>3.3</v>
      </c>
      <c r="H136" t="n">
        <v>1</v>
      </c>
      <c r="I136" t="n">
        <v>0</v>
      </c>
      <c r="J136" t="n">
        <v>0</v>
      </c>
      <c r="K136" t="n">
        <v>0</v>
      </c>
      <c r="L136" t="n">
        <v>0</v>
      </c>
      <c r="M136" t="n">
        <v>0</v>
      </c>
      <c r="N136" t="n">
        <v>0</v>
      </c>
      <c r="O136" t="n">
        <v>0</v>
      </c>
      <c r="P136" t="n">
        <v>0</v>
      </c>
      <c r="Q136" t="n">
        <v>1</v>
      </c>
      <c r="R136" s="2" t="inlineStr">
        <is>
          <t>Gullviva</t>
        </is>
      </c>
      <c r="S136">
        <f>HYPERLINK("https://klasma.github.io/Logging_HASSLEHOLM/artfynd/A 47468-2019.xlsx", "A 47468-2019")</f>
        <v/>
      </c>
      <c r="T136">
        <f>HYPERLINK("https://klasma.github.io/Logging_HASSLEHOLM/kartor/A 47468-2019.png", "A 47468-2019")</f>
        <v/>
      </c>
      <c r="V136">
        <f>HYPERLINK("https://klasma.github.io/Logging_HASSLEHOLM/klagomål/A 47468-2019.docx", "A 47468-2019")</f>
        <v/>
      </c>
      <c r="W136">
        <f>HYPERLINK("https://klasma.github.io/Logging_HASSLEHOLM/klagomålsmail/A 47468-2019.docx", "A 47468-2019")</f>
        <v/>
      </c>
      <c r="X136">
        <f>HYPERLINK("https://klasma.github.io/Logging_HASSLEHOLM/tillsyn/A 47468-2019.docx", "A 47468-2019")</f>
        <v/>
      </c>
      <c r="Y136">
        <f>HYPERLINK("https://klasma.github.io/Logging_HASSLEHOLM/tillsynsmail/A 47468-2019.docx", "A 47468-2019")</f>
        <v/>
      </c>
    </row>
    <row r="137" ht="15" customHeight="1">
      <c r="A137" t="inlineStr">
        <is>
          <t>A 51102-2019</t>
        </is>
      </c>
      <c r="B137" s="1" t="n">
        <v>43732</v>
      </c>
      <c r="C137" s="1" t="n">
        <v>45190</v>
      </c>
      <c r="D137" t="inlineStr">
        <is>
          <t>SKÅNE LÄN</t>
        </is>
      </c>
      <c r="E137" t="inlineStr">
        <is>
          <t>ÖRKELLJUNGA</t>
        </is>
      </c>
      <c r="G137" t="n">
        <v>15</v>
      </c>
      <c r="H137" t="n">
        <v>0</v>
      </c>
      <c r="I137" t="n">
        <v>0</v>
      </c>
      <c r="J137" t="n">
        <v>1</v>
      </c>
      <c r="K137" t="n">
        <v>0</v>
      </c>
      <c r="L137" t="n">
        <v>0</v>
      </c>
      <c r="M137" t="n">
        <v>0</v>
      </c>
      <c r="N137" t="n">
        <v>0</v>
      </c>
      <c r="O137" t="n">
        <v>1</v>
      </c>
      <c r="P137" t="n">
        <v>0</v>
      </c>
      <c r="Q137" t="n">
        <v>1</v>
      </c>
      <c r="R137" s="2" t="inlineStr">
        <is>
          <t>Svinrot</t>
        </is>
      </c>
      <c r="S137">
        <f>HYPERLINK("https://klasma.github.io/Logging_ORKELLJUNGA/artfynd/A 51102-2019.xlsx", "A 51102-2019")</f>
        <v/>
      </c>
      <c r="T137">
        <f>HYPERLINK("https://klasma.github.io/Logging_ORKELLJUNGA/kartor/A 51102-2019.png", "A 51102-2019")</f>
        <v/>
      </c>
      <c r="V137">
        <f>HYPERLINK("https://klasma.github.io/Logging_ORKELLJUNGA/klagomål/A 51102-2019.docx", "A 51102-2019")</f>
        <v/>
      </c>
      <c r="W137">
        <f>HYPERLINK("https://klasma.github.io/Logging_ORKELLJUNGA/klagomålsmail/A 51102-2019.docx", "A 51102-2019")</f>
        <v/>
      </c>
      <c r="X137">
        <f>HYPERLINK("https://klasma.github.io/Logging_ORKELLJUNGA/tillsyn/A 51102-2019.docx", "A 51102-2019")</f>
        <v/>
      </c>
      <c r="Y137">
        <f>HYPERLINK("https://klasma.github.io/Logging_ORKELLJUNGA/tillsynsmail/A 51102-2019.docx", "A 51102-2019")</f>
        <v/>
      </c>
    </row>
    <row r="138" ht="15" customHeight="1">
      <c r="A138" t="inlineStr">
        <is>
          <t>A 51114-2019</t>
        </is>
      </c>
      <c r="B138" s="1" t="n">
        <v>43732</v>
      </c>
      <c r="C138" s="1" t="n">
        <v>45190</v>
      </c>
      <c r="D138" t="inlineStr">
        <is>
          <t>SKÅNE LÄN</t>
        </is>
      </c>
      <c r="E138" t="inlineStr">
        <is>
          <t>ÄNGELHOLM</t>
        </is>
      </c>
      <c r="G138" t="n">
        <v>10</v>
      </c>
      <c r="H138" t="n">
        <v>0</v>
      </c>
      <c r="I138" t="n">
        <v>0</v>
      </c>
      <c r="J138" t="n">
        <v>1</v>
      </c>
      <c r="K138" t="n">
        <v>0</v>
      </c>
      <c r="L138" t="n">
        <v>0</v>
      </c>
      <c r="M138" t="n">
        <v>0</v>
      </c>
      <c r="N138" t="n">
        <v>0</v>
      </c>
      <c r="O138" t="n">
        <v>1</v>
      </c>
      <c r="P138" t="n">
        <v>0</v>
      </c>
      <c r="Q138" t="n">
        <v>1</v>
      </c>
      <c r="R138" s="2" t="inlineStr">
        <is>
          <t>Borsttåg</t>
        </is>
      </c>
      <c r="S138">
        <f>HYPERLINK("https://klasma.github.io/Logging_ANGELHOLM/artfynd/A 51114-2019.xlsx", "A 51114-2019")</f>
        <v/>
      </c>
      <c r="T138">
        <f>HYPERLINK("https://klasma.github.io/Logging_ANGELHOLM/kartor/A 51114-2019.png", "A 51114-2019")</f>
        <v/>
      </c>
      <c r="V138">
        <f>HYPERLINK("https://klasma.github.io/Logging_ANGELHOLM/klagomål/A 51114-2019.docx", "A 51114-2019")</f>
        <v/>
      </c>
      <c r="W138">
        <f>HYPERLINK("https://klasma.github.io/Logging_ANGELHOLM/klagomålsmail/A 51114-2019.docx", "A 51114-2019")</f>
        <v/>
      </c>
      <c r="X138">
        <f>HYPERLINK("https://klasma.github.io/Logging_ANGELHOLM/tillsyn/A 51114-2019.docx", "A 51114-2019")</f>
        <v/>
      </c>
      <c r="Y138">
        <f>HYPERLINK("https://klasma.github.io/Logging_ANGELHOLM/tillsynsmail/A 51114-2019.docx", "A 51114-2019")</f>
        <v/>
      </c>
    </row>
    <row r="139" ht="15" customHeight="1">
      <c r="A139" t="inlineStr">
        <is>
          <t>A 51847-2019</t>
        </is>
      </c>
      <c r="B139" s="1" t="n">
        <v>43734</v>
      </c>
      <c r="C139" s="1" t="n">
        <v>45190</v>
      </c>
      <c r="D139" t="inlineStr">
        <is>
          <t>SKÅNE LÄN</t>
        </is>
      </c>
      <c r="E139" t="inlineStr">
        <is>
          <t>SJÖBO</t>
        </is>
      </c>
      <c r="G139" t="n">
        <v>1.6</v>
      </c>
      <c r="H139" t="n">
        <v>0</v>
      </c>
      <c r="I139" t="n">
        <v>1</v>
      </c>
      <c r="J139" t="n">
        <v>0</v>
      </c>
      <c r="K139" t="n">
        <v>0</v>
      </c>
      <c r="L139" t="n">
        <v>0</v>
      </c>
      <c r="M139" t="n">
        <v>0</v>
      </c>
      <c r="N139" t="n">
        <v>0</v>
      </c>
      <c r="O139" t="n">
        <v>0</v>
      </c>
      <c r="P139" t="n">
        <v>0</v>
      </c>
      <c r="Q139" t="n">
        <v>1</v>
      </c>
      <c r="R139" s="2" t="inlineStr">
        <is>
          <t>Kamtuffmossa</t>
        </is>
      </c>
      <c r="S139">
        <f>HYPERLINK("https://klasma.github.io/Logging_SJOBO/artfynd/A 51847-2019.xlsx", "A 51847-2019")</f>
        <v/>
      </c>
      <c r="T139">
        <f>HYPERLINK("https://klasma.github.io/Logging_SJOBO/kartor/A 51847-2019.png", "A 51847-2019")</f>
        <v/>
      </c>
      <c r="V139">
        <f>HYPERLINK("https://klasma.github.io/Logging_SJOBO/klagomål/A 51847-2019.docx", "A 51847-2019")</f>
        <v/>
      </c>
      <c r="W139">
        <f>HYPERLINK("https://klasma.github.io/Logging_SJOBO/klagomålsmail/A 51847-2019.docx", "A 51847-2019")</f>
        <v/>
      </c>
      <c r="X139">
        <f>HYPERLINK("https://klasma.github.io/Logging_SJOBO/tillsyn/A 51847-2019.docx", "A 51847-2019")</f>
        <v/>
      </c>
      <c r="Y139">
        <f>HYPERLINK("https://klasma.github.io/Logging_SJOBO/tillsynsmail/A 51847-2019.docx", "A 51847-2019")</f>
        <v/>
      </c>
    </row>
    <row r="140" ht="15" customHeight="1">
      <c r="A140" t="inlineStr">
        <is>
          <t>A 50573-2019</t>
        </is>
      </c>
      <c r="B140" s="1" t="n">
        <v>43735</v>
      </c>
      <c r="C140" s="1" t="n">
        <v>45190</v>
      </c>
      <c r="D140" t="inlineStr">
        <is>
          <t>SKÅNE LÄN</t>
        </is>
      </c>
      <c r="E140" t="inlineStr">
        <is>
          <t>OSBY</t>
        </is>
      </c>
      <c r="F140" t="inlineStr">
        <is>
          <t>Naturvårdsverket</t>
        </is>
      </c>
      <c r="G140" t="n">
        <v>5.1</v>
      </c>
      <c r="H140" t="n">
        <v>0</v>
      </c>
      <c r="I140" t="n">
        <v>0</v>
      </c>
      <c r="J140" t="n">
        <v>1</v>
      </c>
      <c r="K140" t="n">
        <v>0</v>
      </c>
      <c r="L140" t="n">
        <v>0</v>
      </c>
      <c r="M140" t="n">
        <v>0</v>
      </c>
      <c r="N140" t="n">
        <v>0</v>
      </c>
      <c r="O140" t="n">
        <v>1</v>
      </c>
      <c r="P140" t="n">
        <v>0</v>
      </c>
      <c r="Q140" t="n">
        <v>1</v>
      </c>
      <c r="R140" s="2" t="inlineStr">
        <is>
          <t>Backmåra</t>
        </is>
      </c>
      <c r="S140">
        <f>HYPERLINK("https://klasma.github.io/Logging_OSBY/artfynd/A 50573-2019.xlsx", "A 50573-2019")</f>
        <v/>
      </c>
      <c r="T140">
        <f>HYPERLINK("https://klasma.github.io/Logging_OSBY/kartor/A 50573-2019.png", "A 50573-2019")</f>
        <v/>
      </c>
      <c r="V140">
        <f>HYPERLINK("https://klasma.github.io/Logging_OSBY/klagomål/A 50573-2019.docx", "A 50573-2019")</f>
        <v/>
      </c>
      <c r="W140">
        <f>HYPERLINK("https://klasma.github.io/Logging_OSBY/klagomålsmail/A 50573-2019.docx", "A 50573-2019")</f>
        <v/>
      </c>
      <c r="X140">
        <f>HYPERLINK("https://klasma.github.io/Logging_OSBY/tillsyn/A 50573-2019.docx", "A 50573-2019")</f>
        <v/>
      </c>
      <c r="Y140">
        <f>HYPERLINK("https://klasma.github.io/Logging_OSBY/tillsynsmail/A 50573-2019.docx", "A 50573-2019")</f>
        <v/>
      </c>
    </row>
    <row r="141" ht="15" customHeight="1">
      <c r="A141" t="inlineStr">
        <is>
          <t>A 53436-2019</t>
        </is>
      </c>
      <c r="B141" s="1" t="n">
        <v>43748</v>
      </c>
      <c r="C141" s="1" t="n">
        <v>45190</v>
      </c>
      <c r="D141" t="inlineStr">
        <is>
          <t>SKÅNE LÄN</t>
        </is>
      </c>
      <c r="E141" t="inlineStr">
        <is>
          <t>OSBY</t>
        </is>
      </c>
      <c r="G141" t="n">
        <v>2.8</v>
      </c>
      <c r="H141" t="n">
        <v>1</v>
      </c>
      <c r="I141" t="n">
        <v>0</v>
      </c>
      <c r="J141" t="n">
        <v>0</v>
      </c>
      <c r="K141" t="n">
        <v>0</v>
      </c>
      <c r="L141" t="n">
        <v>0</v>
      </c>
      <c r="M141" t="n">
        <v>0</v>
      </c>
      <c r="N141" t="n">
        <v>0</v>
      </c>
      <c r="O141" t="n">
        <v>0</v>
      </c>
      <c r="P141" t="n">
        <v>0</v>
      </c>
      <c r="Q141" t="n">
        <v>1</v>
      </c>
      <c r="R141" s="2" t="inlineStr">
        <is>
          <t>Revlummer</t>
        </is>
      </c>
      <c r="S141">
        <f>HYPERLINK("https://klasma.github.io/Logging_OSBY/artfynd/A 53436-2019.xlsx", "A 53436-2019")</f>
        <v/>
      </c>
      <c r="T141">
        <f>HYPERLINK("https://klasma.github.io/Logging_OSBY/kartor/A 53436-2019.png", "A 53436-2019")</f>
        <v/>
      </c>
      <c r="V141">
        <f>HYPERLINK("https://klasma.github.io/Logging_OSBY/klagomål/A 53436-2019.docx", "A 53436-2019")</f>
        <v/>
      </c>
      <c r="W141">
        <f>HYPERLINK("https://klasma.github.io/Logging_OSBY/klagomålsmail/A 53436-2019.docx", "A 53436-2019")</f>
        <v/>
      </c>
      <c r="X141">
        <f>HYPERLINK("https://klasma.github.io/Logging_OSBY/tillsyn/A 53436-2019.docx", "A 53436-2019")</f>
        <v/>
      </c>
      <c r="Y141">
        <f>HYPERLINK("https://klasma.github.io/Logging_OSBY/tillsynsmail/A 53436-2019.docx", "A 53436-2019")</f>
        <v/>
      </c>
    </row>
    <row r="142" ht="15" customHeight="1">
      <c r="A142" t="inlineStr">
        <is>
          <t>A 55656-2019</t>
        </is>
      </c>
      <c r="B142" s="1" t="n">
        <v>43760</v>
      </c>
      <c r="C142" s="1" t="n">
        <v>45190</v>
      </c>
      <c r="D142" t="inlineStr">
        <is>
          <t>SKÅNE LÄN</t>
        </is>
      </c>
      <c r="E142" t="inlineStr">
        <is>
          <t>HÄSSLEHOLM</t>
        </is>
      </c>
      <c r="G142" t="n">
        <v>1.8</v>
      </c>
      <c r="H142" t="n">
        <v>1</v>
      </c>
      <c r="I142" t="n">
        <v>0</v>
      </c>
      <c r="J142" t="n">
        <v>0</v>
      </c>
      <c r="K142" t="n">
        <v>1</v>
      </c>
      <c r="L142" t="n">
        <v>0</v>
      </c>
      <c r="M142" t="n">
        <v>0</v>
      </c>
      <c r="N142" t="n">
        <v>0</v>
      </c>
      <c r="O142" t="n">
        <v>1</v>
      </c>
      <c r="P142" t="n">
        <v>1</v>
      </c>
      <c r="Q142" t="n">
        <v>1</v>
      </c>
      <c r="R142" s="2" t="inlineStr">
        <is>
          <t>Hedblomster</t>
        </is>
      </c>
      <c r="S142">
        <f>HYPERLINK("https://klasma.github.io/Logging_HASSLEHOLM/artfynd/A 55656-2019.xlsx", "A 55656-2019")</f>
        <v/>
      </c>
      <c r="T142">
        <f>HYPERLINK("https://klasma.github.io/Logging_HASSLEHOLM/kartor/A 55656-2019.png", "A 55656-2019")</f>
        <v/>
      </c>
      <c r="V142">
        <f>HYPERLINK("https://klasma.github.io/Logging_HASSLEHOLM/klagomål/A 55656-2019.docx", "A 55656-2019")</f>
        <v/>
      </c>
      <c r="W142">
        <f>HYPERLINK("https://klasma.github.io/Logging_HASSLEHOLM/klagomålsmail/A 55656-2019.docx", "A 55656-2019")</f>
        <v/>
      </c>
      <c r="X142">
        <f>HYPERLINK("https://klasma.github.io/Logging_HASSLEHOLM/tillsyn/A 55656-2019.docx", "A 55656-2019")</f>
        <v/>
      </c>
      <c r="Y142">
        <f>HYPERLINK("https://klasma.github.io/Logging_HASSLEHOLM/tillsynsmail/A 55656-2019.docx", "A 55656-2019")</f>
        <v/>
      </c>
    </row>
    <row r="143" ht="15" customHeight="1">
      <c r="A143" t="inlineStr">
        <is>
          <t>A 56351-2019</t>
        </is>
      </c>
      <c r="B143" s="1" t="n">
        <v>43761</v>
      </c>
      <c r="C143" s="1" t="n">
        <v>45190</v>
      </c>
      <c r="D143" t="inlineStr">
        <is>
          <t>SKÅNE LÄN</t>
        </is>
      </c>
      <c r="E143" t="inlineStr">
        <is>
          <t>ÖSTRA GÖINGE</t>
        </is>
      </c>
      <c r="G143" t="n">
        <v>14.2</v>
      </c>
      <c r="H143" t="n">
        <v>1</v>
      </c>
      <c r="I143" t="n">
        <v>0</v>
      </c>
      <c r="J143" t="n">
        <v>1</v>
      </c>
      <c r="K143" t="n">
        <v>0</v>
      </c>
      <c r="L143" t="n">
        <v>0</v>
      </c>
      <c r="M143" t="n">
        <v>0</v>
      </c>
      <c r="N143" t="n">
        <v>0</v>
      </c>
      <c r="O143" t="n">
        <v>1</v>
      </c>
      <c r="P143" t="n">
        <v>0</v>
      </c>
      <c r="Q143" t="n">
        <v>1</v>
      </c>
      <c r="R143" s="2" t="inlineStr">
        <is>
          <t>Svartvit flugsnappare</t>
        </is>
      </c>
      <c r="S143">
        <f>HYPERLINK("https://klasma.github.io/Logging_OSTRA_GOINGE/artfynd/A 56351-2019.xlsx", "A 56351-2019")</f>
        <v/>
      </c>
      <c r="T143">
        <f>HYPERLINK("https://klasma.github.io/Logging_OSTRA_GOINGE/kartor/A 56351-2019.png", "A 56351-2019")</f>
        <v/>
      </c>
      <c r="V143">
        <f>HYPERLINK("https://klasma.github.io/Logging_OSTRA_GOINGE/klagomål/A 56351-2019.docx", "A 56351-2019")</f>
        <v/>
      </c>
      <c r="W143">
        <f>HYPERLINK("https://klasma.github.io/Logging_OSTRA_GOINGE/klagomålsmail/A 56351-2019.docx", "A 56351-2019")</f>
        <v/>
      </c>
      <c r="X143">
        <f>HYPERLINK("https://klasma.github.io/Logging_OSTRA_GOINGE/tillsyn/A 56351-2019.docx", "A 56351-2019")</f>
        <v/>
      </c>
      <c r="Y143">
        <f>HYPERLINK("https://klasma.github.io/Logging_OSTRA_GOINGE/tillsynsmail/A 56351-2019.docx", "A 56351-2019")</f>
        <v/>
      </c>
    </row>
    <row r="144" ht="15" customHeight="1">
      <c r="A144" t="inlineStr">
        <is>
          <t>A 59414-2019</t>
        </is>
      </c>
      <c r="B144" s="1" t="n">
        <v>43775</v>
      </c>
      <c r="C144" s="1" t="n">
        <v>45190</v>
      </c>
      <c r="D144" t="inlineStr">
        <is>
          <t>SKÅNE LÄN</t>
        </is>
      </c>
      <c r="E144" t="inlineStr">
        <is>
          <t>SJÖBO</t>
        </is>
      </c>
      <c r="G144" t="n">
        <v>5.3</v>
      </c>
      <c r="H144" t="n">
        <v>0</v>
      </c>
      <c r="I144" t="n">
        <v>0</v>
      </c>
      <c r="J144" t="n">
        <v>0</v>
      </c>
      <c r="K144" t="n">
        <v>1</v>
      </c>
      <c r="L144" t="n">
        <v>0</v>
      </c>
      <c r="M144" t="n">
        <v>0</v>
      </c>
      <c r="N144" t="n">
        <v>0</v>
      </c>
      <c r="O144" t="n">
        <v>1</v>
      </c>
      <c r="P144" t="n">
        <v>1</v>
      </c>
      <c r="Q144" t="n">
        <v>1</v>
      </c>
      <c r="R144" s="2" t="inlineStr">
        <is>
          <t>Fläcklungört</t>
        </is>
      </c>
      <c r="S144">
        <f>HYPERLINK("https://klasma.github.io/Logging_SJOBO/artfynd/A 59414-2019.xlsx", "A 59414-2019")</f>
        <v/>
      </c>
      <c r="T144">
        <f>HYPERLINK("https://klasma.github.io/Logging_SJOBO/kartor/A 59414-2019.png", "A 59414-2019")</f>
        <v/>
      </c>
      <c r="V144">
        <f>HYPERLINK("https://klasma.github.io/Logging_SJOBO/klagomål/A 59414-2019.docx", "A 59414-2019")</f>
        <v/>
      </c>
      <c r="W144">
        <f>HYPERLINK("https://klasma.github.io/Logging_SJOBO/klagomålsmail/A 59414-2019.docx", "A 59414-2019")</f>
        <v/>
      </c>
      <c r="X144">
        <f>HYPERLINK("https://klasma.github.io/Logging_SJOBO/tillsyn/A 59414-2019.docx", "A 59414-2019")</f>
        <v/>
      </c>
      <c r="Y144">
        <f>HYPERLINK("https://klasma.github.io/Logging_SJOBO/tillsynsmail/A 59414-2019.docx", "A 59414-2019")</f>
        <v/>
      </c>
    </row>
    <row r="145" ht="15" customHeight="1">
      <c r="A145" t="inlineStr">
        <is>
          <t>A 2738-2020</t>
        </is>
      </c>
      <c r="B145" s="1" t="n">
        <v>43843</v>
      </c>
      <c r="C145" s="1" t="n">
        <v>45190</v>
      </c>
      <c r="D145" t="inlineStr">
        <is>
          <t>SKÅNE LÄN</t>
        </is>
      </c>
      <c r="E145" t="inlineStr">
        <is>
          <t>HÄSSLEHOLM</t>
        </is>
      </c>
      <c r="G145" t="n">
        <v>1.2</v>
      </c>
      <c r="H145" t="n">
        <v>0</v>
      </c>
      <c r="I145" t="n">
        <v>0</v>
      </c>
      <c r="J145" t="n">
        <v>0</v>
      </c>
      <c r="K145" t="n">
        <v>1</v>
      </c>
      <c r="L145" t="n">
        <v>0</v>
      </c>
      <c r="M145" t="n">
        <v>0</v>
      </c>
      <c r="N145" t="n">
        <v>0</v>
      </c>
      <c r="O145" t="n">
        <v>1</v>
      </c>
      <c r="P145" t="n">
        <v>1</v>
      </c>
      <c r="Q145" t="n">
        <v>1</v>
      </c>
      <c r="R145" s="2" t="inlineStr">
        <is>
          <t>Småvänderot</t>
        </is>
      </c>
      <c r="S145">
        <f>HYPERLINK("https://klasma.github.io/Logging_HASSLEHOLM/artfynd/A 2738-2020.xlsx", "A 2738-2020")</f>
        <v/>
      </c>
      <c r="T145">
        <f>HYPERLINK("https://klasma.github.io/Logging_HASSLEHOLM/kartor/A 2738-2020.png", "A 2738-2020")</f>
        <v/>
      </c>
      <c r="V145">
        <f>HYPERLINK("https://klasma.github.io/Logging_HASSLEHOLM/klagomål/A 2738-2020.docx", "A 2738-2020")</f>
        <v/>
      </c>
      <c r="W145">
        <f>HYPERLINK("https://klasma.github.io/Logging_HASSLEHOLM/klagomålsmail/A 2738-2020.docx", "A 2738-2020")</f>
        <v/>
      </c>
      <c r="X145">
        <f>HYPERLINK("https://klasma.github.io/Logging_HASSLEHOLM/tillsyn/A 2738-2020.docx", "A 2738-2020")</f>
        <v/>
      </c>
      <c r="Y145">
        <f>HYPERLINK("https://klasma.github.io/Logging_HASSLEHOLM/tillsynsmail/A 2738-2020.docx", "A 2738-2020")</f>
        <v/>
      </c>
    </row>
    <row r="146" ht="15" customHeight="1">
      <c r="A146" t="inlineStr">
        <is>
          <t>A 7635-2020</t>
        </is>
      </c>
      <c r="B146" s="1" t="n">
        <v>43872</v>
      </c>
      <c r="C146" s="1" t="n">
        <v>45190</v>
      </c>
      <c r="D146" t="inlineStr">
        <is>
          <t>SKÅNE LÄN</t>
        </is>
      </c>
      <c r="E146" t="inlineStr">
        <is>
          <t>ÄNGELHOLM</t>
        </is>
      </c>
      <c r="G146" t="n">
        <v>2.2</v>
      </c>
      <c r="H146" t="n">
        <v>0</v>
      </c>
      <c r="I146" t="n">
        <v>1</v>
      </c>
      <c r="J146" t="n">
        <v>0</v>
      </c>
      <c r="K146" t="n">
        <v>0</v>
      </c>
      <c r="L146" t="n">
        <v>0</v>
      </c>
      <c r="M146" t="n">
        <v>0</v>
      </c>
      <c r="N146" t="n">
        <v>0</v>
      </c>
      <c r="O146" t="n">
        <v>0</v>
      </c>
      <c r="P146" t="n">
        <v>0</v>
      </c>
      <c r="Q146" t="n">
        <v>1</v>
      </c>
      <c r="R146" s="2" t="inlineStr">
        <is>
          <t>Blåmossa</t>
        </is>
      </c>
      <c r="S146">
        <f>HYPERLINK("https://klasma.github.io/Logging_ANGELHOLM/artfynd/A 7635-2020.xlsx", "A 7635-2020")</f>
        <v/>
      </c>
      <c r="T146">
        <f>HYPERLINK("https://klasma.github.io/Logging_ANGELHOLM/kartor/A 7635-2020.png", "A 7635-2020")</f>
        <v/>
      </c>
      <c r="V146">
        <f>HYPERLINK("https://klasma.github.io/Logging_ANGELHOLM/klagomål/A 7635-2020.docx", "A 7635-2020")</f>
        <v/>
      </c>
      <c r="W146">
        <f>HYPERLINK("https://klasma.github.io/Logging_ANGELHOLM/klagomålsmail/A 7635-2020.docx", "A 7635-2020")</f>
        <v/>
      </c>
      <c r="X146">
        <f>HYPERLINK("https://klasma.github.io/Logging_ANGELHOLM/tillsyn/A 7635-2020.docx", "A 7635-2020")</f>
        <v/>
      </c>
      <c r="Y146">
        <f>HYPERLINK("https://klasma.github.io/Logging_ANGELHOLM/tillsynsmail/A 7635-2020.docx", "A 7635-2020")</f>
        <v/>
      </c>
    </row>
    <row r="147" ht="15" customHeight="1">
      <c r="A147" t="inlineStr">
        <is>
          <t>A 8665-2020</t>
        </is>
      </c>
      <c r="B147" s="1" t="n">
        <v>43878</v>
      </c>
      <c r="C147" s="1" t="n">
        <v>45190</v>
      </c>
      <c r="D147" t="inlineStr">
        <is>
          <t>SKÅNE LÄN</t>
        </is>
      </c>
      <c r="E147" t="inlineStr">
        <is>
          <t>ÄNGELHOLM</t>
        </is>
      </c>
      <c r="G147" t="n">
        <v>4.7</v>
      </c>
      <c r="H147" t="n">
        <v>0</v>
      </c>
      <c r="I147" t="n">
        <v>0</v>
      </c>
      <c r="J147" t="n">
        <v>0</v>
      </c>
      <c r="K147" t="n">
        <v>1</v>
      </c>
      <c r="L147" t="n">
        <v>0</v>
      </c>
      <c r="M147" t="n">
        <v>0</v>
      </c>
      <c r="N147" t="n">
        <v>0</v>
      </c>
      <c r="O147" t="n">
        <v>1</v>
      </c>
      <c r="P147" t="n">
        <v>1</v>
      </c>
      <c r="Q147" t="n">
        <v>1</v>
      </c>
      <c r="R147" s="2" t="inlineStr">
        <is>
          <t>Glansbjörnbär</t>
        </is>
      </c>
      <c r="S147">
        <f>HYPERLINK("https://klasma.github.io/Logging_ANGELHOLM/artfynd/A 8665-2020.xlsx", "A 8665-2020")</f>
        <v/>
      </c>
      <c r="T147">
        <f>HYPERLINK("https://klasma.github.io/Logging_ANGELHOLM/kartor/A 8665-2020.png", "A 8665-2020")</f>
        <v/>
      </c>
      <c r="V147">
        <f>HYPERLINK("https://klasma.github.io/Logging_ANGELHOLM/klagomål/A 8665-2020.docx", "A 8665-2020")</f>
        <v/>
      </c>
      <c r="W147">
        <f>HYPERLINK("https://klasma.github.io/Logging_ANGELHOLM/klagomålsmail/A 8665-2020.docx", "A 8665-2020")</f>
        <v/>
      </c>
      <c r="X147">
        <f>HYPERLINK("https://klasma.github.io/Logging_ANGELHOLM/tillsyn/A 8665-2020.docx", "A 8665-2020")</f>
        <v/>
      </c>
      <c r="Y147">
        <f>HYPERLINK("https://klasma.github.io/Logging_ANGELHOLM/tillsynsmail/A 8665-2020.docx", "A 8665-2020")</f>
        <v/>
      </c>
    </row>
    <row r="148" ht="15" customHeight="1">
      <c r="A148" t="inlineStr">
        <is>
          <t>A 11722-2020</t>
        </is>
      </c>
      <c r="B148" s="1" t="n">
        <v>43892</v>
      </c>
      <c r="C148" s="1" t="n">
        <v>45190</v>
      </c>
      <c r="D148" t="inlineStr">
        <is>
          <t>SKÅNE LÄN</t>
        </is>
      </c>
      <c r="E148" t="inlineStr">
        <is>
          <t>TOMELILLA</t>
        </is>
      </c>
      <c r="G148" t="n">
        <v>2.6</v>
      </c>
      <c r="H148" t="n">
        <v>0</v>
      </c>
      <c r="I148" t="n">
        <v>0</v>
      </c>
      <c r="J148" t="n">
        <v>1</v>
      </c>
      <c r="K148" t="n">
        <v>0</v>
      </c>
      <c r="L148" t="n">
        <v>0</v>
      </c>
      <c r="M148" t="n">
        <v>0</v>
      </c>
      <c r="N148" t="n">
        <v>0</v>
      </c>
      <c r="O148" t="n">
        <v>1</v>
      </c>
      <c r="P148" t="n">
        <v>0</v>
      </c>
      <c r="Q148" t="n">
        <v>1</v>
      </c>
      <c r="R148" s="2" t="inlineStr">
        <is>
          <t>Sprengelsbjörnbär</t>
        </is>
      </c>
      <c r="S148">
        <f>HYPERLINK("https://klasma.github.io/Logging_TOMELILLA/artfynd/A 11722-2020.xlsx", "A 11722-2020")</f>
        <v/>
      </c>
      <c r="T148">
        <f>HYPERLINK("https://klasma.github.io/Logging_TOMELILLA/kartor/A 11722-2020.png", "A 11722-2020")</f>
        <v/>
      </c>
      <c r="V148">
        <f>HYPERLINK("https://klasma.github.io/Logging_TOMELILLA/klagomål/A 11722-2020.docx", "A 11722-2020")</f>
        <v/>
      </c>
      <c r="W148">
        <f>HYPERLINK("https://klasma.github.io/Logging_TOMELILLA/klagomålsmail/A 11722-2020.docx", "A 11722-2020")</f>
        <v/>
      </c>
      <c r="X148">
        <f>HYPERLINK("https://klasma.github.io/Logging_TOMELILLA/tillsyn/A 11722-2020.docx", "A 11722-2020")</f>
        <v/>
      </c>
      <c r="Y148">
        <f>HYPERLINK("https://klasma.github.io/Logging_TOMELILLA/tillsynsmail/A 11722-2020.docx", "A 11722-2020")</f>
        <v/>
      </c>
    </row>
    <row r="149" ht="15" customHeight="1">
      <c r="A149" t="inlineStr">
        <is>
          <t>A 15777-2020</t>
        </is>
      </c>
      <c r="B149" s="1" t="n">
        <v>43915</v>
      </c>
      <c r="C149" s="1" t="n">
        <v>45190</v>
      </c>
      <c r="D149" t="inlineStr">
        <is>
          <t>SKÅNE LÄN</t>
        </is>
      </c>
      <c r="E149" t="inlineStr">
        <is>
          <t>OSBY</t>
        </is>
      </c>
      <c r="G149" t="n">
        <v>4</v>
      </c>
      <c r="H149" t="n">
        <v>0</v>
      </c>
      <c r="I149" t="n">
        <v>0</v>
      </c>
      <c r="J149" t="n">
        <v>1</v>
      </c>
      <c r="K149" t="n">
        <v>0</v>
      </c>
      <c r="L149" t="n">
        <v>0</v>
      </c>
      <c r="M149" t="n">
        <v>0</v>
      </c>
      <c r="N149" t="n">
        <v>0</v>
      </c>
      <c r="O149" t="n">
        <v>1</v>
      </c>
      <c r="P149" t="n">
        <v>0</v>
      </c>
      <c r="Q149" t="n">
        <v>1</v>
      </c>
      <c r="R149" s="2" t="inlineStr">
        <is>
          <t>Borsttåg</t>
        </is>
      </c>
      <c r="S149">
        <f>HYPERLINK("https://klasma.github.io/Logging_OSBY/artfynd/A 15777-2020.xlsx", "A 15777-2020")</f>
        <v/>
      </c>
      <c r="T149">
        <f>HYPERLINK("https://klasma.github.io/Logging_OSBY/kartor/A 15777-2020.png", "A 15777-2020")</f>
        <v/>
      </c>
      <c r="V149">
        <f>HYPERLINK("https://klasma.github.io/Logging_OSBY/klagomål/A 15777-2020.docx", "A 15777-2020")</f>
        <v/>
      </c>
      <c r="W149">
        <f>HYPERLINK("https://klasma.github.io/Logging_OSBY/klagomålsmail/A 15777-2020.docx", "A 15777-2020")</f>
        <v/>
      </c>
      <c r="X149">
        <f>HYPERLINK("https://klasma.github.io/Logging_OSBY/tillsyn/A 15777-2020.docx", "A 15777-2020")</f>
        <v/>
      </c>
      <c r="Y149">
        <f>HYPERLINK("https://klasma.github.io/Logging_OSBY/tillsynsmail/A 15777-2020.docx", "A 15777-2020")</f>
        <v/>
      </c>
    </row>
    <row r="150" ht="15" customHeight="1">
      <c r="A150" t="inlineStr">
        <is>
          <t>A 17496-2020</t>
        </is>
      </c>
      <c r="B150" s="1" t="n">
        <v>43923</v>
      </c>
      <c r="C150" s="1" t="n">
        <v>45190</v>
      </c>
      <c r="D150" t="inlineStr">
        <is>
          <t>SKÅNE LÄN</t>
        </is>
      </c>
      <c r="E150" t="inlineStr">
        <is>
          <t>TOMELILLA</t>
        </is>
      </c>
      <c r="F150" t="inlineStr">
        <is>
          <t>Övriga Aktiebolag</t>
        </is>
      </c>
      <c r="G150" t="n">
        <v>1.9</v>
      </c>
      <c r="H150" t="n">
        <v>1</v>
      </c>
      <c r="I150" t="n">
        <v>0</v>
      </c>
      <c r="J150" t="n">
        <v>0</v>
      </c>
      <c r="K150" t="n">
        <v>0</v>
      </c>
      <c r="L150" t="n">
        <v>0</v>
      </c>
      <c r="M150" t="n">
        <v>0</v>
      </c>
      <c r="N150" t="n">
        <v>0</v>
      </c>
      <c r="O150" t="n">
        <v>0</v>
      </c>
      <c r="P150" t="n">
        <v>0</v>
      </c>
      <c r="Q150" t="n">
        <v>1</v>
      </c>
      <c r="R150" s="2" t="inlineStr">
        <is>
          <t>Hasselmus</t>
        </is>
      </c>
      <c r="S150">
        <f>HYPERLINK("https://klasma.github.io/Logging_TOMELILLA/artfynd/A 17496-2020.xlsx", "A 17496-2020")</f>
        <v/>
      </c>
      <c r="T150">
        <f>HYPERLINK("https://klasma.github.io/Logging_TOMELILLA/kartor/A 17496-2020.png", "A 17496-2020")</f>
        <v/>
      </c>
      <c r="V150">
        <f>HYPERLINK("https://klasma.github.io/Logging_TOMELILLA/klagomål/A 17496-2020.docx", "A 17496-2020")</f>
        <v/>
      </c>
      <c r="W150">
        <f>HYPERLINK("https://klasma.github.io/Logging_TOMELILLA/klagomålsmail/A 17496-2020.docx", "A 17496-2020")</f>
        <v/>
      </c>
      <c r="X150">
        <f>HYPERLINK("https://klasma.github.io/Logging_TOMELILLA/tillsyn/A 17496-2020.docx", "A 17496-2020")</f>
        <v/>
      </c>
      <c r="Y150">
        <f>HYPERLINK("https://klasma.github.io/Logging_TOMELILLA/tillsynsmail/A 17496-2020.docx", "A 17496-2020")</f>
        <v/>
      </c>
    </row>
    <row r="151" ht="15" customHeight="1">
      <c r="A151" t="inlineStr">
        <is>
          <t>A 20474-2020</t>
        </is>
      </c>
      <c r="B151" s="1" t="n">
        <v>43948</v>
      </c>
      <c r="C151" s="1" t="n">
        <v>45190</v>
      </c>
      <c r="D151" t="inlineStr">
        <is>
          <t>SKÅNE LÄN</t>
        </is>
      </c>
      <c r="E151" t="inlineStr">
        <is>
          <t>OSBY</t>
        </is>
      </c>
      <c r="G151" t="n">
        <v>0.8</v>
      </c>
      <c r="H151" t="n">
        <v>0</v>
      </c>
      <c r="I151" t="n">
        <v>0</v>
      </c>
      <c r="J151" t="n">
        <v>0</v>
      </c>
      <c r="K151" t="n">
        <v>0</v>
      </c>
      <c r="L151" t="n">
        <v>1</v>
      </c>
      <c r="M151" t="n">
        <v>0</v>
      </c>
      <c r="N151" t="n">
        <v>0</v>
      </c>
      <c r="O151" t="n">
        <v>1</v>
      </c>
      <c r="P151" t="n">
        <v>1</v>
      </c>
      <c r="Q151" t="n">
        <v>1</v>
      </c>
      <c r="R151" s="2" t="inlineStr">
        <is>
          <t>Bårdfibbla</t>
        </is>
      </c>
      <c r="S151">
        <f>HYPERLINK("https://klasma.github.io/Logging_OSBY/artfynd/A 20474-2020.xlsx", "A 20474-2020")</f>
        <v/>
      </c>
      <c r="T151">
        <f>HYPERLINK("https://klasma.github.io/Logging_OSBY/kartor/A 20474-2020.png", "A 20474-2020")</f>
        <v/>
      </c>
      <c r="V151">
        <f>HYPERLINK("https://klasma.github.io/Logging_OSBY/klagomål/A 20474-2020.docx", "A 20474-2020")</f>
        <v/>
      </c>
      <c r="W151">
        <f>HYPERLINK("https://klasma.github.io/Logging_OSBY/klagomålsmail/A 20474-2020.docx", "A 20474-2020")</f>
        <v/>
      </c>
      <c r="X151">
        <f>HYPERLINK("https://klasma.github.io/Logging_OSBY/tillsyn/A 20474-2020.docx", "A 20474-2020")</f>
        <v/>
      </c>
      <c r="Y151">
        <f>HYPERLINK("https://klasma.github.io/Logging_OSBY/tillsynsmail/A 20474-2020.docx", "A 20474-2020")</f>
        <v/>
      </c>
    </row>
    <row r="152" ht="15" customHeight="1">
      <c r="A152" t="inlineStr">
        <is>
          <t>A 23029-2020</t>
        </is>
      </c>
      <c r="B152" s="1" t="n">
        <v>43965</v>
      </c>
      <c r="C152" s="1" t="n">
        <v>45190</v>
      </c>
      <c r="D152" t="inlineStr">
        <is>
          <t>SKÅNE LÄN</t>
        </is>
      </c>
      <c r="E152" t="inlineStr">
        <is>
          <t>SJÖBO</t>
        </is>
      </c>
      <c r="G152" t="n">
        <v>9.300000000000001</v>
      </c>
      <c r="H152" t="n">
        <v>1</v>
      </c>
      <c r="I152" t="n">
        <v>0</v>
      </c>
      <c r="J152" t="n">
        <v>0</v>
      </c>
      <c r="K152" t="n">
        <v>0</v>
      </c>
      <c r="L152" t="n">
        <v>1</v>
      </c>
      <c r="M152" t="n">
        <v>0</v>
      </c>
      <c r="N152" t="n">
        <v>0</v>
      </c>
      <c r="O152" t="n">
        <v>1</v>
      </c>
      <c r="P152" t="n">
        <v>1</v>
      </c>
      <c r="Q152" t="n">
        <v>1</v>
      </c>
      <c r="R152" s="2" t="inlineStr">
        <is>
          <t>Dvärgjohannesört</t>
        </is>
      </c>
      <c r="S152">
        <f>HYPERLINK("https://klasma.github.io/Logging_SJOBO/artfynd/A 23029-2020.xlsx", "A 23029-2020")</f>
        <v/>
      </c>
      <c r="T152">
        <f>HYPERLINK("https://klasma.github.io/Logging_SJOBO/kartor/A 23029-2020.png", "A 23029-2020")</f>
        <v/>
      </c>
      <c r="V152">
        <f>HYPERLINK("https://klasma.github.io/Logging_SJOBO/klagomål/A 23029-2020.docx", "A 23029-2020")</f>
        <v/>
      </c>
      <c r="W152">
        <f>HYPERLINK("https://klasma.github.io/Logging_SJOBO/klagomålsmail/A 23029-2020.docx", "A 23029-2020")</f>
        <v/>
      </c>
      <c r="X152">
        <f>HYPERLINK("https://klasma.github.io/Logging_SJOBO/tillsyn/A 23029-2020.docx", "A 23029-2020")</f>
        <v/>
      </c>
      <c r="Y152">
        <f>HYPERLINK("https://klasma.github.io/Logging_SJOBO/tillsynsmail/A 23029-2020.docx", "A 23029-2020")</f>
        <v/>
      </c>
    </row>
    <row r="153" ht="15" customHeight="1">
      <c r="A153" t="inlineStr">
        <is>
          <t>A 24297-2020</t>
        </is>
      </c>
      <c r="B153" s="1" t="n">
        <v>43976</v>
      </c>
      <c r="C153" s="1" t="n">
        <v>45190</v>
      </c>
      <c r="D153" t="inlineStr">
        <is>
          <t>SKÅNE LÄN</t>
        </is>
      </c>
      <c r="E153" t="inlineStr">
        <is>
          <t>OSBY</t>
        </is>
      </c>
      <c r="F153" t="inlineStr">
        <is>
          <t>Kyrkan</t>
        </is>
      </c>
      <c r="G153" t="n">
        <v>8.4</v>
      </c>
      <c r="H153" t="n">
        <v>1</v>
      </c>
      <c r="I153" t="n">
        <v>0</v>
      </c>
      <c r="J153" t="n">
        <v>0</v>
      </c>
      <c r="K153" t="n">
        <v>0</v>
      </c>
      <c r="L153" t="n">
        <v>0</v>
      </c>
      <c r="M153" t="n">
        <v>0</v>
      </c>
      <c r="N153" t="n">
        <v>0</v>
      </c>
      <c r="O153" t="n">
        <v>0</v>
      </c>
      <c r="P153" t="n">
        <v>0</v>
      </c>
      <c r="Q153" t="n">
        <v>1</v>
      </c>
      <c r="R153" s="2" t="inlineStr">
        <is>
          <t>Lopplummer</t>
        </is>
      </c>
      <c r="S153">
        <f>HYPERLINK("https://klasma.github.io/Logging_OSBY/artfynd/A 24297-2020.xlsx", "A 24297-2020")</f>
        <v/>
      </c>
      <c r="T153">
        <f>HYPERLINK("https://klasma.github.io/Logging_OSBY/kartor/A 24297-2020.png", "A 24297-2020")</f>
        <v/>
      </c>
      <c r="V153">
        <f>HYPERLINK("https://klasma.github.io/Logging_OSBY/klagomål/A 24297-2020.docx", "A 24297-2020")</f>
        <v/>
      </c>
      <c r="W153">
        <f>HYPERLINK("https://klasma.github.io/Logging_OSBY/klagomålsmail/A 24297-2020.docx", "A 24297-2020")</f>
        <v/>
      </c>
      <c r="X153">
        <f>HYPERLINK("https://klasma.github.io/Logging_OSBY/tillsyn/A 24297-2020.docx", "A 24297-2020")</f>
        <v/>
      </c>
      <c r="Y153">
        <f>HYPERLINK("https://klasma.github.io/Logging_OSBY/tillsynsmail/A 24297-2020.docx", "A 24297-2020")</f>
        <v/>
      </c>
    </row>
    <row r="154" ht="15" customHeight="1">
      <c r="A154" t="inlineStr">
        <is>
          <t>A 29376-2020</t>
        </is>
      </c>
      <c r="B154" s="1" t="n">
        <v>44000</v>
      </c>
      <c r="C154" s="1" t="n">
        <v>45190</v>
      </c>
      <c r="D154" t="inlineStr">
        <is>
          <t>SKÅNE LÄN</t>
        </is>
      </c>
      <c r="E154" t="inlineStr">
        <is>
          <t>YSTAD</t>
        </is>
      </c>
      <c r="G154" t="n">
        <v>1.5</v>
      </c>
      <c r="H154" t="n">
        <v>0</v>
      </c>
      <c r="I154" t="n">
        <v>0</v>
      </c>
      <c r="J154" t="n">
        <v>1</v>
      </c>
      <c r="K154" t="n">
        <v>0</v>
      </c>
      <c r="L154" t="n">
        <v>0</v>
      </c>
      <c r="M154" t="n">
        <v>0</v>
      </c>
      <c r="N154" t="n">
        <v>0</v>
      </c>
      <c r="O154" t="n">
        <v>1</v>
      </c>
      <c r="P154" t="n">
        <v>0</v>
      </c>
      <c r="Q154" t="n">
        <v>1</v>
      </c>
      <c r="R154" s="2" t="inlineStr">
        <is>
          <t>Igelkott</t>
        </is>
      </c>
      <c r="S154">
        <f>HYPERLINK("https://klasma.github.io/Logging_YSTAD/artfynd/A 29376-2020.xlsx", "A 29376-2020")</f>
        <v/>
      </c>
      <c r="T154">
        <f>HYPERLINK("https://klasma.github.io/Logging_YSTAD/kartor/A 29376-2020.png", "A 29376-2020")</f>
        <v/>
      </c>
      <c r="V154">
        <f>HYPERLINK("https://klasma.github.io/Logging_YSTAD/klagomål/A 29376-2020.docx", "A 29376-2020")</f>
        <v/>
      </c>
      <c r="W154">
        <f>HYPERLINK("https://klasma.github.io/Logging_YSTAD/klagomålsmail/A 29376-2020.docx", "A 29376-2020")</f>
        <v/>
      </c>
      <c r="X154">
        <f>HYPERLINK("https://klasma.github.io/Logging_YSTAD/tillsyn/A 29376-2020.docx", "A 29376-2020")</f>
        <v/>
      </c>
      <c r="Y154">
        <f>HYPERLINK("https://klasma.github.io/Logging_YSTAD/tillsynsmail/A 29376-2020.docx", "A 29376-2020")</f>
        <v/>
      </c>
    </row>
    <row r="155" ht="15" customHeight="1">
      <c r="A155" t="inlineStr">
        <is>
          <t>A 30687-2020</t>
        </is>
      </c>
      <c r="B155" s="1" t="n">
        <v>44008</v>
      </c>
      <c r="C155" s="1" t="n">
        <v>45190</v>
      </c>
      <c r="D155" t="inlineStr">
        <is>
          <t>SKÅNE LÄN</t>
        </is>
      </c>
      <c r="E155" t="inlineStr">
        <is>
          <t>KRISTIANSTAD</t>
        </is>
      </c>
      <c r="F155" t="inlineStr">
        <is>
          <t>Kommuner</t>
        </is>
      </c>
      <c r="G155" t="n">
        <v>0.8</v>
      </c>
      <c r="H155" t="n">
        <v>0</v>
      </c>
      <c r="I155" t="n">
        <v>0</v>
      </c>
      <c r="J155" t="n">
        <v>1</v>
      </c>
      <c r="K155" t="n">
        <v>0</v>
      </c>
      <c r="L155" t="n">
        <v>0</v>
      </c>
      <c r="M155" t="n">
        <v>0</v>
      </c>
      <c r="N155" t="n">
        <v>0</v>
      </c>
      <c r="O155" t="n">
        <v>1</v>
      </c>
      <c r="P155" t="n">
        <v>0</v>
      </c>
      <c r="Q155" t="n">
        <v>1</v>
      </c>
      <c r="R155" s="2" t="inlineStr">
        <is>
          <t>Stortapetserarbi</t>
        </is>
      </c>
      <c r="S155">
        <f>HYPERLINK("https://klasma.github.io/Logging_KRISTIANSTAD/artfynd/A 30687-2020.xlsx", "A 30687-2020")</f>
        <v/>
      </c>
      <c r="T155">
        <f>HYPERLINK("https://klasma.github.io/Logging_KRISTIANSTAD/kartor/A 30687-2020.png", "A 30687-2020")</f>
        <v/>
      </c>
      <c r="V155">
        <f>HYPERLINK("https://klasma.github.io/Logging_KRISTIANSTAD/klagomål/A 30687-2020.docx", "A 30687-2020")</f>
        <v/>
      </c>
      <c r="W155">
        <f>HYPERLINK("https://klasma.github.io/Logging_KRISTIANSTAD/klagomålsmail/A 30687-2020.docx", "A 30687-2020")</f>
        <v/>
      </c>
      <c r="X155">
        <f>HYPERLINK("https://klasma.github.io/Logging_KRISTIANSTAD/tillsyn/A 30687-2020.docx", "A 30687-2020")</f>
        <v/>
      </c>
      <c r="Y155">
        <f>HYPERLINK("https://klasma.github.io/Logging_KRISTIANSTAD/tillsynsmail/A 30687-2020.docx", "A 30687-2020")</f>
        <v/>
      </c>
    </row>
    <row r="156" ht="15" customHeight="1">
      <c r="A156" t="inlineStr">
        <is>
          <t>A 30733-2020</t>
        </is>
      </c>
      <c r="B156" s="1" t="n">
        <v>44008</v>
      </c>
      <c r="C156" s="1" t="n">
        <v>45190</v>
      </c>
      <c r="D156" t="inlineStr">
        <is>
          <t>SKÅNE LÄN</t>
        </is>
      </c>
      <c r="E156" t="inlineStr">
        <is>
          <t>SVEDALA</t>
        </is>
      </c>
      <c r="G156" t="n">
        <v>1.4</v>
      </c>
      <c r="H156" t="n">
        <v>0</v>
      </c>
      <c r="I156" t="n">
        <v>0</v>
      </c>
      <c r="J156" t="n">
        <v>0</v>
      </c>
      <c r="K156" t="n">
        <v>1</v>
      </c>
      <c r="L156" t="n">
        <v>0</v>
      </c>
      <c r="M156" t="n">
        <v>0</v>
      </c>
      <c r="N156" t="n">
        <v>0</v>
      </c>
      <c r="O156" t="n">
        <v>1</v>
      </c>
      <c r="P156" t="n">
        <v>1</v>
      </c>
      <c r="Q156" t="n">
        <v>1</v>
      </c>
      <c r="R156" s="2" t="inlineStr">
        <is>
          <t>Större grynsnäcka</t>
        </is>
      </c>
      <c r="S156">
        <f>HYPERLINK("https://klasma.github.io/Logging_SVEDALA/artfynd/A 30733-2020.xlsx", "A 30733-2020")</f>
        <v/>
      </c>
      <c r="T156">
        <f>HYPERLINK("https://klasma.github.io/Logging_SVEDALA/kartor/A 30733-2020.png", "A 30733-2020")</f>
        <v/>
      </c>
      <c r="V156">
        <f>HYPERLINK("https://klasma.github.io/Logging_SVEDALA/klagomål/A 30733-2020.docx", "A 30733-2020")</f>
        <v/>
      </c>
      <c r="W156">
        <f>HYPERLINK("https://klasma.github.io/Logging_SVEDALA/klagomålsmail/A 30733-2020.docx", "A 30733-2020")</f>
        <v/>
      </c>
      <c r="X156">
        <f>HYPERLINK("https://klasma.github.io/Logging_SVEDALA/tillsyn/A 30733-2020.docx", "A 30733-2020")</f>
        <v/>
      </c>
      <c r="Y156">
        <f>HYPERLINK("https://klasma.github.io/Logging_SVEDALA/tillsynsmail/A 30733-2020.docx", "A 30733-2020")</f>
        <v/>
      </c>
    </row>
    <row r="157" ht="15" customHeight="1">
      <c r="A157" t="inlineStr">
        <is>
          <t>A 34756-2020</t>
        </is>
      </c>
      <c r="B157" s="1" t="n">
        <v>44035</v>
      </c>
      <c r="C157" s="1" t="n">
        <v>45190</v>
      </c>
      <c r="D157" t="inlineStr">
        <is>
          <t>SKÅNE LÄN</t>
        </is>
      </c>
      <c r="E157" t="inlineStr">
        <is>
          <t>SIMRISHAMN</t>
        </is>
      </c>
      <c r="G157" t="n">
        <v>4.3</v>
      </c>
      <c r="H157" t="n">
        <v>0</v>
      </c>
      <c r="I157" t="n">
        <v>0</v>
      </c>
      <c r="J157" t="n">
        <v>0</v>
      </c>
      <c r="K157" t="n">
        <v>0</v>
      </c>
      <c r="L157" t="n">
        <v>1</v>
      </c>
      <c r="M157" t="n">
        <v>0</v>
      </c>
      <c r="N157" t="n">
        <v>0</v>
      </c>
      <c r="O157" t="n">
        <v>1</v>
      </c>
      <c r="P157" t="n">
        <v>1</v>
      </c>
      <c r="Q157" t="n">
        <v>1</v>
      </c>
      <c r="R157" s="2" t="inlineStr">
        <is>
          <t>Ask</t>
        </is>
      </c>
      <c r="S157">
        <f>HYPERLINK("https://klasma.github.io/Logging_SIMRISHAMN/artfynd/A 34756-2020.xlsx", "A 34756-2020")</f>
        <v/>
      </c>
      <c r="T157">
        <f>HYPERLINK("https://klasma.github.io/Logging_SIMRISHAMN/kartor/A 34756-2020.png", "A 34756-2020")</f>
        <v/>
      </c>
      <c r="V157">
        <f>HYPERLINK("https://klasma.github.io/Logging_SIMRISHAMN/klagomål/A 34756-2020.docx", "A 34756-2020")</f>
        <v/>
      </c>
      <c r="W157">
        <f>HYPERLINK("https://klasma.github.io/Logging_SIMRISHAMN/klagomålsmail/A 34756-2020.docx", "A 34756-2020")</f>
        <v/>
      </c>
      <c r="X157">
        <f>HYPERLINK("https://klasma.github.io/Logging_SIMRISHAMN/tillsyn/A 34756-2020.docx", "A 34756-2020")</f>
        <v/>
      </c>
      <c r="Y157">
        <f>HYPERLINK("https://klasma.github.io/Logging_SIMRISHAMN/tillsynsmail/A 34756-2020.docx", "A 34756-2020")</f>
        <v/>
      </c>
    </row>
    <row r="158" ht="15" customHeight="1">
      <c r="A158" t="inlineStr">
        <is>
          <t>A 42615-2020</t>
        </is>
      </c>
      <c r="B158" s="1" t="n">
        <v>44076</v>
      </c>
      <c r="C158" s="1" t="n">
        <v>45190</v>
      </c>
      <c r="D158" t="inlineStr">
        <is>
          <t>SKÅNE LÄN</t>
        </is>
      </c>
      <c r="E158" t="inlineStr">
        <is>
          <t>KRISTIANSTAD</t>
        </is>
      </c>
      <c r="G158" t="n">
        <v>7.5</v>
      </c>
      <c r="H158" t="n">
        <v>0</v>
      </c>
      <c r="I158" t="n">
        <v>0</v>
      </c>
      <c r="J158" t="n">
        <v>1</v>
      </c>
      <c r="K158" t="n">
        <v>0</v>
      </c>
      <c r="L158" t="n">
        <v>0</v>
      </c>
      <c r="M158" t="n">
        <v>0</v>
      </c>
      <c r="N158" t="n">
        <v>0</v>
      </c>
      <c r="O158" t="n">
        <v>1</v>
      </c>
      <c r="P158" t="n">
        <v>0</v>
      </c>
      <c r="Q158" t="n">
        <v>1</v>
      </c>
      <c r="R158" s="2" t="inlineStr">
        <is>
          <t>Lamellsnäcka</t>
        </is>
      </c>
      <c r="S158">
        <f>HYPERLINK("https://klasma.github.io/Logging_KRISTIANSTAD/artfynd/A 42615-2020.xlsx", "A 42615-2020")</f>
        <v/>
      </c>
      <c r="T158">
        <f>HYPERLINK("https://klasma.github.io/Logging_KRISTIANSTAD/kartor/A 42615-2020.png", "A 42615-2020")</f>
        <v/>
      </c>
      <c r="V158">
        <f>HYPERLINK("https://klasma.github.io/Logging_KRISTIANSTAD/klagomål/A 42615-2020.docx", "A 42615-2020")</f>
        <v/>
      </c>
      <c r="W158">
        <f>HYPERLINK("https://klasma.github.io/Logging_KRISTIANSTAD/klagomålsmail/A 42615-2020.docx", "A 42615-2020")</f>
        <v/>
      </c>
      <c r="X158">
        <f>HYPERLINK("https://klasma.github.io/Logging_KRISTIANSTAD/tillsyn/A 42615-2020.docx", "A 42615-2020")</f>
        <v/>
      </c>
      <c r="Y158">
        <f>HYPERLINK("https://klasma.github.io/Logging_KRISTIANSTAD/tillsynsmail/A 42615-2020.docx", "A 42615-2020")</f>
        <v/>
      </c>
    </row>
    <row r="159" ht="15" customHeight="1">
      <c r="A159" t="inlineStr">
        <is>
          <t>A 62434-2020</t>
        </is>
      </c>
      <c r="B159" s="1" t="n">
        <v>44159</v>
      </c>
      <c r="C159" s="1" t="n">
        <v>45190</v>
      </c>
      <c r="D159" t="inlineStr">
        <is>
          <t>SKÅNE LÄN</t>
        </is>
      </c>
      <c r="E159" t="inlineStr">
        <is>
          <t>HÄSSLEHOLM</t>
        </is>
      </c>
      <c r="G159" t="n">
        <v>2</v>
      </c>
      <c r="H159" t="n">
        <v>0</v>
      </c>
      <c r="I159" t="n">
        <v>0</v>
      </c>
      <c r="J159" t="n">
        <v>1</v>
      </c>
      <c r="K159" t="n">
        <v>0</v>
      </c>
      <c r="L159" t="n">
        <v>0</v>
      </c>
      <c r="M159" t="n">
        <v>0</v>
      </c>
      <c r="N159" t="n">
        <v>0</v>
      </c>
      <c r="O159" t="n">
        <v>1</v>
      </c>
      <c r="P159" t="n">
        <v>0</v>
      </c>
      <c r="Q159" t="n">
        <v>1</v>
      </c>
      <c r="R159" s="2" t="inlineStr">
        <is>
          <t>Borsttåg</t>
        </is>
      </c>
      <c r="S159">
        <f>HYPERLINK("https://klasma.github.io/Logging_HASSLEHOLM/artfynd/A 62434-2020.xlsx", "A 62434-2020")</f>
        <v/>
      </c>
      <c r="T159">
        <f>HYPERLINK("https://klasma.github.io/Logging_HASSLEHOLM/kartor/A 62434-2020.png", "A 62434-2020")</f>
        <v/>
      </c>
      <c r="V159">
        <f>HYPERLINK("https://klasma.github.io/Logging_HASSLEHOLM/klagomål/A 62434-2020.docx", "A 62434-2020")</f>
        <v/>
      </c>
      <c r="W159">
        <f>HYPERLINK("https://klasma.github.io/Logging_HASSLEHOLM/klagomålsmail/A 62434-2020.docx", "A 62434-2020")</f>
        <v/>
      </c>
      <c r="X159">
        <f>HYPERLINK("https://klasma.github.io/Logging_HASSLEHOLM/tillsyn/A 62434-2020.docx", "A 62434-2020")</f>
        <v/>
      </c>
      <c r="Y159">
        <f>HYPERLINK("https://klasma.github.io/Logging_HASSLEHOLM/tillsynsmail/A 62434-2020.docx", "A 62434-2020")</f>
        <v/>
      </c>
    </row>
    <row r="160" ht="15" customHeight="1">
      <c r="A160" t="inlineStr">
        <is>
          <t>A 64373-2020</t>
        </is>
      </c>
      <c r="B160" s="1" t="n">
        <v>44168</v>
      </c>
      <c r="C160" s="1" t="n">
        <v>45190</v>
      </c>
      <c r="D160" t="inlineStr">
        <is>
          <t>SKÅNE LÄN</t>
        </is>
      </c>
      <c r="E160" t="inlineStr">
        <is>
          <t>SVALÖV</t>
        </is>
      </c>
      <c r="F160" t="inlineStr">
        <is>
          <t>Kyrkan</t>
        </is>
      </c>
      <c r="G160" t="n">
        <v>5.3</v>
      </c>
      <c r="H160" t="n">
        <v>1</v>
      </c>
      <c r="I160" t="n">
        <v>0</v>
      </c>
      <c r="J160" t="n">
        <v>1</v>
      </c>
      <c r="K160" t="n">
        <v>0</v>
      </c>
      <c r="L160" t="n">
        <v>0</v>
      </c>
      <c r="M160" t="n">
        <v>0</v>
      </c>
      <c r="N160" t="n">
        <v>0</v>
      </c>
      <c r="O160" t="n">
        <v>1</v>
      </c>
      <c r="P160" t="n">
        <v>0</v>
      </c>
      <c r="Q160" t="n">
        <v>1</v>
      </c>
      <c r="R160" s="2" t="inlineStr">
        <is>
          <t>Mindre hackspett</t>
        </is>
      </c>
      <c r="S160">
        <f>HYPERLINK("https://klasma.github.io/Logging_SVALOV/artfynd/A 64373-2020.xlsx", "A 64373-2020")</f>
        <v/>
      </c>
      <c r="T160">
        <f>HYPERLINK("https://klasma.github.io/Logging_SVALOV/kartor/A 64373-2020.png", "A 64373-2020")</f>
        <v/>
      </c>
      <c r="V160">
        <f>HYPERLINK("https://klasma.github.io/Logging_SVALOV/klagomål/A 64373-2020.docx", "A 64373-2020")</f>
        <v/>
      </c>
      <c r="W160">
        <f>HYPERLINK("https://klasma.github.io/Logging_SVALOV/klagomålsmail/A 64373-2020.docx", "A 64373-2020")</f>
        <v/>
      </c>
      <c r="X160">
        <f>HYPERLINK("https://klasma.github.io/Logging_SVALOV/tillsyn/A 64373-2020.docx", "A 64373-2020")</f>
        <v/>
      </c>
      <c r="Y160">
        <f>HYPERLINK("https://klasma.github.io/Logging_SVALOV/tillsynsmail/A 64373-2020.docx", "A 64373-2020")</f>
        <v/>
      </c>
    </row>
    <row r="161" ht="15" customHeight="1">
      <c r="A161" t="inlineStr">
        <is>
          <t>A 65104-2020</t>
        </is>
      </c>
      <c r="B161" s="1" t="n">
        <v>44172</v>
      </c>
      <c r="C161" s="1" t="n">
        <v>45190</v>
      </c>
      <c r="D161" t="inlineStr">
        <is>
          <t>SKÅNE LÄN</t>
        </is>
      </c>
      <c r="E161" t="inlineStr">
        <is>
          <t>ÄNGELHOLM</t>
        </is>
      </c>
      <c r="G161" t="n">
        <v>0.7</v>
      </c>
      <c r="H161" t="n">
        <v>1</v>
      </c>
      <c r="I161" t="n">
        <v>0</v>
      </c>
      <c r="J161" t="n">
        <v>0</v>
      </c>
      <c r="K161" t="n">
        <v>1</v>
      </c>
      <c r="L161" t="n">
        <v>0</v>
      </c>
      <c r="M161" t="n">
        <v>0</v>
      </c>
      <c r="N161" t="n">
        <v>0</v>
      </c>
      <c r="O161" t="n">
        <v>1</v>
      </c>
      <c r="P161" t="n">
        <v>1</v>
      </c>
      <c r="Q161" t="n">
        <v>1</v>
      </c>
      <c r="R161" s="2" t="inlineStr">
        <is>
          <t>Backsippa</t>
        </is>
      </c>
      <c r="S161">
        <f>HYPERLINK("https://klasma.github.io/Logging_ANGELHOLM/artfynd/A 65104-2020.xlsx", "A 65104-2020")</f>
        <v/>
      </c>
      <c r="T161">
        <f>HYPERLINK("https://klasma.github.io/Logging_ANGELHOLM/kartor/A 65104-2020.png", "A 65104-2020")</f>
        <v/>
      </c>
      <c r="V161">
        <f>HYPERLINK("https://klasma.github.io/Logging_ANGELHOLM/klagomål/A 65104-2020.docx", "A 65104-2020")</f>
        <v/>
      </c>
      <c r="W161">
        <f>HYPERLINK("https://klasma.github.io/Logging_ANGELHOLM/klagomålsmail/A 65104-2020.docx", "A 65104-2020")</f>
        <v/>
      </c>
      <c r="X161">
        <f>HYPERLINK("https://klasma.github.io/Logging_ANGELHOLM/tillsyn/A 65104-2020.docx", "A 65104-2020")</f>
        <v/>
      </c>
      <c r="Y161">
        <f>HYPERLINK("https://klasma.github.io/Logging_ANGELHOLM/tillsynsmail/A 65104-2020.docx", "A 65104-2020")</f>
        <v/>
      </c>
    </row>
    <row r="162" ht="15" customHeight="1">
      <c r="A162" t="inlineStr">
        <is>
          <t>A 66175-2020</t>
        </is>
      </c>
      <c r="B162" s="1" t="n">
        <v>44174</v>
      </c>
      <c r="C162" s="1" t="n">
        <v>45190</v>
      </c>
      <c r="D162" t="inlineStr">
        <is>
          <t>SKÅNE LÄN</t>
        </is>
      </c>
      <c r="E162" t="inlineStr">
        <is>
          <t>SJÖBO</t>
        </is>
      </c>
      <c r="G162" t="n">
        <v>4.5</v>
      </c>
      <c r="H162" t="n">
        <v>0</v>
      </c>
      <c r="I162" t="n">
        <v>1</v>
      </c>
      <c r="J162" t="n">
        <v>0</v>
      </c>
      <c r="K162" t="n">
        <v>0</v>
      </c>
      <c r="L162" t="n">
        <v>0</v>
      </c>
      <c r="M162" t="n">
        <v>0</v>
      </c>
      <c r="N162" t="n">
        <v>0</v>
      </c>
      <c r="O162" t="n">
        <v>0</v>
      </c>
      <c r="P162" t="n">
        <v>0</v>
      </c>
      <c r="Q162" t="n">
        <v>1</v>
      </c>
      <c r="R162" s="2" t="inlineStr">
        <is>
          <t>Strävlosta</t>
        </is>
      </c>
      <c r="S162">
        <f>HYPERLINK("https://klasma.github.io/Logging_SJOBO/artfynd/A 66175-2020.xlsx", "A 66175-2020")</f>
        <v/>
      </c>
      <c r="T162">
        <f>HYPERLINK("https://klasma.github.io/Logging_SJOBO/kartor/A 66175-2020.png", "A 66175-2020")</f>
        <v/>
      </c>
      <c r="V162">
        <f>HYPERLINK("https://klasma.github.io/Logging_SJOBO/klagomål/A 66175-2020.docx", "A 66175-2020")</f>
        <v/>
      </c>
      <c r="W162">
        <f>HYPERLINK("https://klasma.github.io/Logging_SJOBO/klagomålsmail/A 66175-2020.docx", "A 66175-2020")</f>
        <v/>
      </c>
      <c r="X162">
        <f>HYPERLINK("https://klasma.github.io/Logging_SJOBO/tillsyn/A 66175-2020.docx", "A 66175-2020")</f>
        <v/>
      </c>
      <c r="Y162">
        <f>HYPERLINK("https://klasma.github.io/Logging_SJOBO/tillsynsmail/A 66175-2020.docx", "A 66175-2020")</f>
        <v/>
      </c>
    </row>
    <row r="163" ht="15" customHeight="1">
      <c r="A163" t="inlineStr">
        <is>
          <t>A 15070-2021</t>
        </is>
      </c>
      <c r="B163" s="1" t="n">
        <v>44281</v>
      </c>
      <c r="C163" s="1" t="n">
        <v>45190</v>
      </c>
      <c r="D163" t="inlineStr">
        <is>
          <t>SKÅNE LÄN</t>
        </is>
      </c>
      <c r="E163" t="inlineStr">
        <is>
          <t>HÖÖR</t>
        </is>
      </c>
      <c r="G163" t="n">
        <v>1.5</v>
      </c>
      <c r="H163" t="n">
        <v>0</v>
      </c>
      <c r="I163" t="n">
        <v>0</v>
      </c>
      <c r="J163" t="n">
        <v>1</v>
      </c>
      <c r="K163" t="n">
        <v>0</v>
      </c>
      <c r="L163" t="n">
        <v>0</v>
      </c>
      <c r="M163" t="n">
        <v>0</v>
      </c>
      <c r="N163" t="n">
        <v>0</v>
      </c>
      <c r="O163" t="n">
        <v>1</v>
      </c>
      <c r="P163" t="n">
        <v>0</v>
      </c>
      <c r="Q163" t="n">
        <v>1</v>
      </c>
      <c r="R163" s="2" t="inlineStr">
        <is>
          <t>Korallticka</t>
        </is>
      </c>
      <c r="S163">
        <f>HYPERLINK("https://klasma.github.io/Logging_HOOR/artfynd/A 15070-2021.xlsx", "A 15070-2021")</f>
        <v/>
      </c>
      <c r="T163">
        <f>HYPERLINK("https://klasma.github.io/Logging_HOOR/kartor/A 15070-2021.png", "A 15070-2021")</f>
        <v/>
      </c>
      <c r="V163">
        <f>HYPERLINK("https://klasma.github.io/Logging_HOOR/klagomål/A 15070-2021.docx", "A 15070-2021")</f>
        <v/>
      </c>
      <c r="W163">
        <f>HYPERLINK("https://klasma.github.io/Logging_HOOR/klagomålsmail/A 15070-2021.docx", "A 15070-2021")</f>
        <v/>
      </c>
      <c r="X163">
        <f>HYPERLINK("https://klasma.github.io/Logging_HOOR/tillsyn/A 15070-2021.docx", "A 15070-2021")</f>
        <v/>
      </c>
      <c r="Y163">
        <f>HYPERLINK("https://klasma.github.io/Logging_HOOR/tillsynsmail/A 15070-2021.docx", "A 15070-2021")</f>
        <v/>
      </c>
    </row>
    <row r="164" ht="15" customHeight="1">
      <c r="A164" t="inlineStr">
        <is>
          <t>A 21568-2021</t>
        </is>
      </c>
      <c r="B164" s="1" t="n">
        <v>44314</v>
      </c>
      <c r="C164" s="1" t="n">
        <v>45190</v>
      </c>
      <c r="D164" t="inlineStr">
        <is>
          <t>SKÅNE LÄN</t>
        </is>
      </c>
      <c r="E164" t="inlineStr">
        <is>
          <t>KRISTIANSTAD</t>
        </is>
      </c>
      <c r="G164" t="n">
        <v>18.4</v>
      </c>
      <c r="H164" t="n">
        <v>0</v>
      </c>
      <c r="I164" t="n">
        <v>1</v>
      </c>
      <c r="J164" t="n">
        <v>0</v>
      </c>
      <c r="K164" t="n">
        <v>0</v>
      </c>
      <c r="L164" t="n">
        <v>0</v>
      </c>
      <c r="M164" t="n">
        <v>0</v>
      </c>
      <c r="N164" t="n">
        <v>0</v>
      </c>
      <c r="O164" t="n">
        <v>0</v>
      </c>
      <c r="P164" t="n">
        <v>0</v>
      </c>
      <c r="Q164" t="n">
        <v>1</v>
      </c>
      <c r="R164" s="2" t="inlineStr">
        <is>
          <t>Kransrams</t>
        </is>
      </c>
      <c r="S164">
        <f>HYPERLINK("https://klasma.github.io/Logging_KRISTIANSTAD/artfynd/A 21568-2021.xlsx", "A 21568-2021")</f>
        <v/>
      </c>
      <c r="T164">
        <f>HYPERLINK("https://klasma.github.io/Logging_KRISTIANSTAD/kartor/A 21568-2021.png", "A 21568-2021")</f>
        <v/>
      </c>
      <c r="V164">
        <f>HYPERLINK("https://klasma.github.io/Logging_KRISTIANSTAD/klagomål/A 21568-2021.docx", "A 21568-2021")</f>
        <v/>
      </c>
      <c r="W164">
        <f>HYPERLINK("https://klasma.github.io/Logging_KRISTIANSTAD/klagomålsmail/A 21568-2021.docx", "A 21568-2021")</f>
        <v/>
      </c>
      <c r="X164">
        <f>HYPERLINK("https://klasma.github.io/Logging_KRISTIANSTAD/tillsyn/A 21568-2021.docx", "A 21568-2021")</f>
        <v/>
      </c>
      <c r="Y164">
        <f>HYPERLINK("https://klasma.github.io/Logging_KRISTIANSTAD/tillsynsmail/A 21568-2021.docx", "A 21568-2021")</f>
        <v/>
      </c>
    </row>
    <row r="165" ht="15" customHeight="1">
      <c r="A165" t="inlineStr">
        <is>
          <t>A 22549-2021</t>
        </is>
      </c>
      <c r="B165" s="1" t="n">
        <v>44327</v>
      </c>
      <c r="C165" s="1" t="n">
        <v>45190</v>
      </c>
      <c r="D165" t="inlineStr">
        <is>
          <t>SKÅNE LÄN</t>
        </is>
      </c>
      <c r="E165" t="inlineStr">
        <is>
          <t>KRISTIANSTAD</t>
        </is>
      </c>
      <c r="G165" t="n">
        <v>2.5</v>
      </c>
      <c r="H165" t="n">
        <v>1</v>
      </c>
      <c r="I165" t="n">
        <v>0</v>
      </c>
      <c r="J165" t="n">
        <v>0</v>
      </c>
      <c r="K165" t="n">
        <v>0</v>
      </c>
      <c r="L165" t="n">
        <v>0</v>
      </c>
      <c r="M165" t="n">
        <v>0</v>
      </c>
      <c r="N165" t="n">
        <v>0</v>
      </c>
      <c r="O165" t="n">
        <v>0</v>
      </c>
      <c r="P165" t="n">
        <v>0</v>
      </c>
      <c r="Q165" t="n">
        <v>1</v>
      </c>
      <c r="R165" s="2" t="inlineStr">
        <is>
          <t>Lövgroda</t>
        </is>
      </c>
      <c r="S165">
        <f>HYPERLINK("https://klasma.github.io/Logging_KRISTIANSTAD/artfynd/A 22549-2021.xlsx", "A 22549-2021")</f>
        <v/>
      </c>
      <c r="T165">
        <f>HYPERLINK("https://klasma.github.io/Logging_KRISTIANSTAD/kartor/A 22549-2021.png", "A 22549-2021")</f>
        <v/>
      </c>
      <c r="V165">
        <f>HYPERLINK("https://klasma.github.io/Logging_KRISTIANSTAD/klagomål/A 22549-2021.docx", "A 22549-2021")</f>
        <v/>
      </c>
      <c r="W165">
        <f>HYPERLINK("https://klasma.github.io/Logging_KRISTIANSTAD/klagomålsmail/A 22549-2021.docx", "A 22549-2021")</f>
        <v/>
      </c>
      <c r="X165">
        <f>HYPERLINK("https://klasma.github.io/Logging_KRISTIANSTAD/tillsyn/A 22549-2021.docx", "A 22549-2021")</f>
        <v/>
      </c>
      <c r="Y165">
        <f>HYPERLINK("https://klasma.github.io/Logging_KRISTIANSTAD/tillsynsmail/A 22549-2021.docx", "A 22549-2021")</f>
        <v/>
      </c>
    </row>
    <row r="166" ht="15" customHeight="1">
      <c r="A166" t="inlineStr">
        <is>
          <t>A 22967-2021</t>
        </is>
      </c>
      <c r="B166" s="1" t="n">
        <v>44328</v>
      </c>
      <c r="C166" s="1" t="n">
        <v>45190</v>
      </c>
      <c r="D166" t="inlineStr">
        <is>
          <t>SKÅNE LÄN</t>
        </is>
      </c>
      <c r="E166" t="inlineStr">
        <is>
          <t>KRISTIANSTAD</t>
        </is>
      </c>
      <c r="G166" t="n">
        <v>3.1</v>
      </c>
      <c r="H166" t="n">
        <v>0</v>
      </c>
      <c r="I166" t="n">
        <v>0</v>
      </c>
      <c r="J166" t="n">
        <v>1</v>
      </c>
      <c r="K166" t="n">
        <v>0</v>
      </c>
      <c r="L166" t="n">
        <v>0</v>
      </c>
      <c r="M166" t="n">
        <v>0</v>
      </c>
      <c r="N166" t="n">
        <v>0</v>
      </c>
      <c r="O166" t="n">
        <v>1</v>
      </c>
      <c r="P166" t="n">
        <v>0</v>
      </c>
      <c r="Q166" t="n">
        <v>1</v>
      </c>
      <c r="R166" s="2" t="inlineStr">
        <is>
          <t>Gullklöver</t>
        </is>
      </c>
      <c r="S166">
        <f>HYPERLINK("https://klasma.github.io/Logging_KRISTIANSTAD/artfynd/A 22967-2021.xlsx", "A 22967-2021")</f>
        <v/>
      </c>
      <c r="T166">
        <f>HYPERLINK("https://klasma.github.io/Logging_KRISTIANSTAD/kartor/A 22967-2021.png", "A 22967-2021")</f>
        <v/>
      </c>
      <c r="V166">
        <f>HYPERLINK("https://klasma.github.io/Logging_KRISTIANSTAD/klagomål/A 22967-2021.docx", "A 22967-2021")</f>
        <v/>
      </c>
      <c r="W166">
        <f>HYPERLINK("https://klasma.github.io/Logging_KRISTIANSTAD/klagomålsmail/A 22967-2021.docx", "A 22967-2021")</f>
        <v/>
      </c>
      <c r="X166">
        <f>HYPERLINK("https://klasma.github.io/Logging_KRISTIANSTAD/tillsyn/A 22967-2021.docx", "A 22967-2021")</f>
        <v/>
      </c>
      <c r="Y166">
        <f>HYPERLINK("https://klasma.github.io/Logging_KRISTIANSTAD/tillsynsmail/A 22967-2021.docx", "A 22967-2021")</f>
        <v/>
      </c>
    </row>
    <row r="167" ht="15" customHeight="1">
      <c r="A167" t="inlineStr">
        <is>
          <t>A 30708-2021</t>
        </is>
      </c>
      <c r="B167" s="1" t="n">
        <v>44365</v>
      </c>
      <c r="C167" s="1" t="n">
        <v>45190</v>
      </c>
      <c r="D167" t="inlineStr">
        <is>
          <t>SKÅNE LÄN</t>
        </is>
      </c>
      <c r="E167" t="inlineStr">
        <is>
          <t>KLIPPAN</t>
        </is>
      </c>
      <c r="G167" t="n">
        <v>0.5</v>
      </c>
      <c r="H167" t="n">
        <v>0</v>
      </c>
      <c r="I167" t="n">
        <v>0</v>
      </c>
      <c r="J167" t="n">
        <v>1</v>
      </c>
      <c r="K167" t="n">
        <v>0</v>
      </c>
      <c r="L167" t="n">
        <v>0</v>
      </c>
      <c r="M167" t="n">
        <v>0</v>
      </c>
      <c r="N167" t="n">
        <v>0</v>
      </c>
      <c r="O167" t="n">
        <v>1</v>
      </c>
      <c r="P167" t="n">
        <v>0</v>
      </c>
      <c r="Q167" t="n">
        <v>1</v>
      </c>
      <c r="R167" s="2" t="inlineStr">
        <is>
          <t>Koralltaggsvamp</t>
        </is>
      </c>
      <c r="S167">
        <f>HYPERLINK("https://klasma.github.io/Logging_KLIPPAN/artfynd/A 30708-2021.xlsx", "A 30708-2021")</f>
        <v/>
      </c>
      <c r="T167">
        <f>HYPERLINK("https://klasma.github.io/Logging_KLIPPAN/kartor/A 30708-2021.png", "A 30708-2021")</f>
        <v/>
      </c>
      <c r="V167">
        <f>HYPERLINK("https://klasma.github.io/Logging_KLIPPAN/klagomål/A 30708-2021.docx", "A 30708-2021")</f>
        <v/>
      </c>
      <c r="W167">
        <f>HYPERLINK("https://klasma.github.io/Logging_KLIPPAN/klagomålsmail/A 30708-2021.docx", "A 30708-2021")</f>
        <v/>
      </c>
      <c r="X167">
        <f>HYPERLINK("https://klasma.github.io/Logging_KLIPPAN/tillsyn/A 30708-2021.docx", "A 30708-2021")</f>
        <v/>
      </c>
      <c r="Y167">
        <f>HYPERLINK("https://klasma.github.io/Logging_KLIPPAN/tillsynsmail/A 30708-2021.docx", "A 30708-2021")</f>
        <v/>
      </c>
    </row>
    <row r="168" ht="15" customHeight="1">
      <c r="A168" t="inlineStr">
        <is>
          <t>A 30721-2021</t>
        </is>
      </c>
      <c r="B168" s="1" t="n">
        <v>44365</v>
      </c>
      <c r="C168" s="1" t="n">
        <v>45190</v>
      </c>
      <c r="D168" t="inlineStr">
        <is>
          <t>SKÅNE LÄN</t>
        </is>
      </c>
      <c r="E168" t="inlineStr">
        <is>
          <t>KLIPPAN</t>
        </is>
      </c>
      <c r="G168" t="n">
        <v>0.4</v>
      </c>
      <c r="H168" t="n">
        <v>0</v>
      </c>
      <c r="I168" t="n">
        <v>1</v>
      </c>
      <c r="J168" t="n">
        <v>0</v>
      </c>
      <c r="K168" t="n">
        <v>0</v>
      </c>
      <c r="L168" t="n">
        <v>0</v>
      </c>
      <c r="M168" t="n">
        <v>0</v>
      </c>
      <c r="N168" t="n">
        <v>0</v>
      </c>
      <c r="O168" t="n">
        <v>0</v>
      </c>
      <c r="P168" t="n">
        <v>0</v>
      </c>
      <c r="Q168" t="n">
        <v>1</v>
      </c>
      <c r="R168" s="2" t="inlineStr">
        <is>
          <t>Brandticka</t>
        </is>
      </c>
      <c r="S168">
        <f>HYPERLINK("https://klasma.github.io/Logging_KLIPPAN/artfynd/A 30721-2021.xlsx", "A 30721-2021")</f>
        <v/>
      </c>
      <c r="T168">
        <f>HYPERLINK("https://klasma.github.io/Logging_KLIPPAN/kartor/A 30721-2021.png", "A 30721-2021")</f>
        <v/>
      </c>
      <c r="V168">
        <f>HYPERLINK("https://klasma.github.io/Logging_KLIPPAN/klagomål/A 30721-2021.docx", "A 30721-2021")</f>
        <v/>
      </c>
      <c r="W168">
        <f>HYPERLINK("https://klasma.github.io/Logging_KLIPPAN/klagomålsmail/A 30721-2021.docx", "A 30721-2021")</f>
        <v/>
      </c>
      <c r="X168">
        <f>HYPERLINK("https://klasma.github.io/Logging_KLIPPAN/tillsyn/A 30721-2021.docx", "A 30721-2021")</f>
        <v/>
      </c>
      <c r="Y168">
        <f>HYPERLINK("https://klasma.github.io/Logging_KLIPPAN/tillsynsmail/A 30721-2021.docx", "A 30721-2021")</f>
        <v/>
      </c>
    </row>
    <row r="169" ht="15" customHeight="1">
      <c r="A169" t="inlineStr">
        <is>
          <t>A 32766-2021</t>
        </is>
      </c>
      <c r="B169" s="1" t="n">
        <v>44375</v>
      </c>
      <c r="C169" s="1" t="n">
        <v>45190</v>
      </c>
      <c r="D169" t="inlineStr">
        <is>
          <t>SKÅNE LÄN</t>
        </is>
      </c>
      <c r="E169" t="inlineStr">
        <is>
          <t>OSBY</t>
        </is>
      </c>
      <c r="G169" t="n">
        <v>1.9</v>
      </c>
      <c r="H169" t="n">
        <v>0</v>
      </c>
      <c r="I169" t="n">
        <v>1</v>
      </c>
      <c r="J169" t="n">
        <v>0</v>
      </c>
      <c r="K169" t="n">
        <v>0</v>
      </c>
      <c r="L169" t="n">
        <v>0</v>
      </c>
      <c r="M169" t="n">
        <v>0</v>
      </c>
      <c r="N169" t="n">
        <v>0</v>
      </c>
      <c r="O169" t="n">
        <v>0</v>
      </c>
      <c r="P169" t="n">
        <v>0</v>
      </c>
      <c r="Q169" t="n">
        <v>1</v>
      </c>
      <c r="R169" s="2" t="inlineStr">
        <is>
          <t>Smal svampklubba</t>
        </is>
      </c>
      <c r="S169">
        <f>HYPERLINK("https://klasma.github.io/Logging_OSBY/artfynd/A 32766-2021.xlsx", "A 32766-2021")</f>
        <v/>
      </c>
      <c r="T169">
        <f>HYPERLINK("https://klasma.github.io/Logging_OSBY/kartor/A 32766-2021.png", "A 32766-2021")</f>
        <v/>
      </c>
      <c r="V169">
        <f>HYPERLINK("https://klasma.github.io/Logging_OSBY/klagomål/A 32766-2021.docx", "A 32766-2021")</f>
        <v/>
      </c>
      <c r="W169">
        <f>HYPERLINK("https://klasma.github.io/Logging_OSBY/klagomålsmail/A 32766-2021.docx", "A 32766-2021")</f>
        <v/>
      </c>
      <c r="X169">
        <f>HYPERLINK("https://klasma.github.io/Logging_OSBY/tillsyn/A 32766-2021.docx", "A 32766-2021")</f>
        <v/>
      </c>
      <c r="Y169">
        <f>HYPERLINK("https://klasma.github.io/Logging_OSBY/tillsynsmail/A 32766-2021.docx", "A 32766-2021")</f>
        <v/>
      </c>
    </row>
    <row r="170" ht="15" customHeight="1">
      <c r="A170" t="inlineStr">
        <is>
          <t>A 35443-2021</t>
        </is>
      </c>
      <c r="B170" s="1" t="n">
        <v>44385</v>
      </c>
      <c r="C170" s="1" t="n">
        <v>45190</v>
      </c>
      <c r="D170" t="inlineStr">
        <is>
          <t>SKÅNE LÄN</t>
        </is>
      </c>
      <c r="E170" t="inlineStr">
        <is>
          <t>LUND</t>
        </is>
      </c>
      <c r="G170" t="n">
        <v>4.2</v>
      </c>
      <c r="H170" t="n">
        <v>0</v>
      </c>
      <c r="I170" t="n">
        <v>0</v>
      </c>
      <c r="J170" t="n">
        <v>0</v>
      </c>
      <c r="K170" t="n">
        <v>0</v>
      </c>
      <c r="L170" t="n">
        <v>1</v>
      </c>
      <c r="M170" t="n">
        <v>0</v>
      </c>
      <c r="N170" t="n">
        <v>0</v>
      </c>
      <c r="O170" t="n">
        <v>1</v>
      </c>
      <c r="P170" t="n">
        <v>1</v>
      </c>
      <c r="Q170" t="n">
        <v>1</v>
      </c>
      <c r="R170" s="2" t="inlineStr">
        <is>
          <t>Klubbfibbla</t>
        </is>
      </c>
      <c r="S170">
        <f>HYPERLINK("https://klasma.github.io/Logging_LUND/artfynd/A 35443-2021.xlsx", "A 35443-2021")</f>
        <v/>
      </c>
      <c r="T170">
        <f>HYPERLINK("https://klasma.github.io/Logging_LUND/kartor/A 35443-2021.png", "A 35443-2021")</f>
        <v/>
      </c>
      <c r="V170">
        <f>HYPERLINK("https://klasma.github.io/Logging_LUND/klagomål/A 35443-2021.docx", "A 35443-2021")</f>
        <v/>
      </c>
      <c r="W170">
        <f>HYPERLINK("https://klasma.github.io/Logging_LUND/klagomålsmail/A 35443-2021.docx", "A 35443-2021")</f>
        <v/>
      </c>
      <c r="X170">
        <f>HYPERLINK("https://klasma.github.io/Logging_LUND/tillsyn/A 35443-2021.docx", "A 35443-2021")</f>
        <v/>
      </c>
      <c r="Y170">
        <f>HYPERLINK("https://klasma.github.io/Logging_LUND/tillsynsmail/A 35443-2021.docx", "A 35443-2021")</f>
        <v/>
      </c>
    </row>
    <row r="171" ht="15" customHeight="1">
      <c r="A171" t="inlineStr">
        <is>
          <t>A 44327-2021</t>
        </is>
      </c>
      <c r="B171" s="1" t="n">
        <v>44434</v>
      </c>
      <c r="C171" s="1" t="n">
        <v>45190</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HYPERLINK("https://klasma.github.io/Logging_HOOR/artfynd/A 44327-2021.xlsx", "A 44327-2021")</f>
        <v/>
      </c>
      <c r="T171">
        <f>HYPERLINK("https://klasma.github.io/Logging_HOOR/kartor/A 44327-2021.png", "A 44327-2021")</f>
        <v/>
      </c>
      <c r="V171">
        <f>HYPERLINK("https://klasma.github.io/Logging_HOOR/klagomål/A 44327-2021.docx", "A 44327-2021")</f>
        <v/>
      </c>
      <c r="W171">
        <f>HYPERLINK("https://klasma.github.io/Logging_HOOR/klagomålsmail/A 44327-2021.docx", "A 44327-2021")</f>
        <v/>
      </c>
      <c r="X171">
        <f>HYPERLINK("https://klasma.github.io/Logging_HOOR/tillsyn/A 44327-2021.docx", "A 44327-2021")</f>
        <v/>
      </c>
      <c r="Y171">
        <f>HYPERLINK("https://klasma.github.io/Logging_HOOR/tillsynsmail/A 44327-2021.docx", "A 44327-2021")</f>
        <v/>
      </c>
    </row>
    <row r="172" ht="15" customHeight="1">
      <c r="A172" t="inlineStr">
        <is>
          <t>A 44705-2021</t>
        </is>
      </c>
      <c r="B172" s="1" t="n">
        <v>44438</v>
      </c>
      <c r="C172" s="1" t="n">
        <v>45190</v>
      </c>
      <c r="D172" t="inlineStr">
        <is>
          <t>SKÅNE LÄN</t>
        </is>
      </c>
      <c r="E172" t="inlineStr">
        <is>
          <t>HÄSSLEHOLM</t>
        </is>
      </c>
      <c r="G172" t="n">
        <v>1.7</v>
      </c>
      <c r="H172" t="n">
        <v>0</v>
      </c>
      <c r="I172" t="n">
        <v>1</v>
      </c>
      <c r="J172" t="n">
        <v>0</v>
      </c>
      <c r="K172" t="n">
        <v>0</v>
      </c>
      <c r="L172" t="n">
        <v>0</v>
      </c>
      <c r="M172" t="n">
        <v>0</v>
      </c>
      <c r="N172" t="n">
        <v>0</v>
      </c>
      <c r="O172" t="n">
        <v>0</v>
      </c>
      <c r="P172" t="n">
        <v>0</v>
      </c>
      <c r="Q172" t="n">
        <v>1</v>
      </c>
      <c r="R172" s="2" t="inlineStr">
        <is>
          <t>Blåmossa</t>
        </is>
      </c>
      <c r="S172">
        <f>HYPERLINK("https://klasma.github.io/Logging_HASSLEHOLM/artfynd/A 44705-2021.xlsx", "A 44705-2021")</f>
        <v/>
      </c>
      <c r="T172">
        <f>HYPERLINK("https://klasma.github.io/Logging_HASSLEHOLM/kartor/A 44705-2021.png", "A 44705-2021")</f>
        <v/>
      </c>
      <c r="V172">
        <f>HYPERLINK("https://klasma.github.io/Logging_HASSLEHOLM/klagomål/A 44705-2021.docx", "A 44705-2021")</f>
        <v/>
      </c>
      <c r="W172">
        <f>HYPERLINK("https://klasma.github.io/Logging_HASSLEHOLM/klagomålsmail/A 44705-2021.docx", "A 44705-2021")</f>
        <v/>
      </c>
      <c r="X172">
        <f>HYPERLINK("https://klasma.github.io/Logging_HASSLEHOLM/tillsyn/A 44705-2021.docx", "A 44705-2021")</f>
        <v/>
      </c>
      <c r="Y172">
        <f>HYPERLINK("https://klasma.github.io/Logging_HASSLEHOLM/tillsynsmail/A 44705-2021.docx", "A 44705-2021")</f>
        <v/>
      </c>
    </row>
    <row r="173" ht="15" customHeight="1">
      <c r="A173" t="inlineStr">
        <is>
          <t>A 46919-2021</t>
        </is>
      </c>
      <c r="B173" s="1" t="n">
        <v>44446</v>
      </c>
      <c r="C173" s="1" t="n">
        <v>45190</v>
      </c>
      <c r="D173" t="inlineStr">
        <is>
          <t>SKÅNE LÄN</t>
        </is>
      </c>
      <c r="E173" t="inlineStr">
        <is>
          <t>HÖÖR</t>
        </is>
      </c>
      <c r="G173" t="n">
        <v>2.8</v>
      </c>
      <c r="H173" t="n">
        <v>0</v>
      </c>
      <c r="I173" t="n">
        <v>1</v>
      </c>
      <c r="J173" t="n">
        <v>0</v>
      </c>
      <c r="K173" t="n">
        <v>0</v>
      </c>
      <c r="L173" t="n">
        <v>0</v>
      </c>
      <c r="M173" t="n">
        <v>0</v>
      </c>
      <c r="N173" t="n">
        <v>0</v>
      </c>
      <c r="O173" t="n">
        <v>0</v>
      </c>
      <c r="P173" t="n">
        <v>0</v>
      </c>
      <c r="Q173" t="n">
        <v>1</v>
      </c>
      <c r="R173" s="2" t="inlineStr">
        <is>
          <t>Strutbräken</t>
        </is>
      </c>
      <c r="S173">
        <f>HYPERLINK("https://klasma.github.io/Logging_HOOR/artfynd/A 46919-2021.xlsx", "A 46919-2021")</f>
        <v/>
      </c>
      <c r="T173">
        <f>HYPERLINK("https://klasma.github.io/Logging_HOOR/kartor/A 46919-2021.png", "A 46919-2021")</f>
        <v/>
      </c>
      <c r="V173">
        <f>HYPERLINK("https://klasma.github.io/Logging_HOOR/klagomål/A 46919-2021.docx", "A 46919-2021")</f>
        <v/>
      </c>
      <c r="W173">
        <f>HYPERLINK("https://klasma.github.io/Logging_HOOR/klagomålsmail/A 46919-2021.docx", "A 46919-2021")</f>
        <v/>
      </c>
      <c r="X173">
        <f>HYPERLINK("https://klasma.github.io/Logging_HOOR/tillsyn/A 46919-2021.docx", "A 46919-2021")</f>
        <v/>
      </c>
      <c r="Y173">
        <f>HYPERLINK("https://klasma.github.io/Logging_HOOR/tillsynsmail/A 46919-2021.docx", "A 46919-2021")</f>
        <v/>
      </c>
    </row>
    <row r="174" ht="15" customHeight="1">
      <c r="A174" t="inlineStr">
        <is>
          <t>A 52039-2021</t>
        </is>
      </c>
      <c r="B174" s="1" t="n">
        <v>44463</v>
      </c>
      <c r="C174" s="1" t="n">
        <v>45190</v>
      </c>
      <c r="D174" t="inlineStr">
        <is>
          <t>SKÅNE LÄN</t>
        </is>
      </c>
      <c r="E174" t="inlineStr">
        <is>
          <t>KRISTIANSTAD</t>
        </is>
      </c>
      <c r="G174" t="n">
        <v>3.1</v>
      </c>
      <c r="H174" t="n">
        <v>1</v>
      </c>
      <c r="I174" t="n">
        <v>0</v>
      </c>
      <c r="J174" t="n">
        <v>0</v>
      </c>
      <c r="K174" t="n">
        <v>0</v>
      </c>
      <c r="L174" t="n">
        <v>0</v>
      </c>
      <c r="M174" t="n">
        <v>0</v>
      </c>
      <c r="N174" t="n">
        <v>0</v>
      </c>
      <c r="O174" t="n">
        <v>0</v>
      </c>
      <c r="P174" t="n">
        <v>0</v>
      </c>
      <c r="Q174" t="n">
        <v>1</v>
      </c>
      <c r="R174" s="2" t="inlineStr">
        <is>
          <t>Gullviva</t>
        </is>
      </c>
      <c r="S174">
        <f>HYPERLINK("https://klasma.github.io/Logging_KRISTIANSTAD/artfynd/A 52039-2021.xlsx", "A 52039-2021")</f>
        <v/>
      </c>
      <c r="T174">
        <f>HYPERLINK("https://klasma.github.io/Logging_KRISTIANSTAD/kartor/A 52039-2021.png", "A 52039-2021")</f>
        <v/>
      </c>
      <c r="V174">
        <f>HYPERLINK("https://klasma.github.io/Logging_KRISTIANSTAD/klagomål/A 52039-2021.docx", "A 52039-2021")</f>
        <v/>
      </c>
      <c r="W174">
        <f>HYPERLINK("https://klasma.github.io/Logging_KRISTIANSTAD/klagomålsmail/A 52039-2021.docx", "A 52039-2021")</f>
        <v/>
      </c>
      <c r="X174">
        <f>HYPERLINK("https://klasma.github.io/Logging_KRISTIANSTAD/tillsyn/A 52039-2021.docx", "A 52039-2021")</f>
        <v/>
      </c>
      <c r="Y174">
        <f>HYPERLINK("https://klasma.github.io/Logging_KRISTIANSTAD/tillsynsmail/A 52039-2021.docx", "A 52039-2021")</f>
        <v/>
      </c>
    </row>
    <row r="175" ht="15" customHeight="1">
      <c r="A175" t="inlineStr">
        <is>
          <t>A 52355-2021</t>
        </is>
      </c>
      <c r="B175" s="1" t="n">
        <v>44464</v>
      </c>
      <c r="C175" s="1" t="n">
        <v>45190</v>
      </c>
      <c r="D175" t="inlineStr">
        <is>
          <t>SKÅNE LÄN</t>
        </is>
      </c>
      <c r="E175" t="inlineStr">
        <is>
          <t>LUND</t>
        </is>
      </c>
      <c r="G175" t="n">
        <v>2.5</v>
      </c>
      <c r="H175" t="n">
        <v>0</v>
      </c>
      <c r="I175" t="n">
        <v>0</v>
      </c>
      <c r="J175" t="n">
        <v>0</v>
      </c>
      <c r="K175" t="n">
        <v>0</v>
      </c>
      <c r="L175" t="n">
        <v>0</v>
      </c>
      <c r="M175" t="n">
        <v>1</v>
      </c>
      <c r="N175" t="n">
        <v>0</v>
      </c>
      <c r="O175" t="n">
        <v>1</v>
      </c>
      <c r="P175" t="n">
        <v>1</v>
      </c>
      <c r="Q175" t="n">
        <v>1</v>
      </c>
      <c r="R175" s="2" t="inlineStr">
        <is>
          <t>Skogsalm</t>
        </is>
      </c>
      <c r="S175">
        <f>HYPERLINK("https://klasma.github.io/Logging_LUND/artfynd/A 52355-2021.xlsx", "A 52355-2021")</f>
        <v/>
      </c>
      <c r="T175">
        <f>HYPERLINK("https://klasma.github.io/Logging_LUND/kartor/A 52355-2021.png", "A 52355-2021")</f>
        <v/>
      </c>
      <c r="V175">
        <f>HYPERLINK("https://klasma.github.io/Logging_LUND/klagomål/A 52355-2021.docx", "A 52355-2021")</f>
        <v/>
      </c>
      <c r="W175">
        <f>HYPERLINK("https://klasma.github.io/Logging_LUND/klagomålsmail/A 52355-2021.docx", "A 52355-2021")</f>
        <v/>
      </c>
      <c r="X175">
        <f>HYPERLINK("https://klasma.github.io/Logging_LUND/tillsyn/A 52355-2021.docx", "A 52355-2021")</f>
        <v/>
      </c>
      <c r="Y175">
        <f>HYPERLINK("https://klasma.github.io/Logging_LUND/tillsynsmail/A 52355-2021.docx", "A 52355-2021")</f>
        <v/>
      </c>
    </row>
    <row r="176" ht="15" customHeight="1">
      <c r="A176" t="inlineStr">
        <is>
          <t>A 57968-2021</t>
        </is>
      </c>
      <c r="B176" s="1" t="n">
        <v>44487</v>
      </c>
      <c r="C176" s="1" t="n">
        <v>45190</v>
      </c>
      <c r="D176" t="inlineStr">
        <is>
          <t>SKÅNE LÄN</t>
        </is>
      </c>
      <c r="E176" t="inlineStr">
        <is>
          <t>KLIPPAN</t>
        </is>
      </c>
      <c r="G176" t="n">
        <v>5.2</v>
      </c>
      <c r="H176" t="n">
        <v>0</v>
      </c>
      <c r="I176" t="n">
        <v>0</v>
      </c>
      <c r="J176" t="n">
        <v>1</v>
      </c>
      <c r="K176" t="n">
        <v>0</v>
      </c>
      <c r="L176" t="n">
        <v>0</v>
      </c>
      <c r="M176" t="n">
        <v>0</v>
      </c>
      <c r="N176" t="n">
        <v>0</v>
      </c>
      <c r="O176" t="n">
        <v>1</v>
      </c>
      <c r="P176" t="n">
        <v>0</v>
      </c>
      <c r="Q176" t="n">
        <v>1</v>
      </c>
      <c r="R176" s="2" t="inlineStr">
        <is>
          <t>Kösa</t>
        </is>
      </c>
      <c r="S176">
        <f>HYPERLINK("https://klasma.github.io/Logging_KLIPPAN/artfynd/A 57968-2021.xlsx", "A 57968-2021")</f>
        <v/>
      </c>
      <c r="T176">
        <f>HYPERLINK("https://klasma.github.io/Logging_KLIPPAN/kartor/A 57968-2021.png", "A 57968-2021")</f>
        <v/>
      </c>
      <c r="V176">
        <f>HYPERLINK("https://klasma.github.io/Logging_KLIPPAN/klagomål/A 57968-2021.docx", "A 57968-2021")</f>
        <v/>
      </c>
      <c r="W176">
        <f>HYPERLINK("https://klasma.github.io/Logging_KLIPPAN/klagomålsmail/A 57968-2021.docx", "A 57968-2021")</f>
        <v/>
      </c>
      <c r="X176">
        <f>HYPERLINK("https://klasma.github.io/Logging_KLIPPAN/tillsyn/A 57968-2021.docx", "A 57968-2021")</f>
        <v/>
      </c>
      <c r="Y176">
        <f>HYPERLINK("https://klasma.github.io/Logging_KLIPPAN/tillsynsmail/A 57968-2021.docx", "A 57968-2021")</f>
        <v/>
      </c>
    </row>
    <row r="177" ht="15" customHeight="1">
      <c r="A177" t="inlineStr">
        <is>
          <t>A 72269-2021</t>
        </is>
      </c>
      <c r="B177" s="1" t="n">
        <v>44543</v>
      </c>
      <c r="C177" s="1" t="n">
        <v>45190</v>
      </c>
      <c r="D177" t="inlineStr">
        <is>
          <t>SKÅNE LÄN</t>
        </is>
      </c>
      <c r="E177" t="inlineStr">
        <is>
          <t>LUND</t>
        </is>
      </c>
      <c r="G177" t="n">
        <v>3.2</v>
      </c>
      <c r="H177" t="n">
        <v>0</v>
      </c>
      <c r="I177" t="n">
        <v>1</v>
      </c>
      <c r="J177" t="n">
        <v>0</v>
      </c>
      <c r="K177" t="n">
        <v>0</v>
      </c>
      <c r="L177" t="n">
        <v>0</v>
      </c>
      <c r="M177" t="n">
        <v>0</v>
      </c>
      <c r="N177" t="n">
        <v>0</v>
      </c>
      <c r="O177" t="n">
        <v>0</v>
      </c>
      <c r="P177" t="n">
        <v>0</v>
      </c>
      <c r="Q177" t="n">
        <v>1</v>
      </c>
      <c r="R177" s="2" t="inlineStr">
        <is>
          <t>Stor häxört</t>
        </is>
      </c>
      <c r="S177">
        <f>HYPERLINK("https://klasma.github.io/Logging_LUND/artfynd/A 72269-2021.xlsx", "A 72269-2021")</f>
        <v/>
      </c>
      <c r="T177">
        <f>HYPERLINK("https://klasma.github.io/Logging_LUND/kartor/A 72269-2021.png", "A 72269-2021")</f>
        <v/>
      </c>
      <c r="V177">
        <f>HYPERLINK("https://klasma.github.io/Logging_LUND/klagomål/A 72269-2021.docx", "A 72269-2021")</f>
        <v/>
      </c>
      <c r="W177">
        <f>HYPERLINK("https://klasma.github.io/Logging_LUND/klagomålsmail/A 72269-2021.docx", "A 72269-2021")</f>
        <v/>
      </c>
      <c r="X177">
        <f>HYPERLINK("https://klasma.github.io/Logging_LUND/tillsyn/A 72269-2021.docx", "A 72269-2021")</f>
        <v/>
      </c>
      <c r="Y177">
        <f>HYPERLINK("https://klasma.github.io/Logging_LUND/tillsynsmail/A 72269-2021.docx", "A 72269-2021")</f>
        <v/>
      </c>
    </row>
    <row r="178" ht="15" customHeight="1">
      <c r="A178" t="inlineStr">
        <is>
          <t>A 74272-2021</t>
        </is>
      </c>
      <c r="B178" s="1" t="n">
        <v>44553</v>
      </c>
      <c r="C178" s="1" t="n">
        <v>45190</v>
      </c>
      <c r="D178" t="inlineStr">
        <is>
          <t>SKÅNE LÄN</t>
        </is>
      </c>
      <c r="E178" t="inlineStr">
        <is>
          <t>ÄNGELHOLM</t>
        </is>
      </c>
      <c r="G178" t="n">
        <v>5</v>
      </c>
      <c r="H178" t="n">
        <v>1</v>
      </c>
      <c r="I178" t="n">
        <v>0</v>
      </c>
      <c r="J178" t="n">
        <v>1</v>
      </c>
      <c r="K178" t="n">
        <v>0</v>
      </c>
      <c r="L178" t="n">
        <v>0</v>
      </c>
      <c r="M178" t="n">
        <v>0</v>
      </c>
      <c r="N178" t="n">
        <v>0</v>
      </c>
      <c r="O178" t="n">
        <v>1</v>
      </c>
      <c r="P178" t="n">
        <v>0</v>
      </c>
      <c r="Q178" t="n">
        <v>1</v>
      </c>
      <c r="R178" s="2" t="inlineStr">
        <is>
          <t>Entita</t>
        </is>
      </c>
      <c r="S178">
        <f>HYPERLINK("https://klasma.github.io/Logging_ANGELHOLM/artfynd/A 74272-2021.xlsx", "A 74272-2021")</f>
        <v/>
      </c>
      <c r="T178">
        <f>HYPERLINK("https://klasma.github.io/Logging_ANGELHOLM/kartor/A 74272-2021.png", "A 74272-2021")</f>
        <v/>
      </c>
      <c r="V178">
        <f>HYPERLINK("https://klasma.github.io/Logging_ANGELHOLM/klagomål/A 74272-2021.docx", "A 74272-2021")</f>
        <v/>
      </c>
      <c r="W178">
        <f>HYPERLINK("https://klasma.github.io/Logging_ANGELHOLM/klagomålsmail/A 74272-2021.docx", "A 74272-2021")</f>
        <v/>
      </c>
      <c r="X178">
        <f>HYPERLINK("https://klasma.github.io/Logging_ANGELHOLM/tillsyn/A 74272-2021.docx", "A 74272-2021")</f>
        <v/>
      </c>
      <c r="Y178">
        <f>HYPERLINK("https://klasma.github.io/Logging_ANGELHOLM/tillsynsmail/A 74272-2021.docx", "A 74272-2021")</f>
        <v/>
      </c>
    </row>
    <row r="179" ht="15" customHeight="1">
      <c r="A179" t="inlineStr">
        <is>
          <t>A 5732-2022</t>
        </is>
      </c>
      <c r="B179" s="1" t="n">
        <v>44596</v>
      </c>
      <c r="C179" s="1" t="n">
        <v>45190</v>
      </c>
      <c r="D179" t="inlineStr">
        <is>
          <t>SKÅNE LÄN</t>
        </is>
      </c>
      <c r="E179" t="inlineStr">
        <is>
          <t>KLIPPAN</t>
        </is>
      </c>
      <c r="G179" t="n">
        <v>6.1</v>
      </c>
      <c r="H179" t="n">
        <v>1</v>
      </c>
      <c r="I179" t="n">
        <v>0</v>
      </c>
      <c r="J179" t="n">
        <v>1</v>
      </c>
      <c r="K179" t="n">
        <v>0</v>
      </c>
      <c r="L179" t="n">
        <v>0</v>
      </c>
      <c r="M179" t="n">
        <v>0</v>
      </c>
      <c r="N179" t="n">
        <v>0</v>
      </c>
      <c r="O179" t="n">
        <v>1</v>
      </c>
      <c r="P179" t="n">
        <v>0</v>
      </c>
      <c r="Q179" t="n">
        <v>1</v>
      </c>
      <c r="R179" s="2" t="inlineStr">
        <is>
          <t>Talltita</t>
        </is>
      </c>
      <c r="S179">
        <f>HYPERLINK("https://klasma.github.io/Logging_KLIPPAN/artfynd/A 5732-2022.xlsx", "A 5732-2022")</f>
        <v/>
      </c>
      <c r="T179">
        <f>HYPERLINK("https://klasma.github.io/Logging_KLIPPAN/kartor/A 5732-2022.png", "A 5732-2022")</f>
        <v/>
      </c>
      <c r="V179">
        <f>HYPERLINK("https://klasma.github.io/Logging_KLIPPAN/klagomål/A 5732-2022.docx", "A 5732-2022")</f>
        <v/>
      </c>
      <c r="W179">
        <f>HYPERLINK("https://klasma.github.io/Logging_KLIPPAN/klagomålsmail/A 5732-2022.docx", "A 5732-2022")</f>
        <v/>
      </c>
      <c r="X179">
        <f>HYPERLINK("https://klasma.github.io/Logging_KLIPPAN/tillsyn/A 5732-2022.docx", "A 5732-2022")</f>
        <v/>
      </c>
      <c r="Y179">
        <f>HYPERLINK("https://klasma.github.io/Logging_KLIPPAN/tillsynsmail/A 5732-2022.docx", "A 5732-2022")</f>
        <v/>
      </c>
    </row>
    <row r="180" ht="15" customHeight="1">
      <c r="A180" t="inlineStr">
        <is>
          <t>A 6350-2022</t>
        </is>
      </c>
      <c r="B180" s="1" t="n">
        <v>44600</v>
      </c>
      <c r="C180" s="1" t="n">
        <v>45190</v>
      </c>
      <c r="D180" t="inlineStr">
        <is>
          <t>SKÅNE LÄN</t>
        </is>
      </c>
      <c r="E180" t="inlineStr">
        <is>
          <t>HÄSSLEHOLM</t>
        </is>
      </c>
      <c r="G180" t="n">
        <v>6.1</v>
      </c>
      <c r="H180" t="n">
        <v>1</v>
      </c>
      <c r="I180" t="n">
        <v>1</v>
      </c>
      <c r="J180" t="n">
        <v>0</v>
      </c>
      <c r="K180" t="n">
        <v>0</v>
      </c>
      <c r="L180" t="n">
        <v>0</v>
      </c>
      <c r="M180" t="n">
        <v>0</v>
      </c>
      <c r="N180" t="n">
        <v>0</v>
      </c>
      <c r="O180" t="n">
        <v>0</v>
      </c>
      <c r="P180" t="n">
        <v>0</v>
      </c>
      <c r="Q180" t="n">
        <v>1</v>
      </c>
      <c r="R180" s="2" t="inlineStr">
        <is>
          <t>Skogsknipprot</t>
        </is>
      </c>
      <c r="S180">
        <f>HYPERLINK("https://klasma.github.io/Logging_HASSLEHOLM/artfynd/A 6350-2022.xlsx", "A 6350-2022")</f>
        <v/>
      </c>
      <c r="T180">
        <f>HYPERLINK("https://klasma.github.io/Logging_HASSLEHOLM/kartor/A 6350-2022.png", "A 6350-2022")</f>
        <v/>
      </c>
      <c r="V180">
        <f>HYPERLINK("https://klasma.github.io/Logging_HASSLEHOLM/klagomål/A 6350-2022.docx", "A 6350-2022")</f>
        <v/>
      </c>
      <c r="W180">
        <f>HYPERLINK("https://klasma.github.io/Logging_HASSLEHOLM/klagomålsmail/A 6350-2022.docx", "A 6350-2022")</f>
        <v/>
      </c>
      <c r="X180">
        <f>HYPERLINK("https://klasma.github.io/Logging_HASSLEHOLM/tillsyn/A 6350-2022.docx", "A 6350-2022")</f>
        <v/>
      </c>
      <c r="Y180">
        <f>HYPERLINK("https://klasma.github.io/Logging_HASSLEHOLM/tillsynsmail/A 6350-2022.docx", "A 6350-2022")</f>
        <v/>
      </c>
    </row>
    <row r="181" ht="15" customHeight="1">
      <c r="A181" t="inlineStr">
        <is>
          <t>A 11750-2022</t>
        </is>
      </c>
      <c r="B181" s="1" t="n">
        <v>44634</v>
      </c>
      <c r="C181" s="1" t="n">
        <v>45190</v>
      </c>
      <c r="D181" t="inlineStr">
        <is>
          <t>SKÅNE LÄN</t>
        </is>
      </c>
      <c r="E181" t="inlineStr">
        <is>
          <t>KRISTIANSTAD</t>
        </is>
      </c>
      <c r="G181" t="n">
        <v>1.8</v>
      </c>
      <c r="H181" t="n">
        <v>0</v>
      </c>
      <c r="I181" t="n">
        <v>0</v>
      </c>
      <c r="J181" t="n">
        <v>0</v>
      </c>
      <c r="K181" t="n">
        <v>1</v>
      </c>
      <c r="L181" t="n">
        <v>0</v>
      </c>
      <c r="M181" t="n">
        <v>0</v>
      </c>
      <c r="N181" t="n">
        <v>0</v>
      </c>
      <c r="O181" t="n">
        <v>1</v>
      </c>
      <c r="P181" t="n">
        <v>1</v>
      </c>
      <c r="Q181" t="n">
        <v>1</v>
      </c>
      <c r="R181" s="2" t="inlineStr">
        <is>
          <t>Sanddådra</t>
        </is>
      </c>
      <c r="S181">
        <f>HYPERLINK("https://klasma.github.io/Logging_KRISTIANSTAD/artfynd/A 11750-2022.xlsx", "A 11750-2022")</f>
        <v/>
      </c>
      <c r="T181">
        <f>HYPERLINK("https://klasma.github.io/Logging_KRISTIANSTAD/kartor/A 11750-2022.png", "A 11750-2022")</f>
        <v/>
      </c>
      <c r="V181">
        <f>HYPERLINK("https://klasma.github.io/Logging_KRISTIANSTAD/klagomål/A 11750-2022.docx", "A 11750-2022")</f>
        <v/>
      </c>
      <c r="W181">
        <f>HYPERLINK("https://klasma.github.io/Logging_KRISTIANSTAD/klagomålsmail/A 11750-2022.docx", "A 11750-2022")</f>
        <v/>
      </c>
      <c r="X181">
        <f>HYPERLINK("https://klasma.github.io/Logging_KRISTIANSTAD/tillsyn/A 11750-2022.docx", "A 11750-2022")</f>
        <v/>
      </c>
      <c r="Y181">
        <f>HYPERLINK("https://klasma.github.io/Logging_KRISTIANSTAD/tillsynsmail/A 11750-2022.docx", "A 11750-2022")</f>
        <v/>
      </c>
    </row>
    <row r="182" ht="15" customHeight="1">
      <c r="A182" t="inlineStr">
        <is>
          <t>A 13705-2022</t>
        </is>
      </c>
      <c r="B182" s="1" t="n">
        <v>44648</v>
      </c>
      <c r="C182" s="1" t="n">
        <v>45190</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HYPERLINK("https://klasma.github.io/Logging_HASSLEHOLM/artfynd/A 13705-2022.xlsx", "A 13705-2022")</f>
        <v/>
      </c>
      <c r="T182">
        <f>HYPERLINK("https://klasma.github.io/Logging_HASSLEHOLM/kartor/A 13705-2022.png", "A 13705-2022")</f>
        <v/>
      </c>
      <c r="V182">
        <f>HYPERLINK("https://klasma.github.io/Logging_HASSLEHOLM/klagomål/A 13705-2022.docx", "A 13705-2022")</f>
        <v/>
      </c>
      <c r="W182">
        <f>HYPERLINK("https://klasma.github.io/Logging_HASSLEHOLM/klagomålsmail/A 13705-2022.docx", "A 13705-2022")</f>
        <v/>
      </c>
      <c r="X182">
        <f>HYPERLINK("https://klasma.github.io/Logging_HASSLEHOLM/tillsyn/A 13705-2022.docx", "A 13705-2022")</f>
        <v/>
      </c>
      <c r="Y182">
        <f>HYPERLINK("https://klasma.github.io/Logging_HASSLEHOLM/tillsynsmail/A 13705-2022.docx", "A 13705-2022")</f>
        <v/>
      </c>
    </row>
    <row r="183" ht="15" customHeight="1">
      <c r="A183" t="inlineStr">
        <is>
          <t>A 18539-2022</t>
        </is>
      </c>
      <c r="B183" s="1" t="n">
        <v>44686</v>
      </c>
      <c r="C183" s="1" t="n">
        <v>45190</v>
      </c>
      <c r="D183" t="inlineStr">
        <is>
          <t>SKÅNE LÄN</t>
        </is>
      </c>
      <c r="E183" t="inlineStr">
        <is>
          <t>KRISTIANSTAD</t>
        </is>
      </c>
      <c r="G183" t="n">
        <v>4.3</v>
      </c>
      <c r="H183" t="n">
        <v>0</v>
      </c>
      <c r="I183" t="n">
        <v>0</v>
      </c>
      <c r="J183" t="n">
        <v>1</v>
      </c>
      <c r="K183" t="n">
        <v>0</v>
      </c>
      <c r="L183" t="n">
        <v>0</v>
      </c>
      <c r="M183" t="n">
        <v>0</v>
      </c>
      <c r="N183" t="n">
        <v>0</v>
      </c>
      <c r="O183" t="n">
        <v>1</v>
      </c>
      <c r="P183" t="n">
        <v>0</v>
      </c>
      <c r="Q183" t="n">
        <v>1</v>
      </c>
      <c r="R183" s="2" t="inlineStr">
        <is>
          <t>Skogslysing</t>
        </is>
      </c>
      <c r="S183">
        <f>HYPERLINK("https://klasma.github.io/Logging_KRISTIANSTAD/artfynd/A 18539-2022.xlsx", "A 18539-2022")</f>
        <v/>
      </c>
      <c r="T183">
        <f>HYPERLINK("https://klasma.github.io/Logging_KRISTIANSTAD/kartor/A 18539-2022.png", "A 18539-2022")</f>
        <v/>
      </c>
      <c r="V183">
        <f>HYPERLINK("https://klasma.github.io/Logging_KRISTIANSTAD/klagomål/A 18539-2022.docx", "A 18539-2022")</f>
        <v/>
      </c>
      <c r="W183">
        <f>HYPERLINK("https://klasma.github.io/Logging_KRISTIANSTAD/klagomålsmail/A 18539-2022.docx", "A 18539-2022")</f>
        <v/>
      </c>
      <c r="X183">
        <f>HYPERLINK("https://klasma.github.io/Logging_KRISTIANSTAD/tillsyn/A 18539-2022.docx", "A 18539-2022")</f>
        <v/>
      </c>
      <c r="Y183">
        <f>HYPERLINK("https://klasma.github.io/Logging_KRISTIANSTAD/tillsynsmail/A 18539-2022.docx", "A 18539-2022")</f>
        <v/>
      </c>
    </row>
    <row r="184" ht="15" customHeight="1">
      <c r="A184" t="inlineStr">
        <is>
          <t>A 18464-2022</t>
        </is>
      </c>
      <c r="B184" s="1" t="n">
        <v>44686</v>
      </c>
      <c r="C184" s="1" t="n">
        <v>45190</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HYPERLINK("https://klasma.github.io/Logging_SVEDALA/artfynd/A 18464-2022.xlsx", "A 18464-2022")</f>
        <v/>
      </c>
      <c r="T184">
        <f>HYPERLINK("https://klasma.github.io/Logging_SVEDALA/kartor/A 18464-2022.png", "A 18464-2022")</f>
        <v/>
      </c>
      <c r="V184">
        <f>HYPERLINK("https://klasma.github.io/Logging_SVEDALA/klagomål/A 18464-2022.docx", "A 18464-2022")</f>
        <v/>
      </c>
      <c r="W184">
        <f>HYPERLINK("https://klasma.github.io/Logging_SVEDALA/klagomålsmail/A 18464-2022.docx", "A 18464-2022")</f>
        <v/>
      </c>
      <c r="X184">
        <f>HYPERLINK("https://klasma.github.io/Logging_SVEDALA/tillsyn/A 18464-2022.docx", "A 18464-2022")</f>
        <v/>
      </c>
      <c r="Y184">
        <f>HYPERLINK("https://klasma.github.io/Logging_SVEDALA/tillsynsmail/A 18464-2022.docx", "A 18464-2022")</f>
        <v/>
      </c>
    </row>
    <row r="185" ht="15" customHeight="1">
      <c r="A185" t="inlineStr">
        <is>
          <t>A 23466-2022</t>
        </is>
      </c>
      <c r="B185" s="1" t="n">
        <v>44721</v>
      </c>
      <c r="C185" s="1" t="n">
        <v>45190</v>
      </c>
      <c r="D185" t="inlineStr">
        <is>
          <t>SKÅNE LÄN</t>
        </is>
      </c>
      <c r="E185" t="inlineStr">
        <is>
          <t>TOMELILLA</t>
        </is>
      </c>
      <c r="F185" t="inlineStr">
        <is>
          <t>Övriga Aktiebolag</t>
        </is>
      </c>
      <c r="G185" t="n">
        <v>6.3</v>
      </c>
      <c r="H185" t="n">
        <v>0</v>
      </c>
      <c r="I185" t="n">
        <v>0</v>
      </c>
      <c r="J185" t="n">
        <v>1</v>
      </c>
      <c r="K185" t="n">
        <v>0</v>
      </c>
      <c r="L185" t="n">
        <v>0</v>
      </c>
      <c r="M185" t="n">
        <v>0</v>
      </c>
      <c r="N185" t="n">
        <v>0</v>
      </c>
      <c r="O185" t="n">
        <v>1</v>
      </c>
      <c r="P185" t="n">
        <v>0</v>
      </c>
      <c r="Q185" t="n">
        <v>1</v>
      </c>
      <c r="R185" s="2" t="inlineStr">
        <is>
          <t>Skogslysing</t>
        </is>
      </c>
      <c r="S185">
        <f>HYPERLINK("https://klasma.github.io/Logging_TOMELILLA/artfynd/A 23466-2022.xlsx", "A 23466-2022")</f>
        <v/>
      </c>
      <c r="T185">
        <f>HYPERLINK("https://klasma.github.io/Logging_TOMELILLA/kartor/A 23466-2022.png", "A 23466-2022")</f>
        <v/>
      </c>
      <c r="V185">
        <f>HYPERLINK("https://klasma.github.io/Logging_TOMELILLA/klagomål/A 23466-2022.docx", "A 23466-2022")</f>
        <v/>
      </c>
      <c r="W185">
        <f>HYPERLINK("https://klasma.github.io/Logging_TOMELILLA/klagomålsmail/A 23466-2022.docx", "A 23466-2022")</f>
        <v/>
      </c>
      <c r="X185">
        <f>HYPERLINK("https://klasma.github.io/Logging_TOMELILLA/tillsyn/A 23466-2022.docx", "A 23466-2022")</f>
        <v/>
      </c>
      <c r="Y185">
        <f>HYPERLINK("https://klasma.github.io/Logging_TOMELILLA/tillsynsmail/A 23466-2022.docx", "A 23466-2022")</f>
        <v/>
      </c>
    </row>
    <row r="186" ht="15" customHeight="1">
      <c r="A186" t="inlineStr">
        <is>
          <t>A 24158-2022</t>
        </is>
      </c>
      <c r="B186" s="1" t="n">
        <v>44725</v>
      </c>
      <c r="C186" s="1" t="n">
        <v>45190</v>
      </c>
      <c r="D186" t="inlineStr">
        <is>
          <t>SKÅNE LÄN</t>
        </is>
      </c>
      <c r="E186" t="inlineStr">
        <is>
          <t>HÖRBY</t>
        </is>
      </c>
      <c r="G186" t="n">
        <v>3.1</v>
      </c>
      <c r="H186" t="n">
        <v>0</v>
      </c>
      <c r="I186" t="n">
        <v>0</v>
      </c>
      <c r="J186" t="n">
        <v>0</v>
      </c>
      <c r="K186" t="n">
        <v>1</v>
      </c>
      <c r="L186" t="n">
        <v>0</v>
      </c>
      <c r="M186" t="n">
        <v>0</v>
      </c>
      <c r="N186" t="n">
        <v>0</v>
      </c>
      <c r="O186" t="n">
        <v>1</v>
      </c>
      <c r="P186" t="n">
        <v>1</v>
      </c>
      <c r="Q186" t="n">
        <v>1</v>
      </c>
      <c r="R186" s="2" t="inlineStr">
        <is>
          <t>Slåttergubbe</t>
        </is>
      </c>
      <c r="S186">
        <f>HYPERLINK("https://klasma.github.io/Logging_HORBY/artfynd/A 24158-2022.xlsx", "A 24158-2022")</f>
        <v/>
      </c>
      <c r="T186">
        <f>HYPERLINK("https://klasma.github.io/Logging_HORBY/kartor/A 24158-2022.png", "A 24158-2022")</f>
        <v/>
      </c>
      <c r="V186">
        <f>HYPERLINK("https://klasma.github.io/Logging_HORBY/klagomål/A 24158-2022.docx", "A 24158-2022")</f>
        <v/>
      </c>
      <c r="W186">
        <f>HYPERLINK("https://klasma.github.io/Logging_HORBY/klagomålsmail/A 24158-2022.docx", "A 24158-2022")</f>
        <v/>
      </c>
      <c r="X186">
        <f>HYPERLINK("https://klasma.github.io/Logging_HORBY/tillsyn/A 24158-2022.docx", "A 24158-2022")</f>
        <v/>
      </c>
      <c r="Y186">
        <f>HYPERLINK("https://klasma.github.io/Logging_HORBY/tillsynsmail/A 24158-2022.docx", "A 24158-2022")</f>
        <v/>
      </c>
    </row>
    <row r="187" ht="15" customHeight="1">
      <c r="A187" t="inlineStr">
        <is>
          <t>A 27958-2022</t>
        </is>
      </c>
      <c r="B187" s="1" t="n">
        <v>44744</v>
      </c>
      <c r="C187" s="1" t="n">
        <v>45190</v>
      </c>
      <c r="D187" t="inlineStr">
        <is>
          <t>SKÅNE LÄN</t>
        </is>
      </c>
      <c r="E187" t="inlineStr">
        <is>
          <t>HÄSSLEHOLM</t>
        </is>
      </c>
      <c r="G187" t="n">
        <v>3.9</v>
      </c>
      <c r="H187" t="n">
        <v>0</v>
      </c>
      <c r="I187" t="n">
        <v>1</v>
      </c>
      <c r="J187" t="n">
        <v>0</v>
      </c>
      <c r="K187" t="n">
        <v>0</v>
      </c>
      <c r="L187" t="n">
        <v>0</v>
      </c>
      <c r="M187" t="n">
        <v>0</v>
      </c>
      <c r="N187" t="n">
        <v>0</v>
      </c>
      <c r="O187" t="n">
        <v>0</v>
      </c>
      <c r="P187" t="n">
        <v>0</v>
      </c>
      <c r="Q187" t="n">
        <v>1</v>
      </c>
      <c r="R187" s="2" t="inlineStr">
        <is>
          <t>Myskmadra</t>
        </is>
      </c>
      <c r="S187">
        <f>HYPERLINK("https://klasma.github.io/Logging_HASSLEHOLM/artfynd/A 27958-2022.xlsx", "A 27958-2022")</f>
        <v/>
      </c>
      <c r="T187">
        <f>HYPERLINK("https://klasma.github.io/Logging_HASSLEHOLM/kartor/A 27958-2022.png", "A 27958-2022")</f>
        <v/>
      </c>
      <c r="V187">
        <f>HYPERLINK("https://klasma.github.io/Logging_HASSLEHOLM/klagomål/A 27958-2022.docx", "A 27958-2022")</f>
        <v/>
      </c>
      <c r="W187">
        <f>HYPERLINK("https://klasma.github.io/Logging_HASSLEHOLM/klagomålsmail/A 27958-2022.docx", "A 27958-2022")</f>
        <v/>
      </c>
      <c r="X187">
        <f>HYPERLINK("https://klasma.github.io/Logging_HASSLEHOLM/tillsyn/A 27958-2022.docx", "A 27958-2022")</f>
        <v/>
      </c>
      <c r="Y187">
        <f>HYPERLINK("https://klasma.github.io/Logging_HASSLEHOLM/tillsynsmail/A 27958-2022.docx", "A 27958-2022")</f>
        <v/>
      </c>
    </row>
    <row r="188" ht="15" customHeight="1">
      <c r="A188" t="inlineStr">
        <is>
          <t>A 28265-2022</t>
        </is>
      </c>
      <c r="B188" s="1" t="n">
        <v>44746</v>
      </c>
      <c r="C188" s="1" t="n">
        <v>45190</v>
      </c>
      <c r="D188" t="inlineStr">
        <is>
          <t>SKÅNE LÄN</t>
        </is>
      </c>
      <c r="E188" t="inlineStr">
        <is>
          <t>ÄNGELHOLM</t>
        </is>
      </c>
      <c r="G188" t="n">
        <v>3.3</v>
      </c>
      <c r="H188" t="n">
        <v>1</v>
      </c>
      <c r="I188" t="n">
        <v>0</v>
      </c>
      <c r="J188" t="n">
        <v>1</v>
      </c>
      <c r="K188" t="n">
        <v>0</v>
      </c>
      <c r="L188" t="n">
        <v>0</v>
      </c>
      <c r="M188" t="n">
        <v>0</v>
      </c>
      <c r="N188" t="n">
        <v>0</v>
      </c>
      <c r="O188" t="n">
        <v>1</v>
      </c>
      <c r="P188" t="n">
        <v>0</v>
      </c>
      <c r="Q188" t="n">
        <v>1</v>
      </c>
      <c r="R188" s="2" t="inlineStr">
        <is>
          <t>Havsörn</t>
        </is>
      </c>
      <c r="S188">
        <f>HYPERLINK("https://klasma.github.io/Logging_ANGELHOLM/artfynd/A 28265-2022.xlsx", "A 28265-2022")</f>
        <v/>
      </c>
      <c r="T188">
        <f>HYPERLINK("https://klasma.github.io/Logging_ANGELHOLM/kartor/A 28265-2022.png", "A 28265-2022")</f>
        <v/>
      </c>
      <c r="V188">
        <f>HYPERLINK("https://klasma.github.io/Logging_ANGELHOLM/klagomål/A 28265-2022.docx", "A 28265-2022")</f>
        <v/>
      </c>
      <c r="W188">
        <f>HYPERLINK("https://klasma.github.io/Logging_ANGELHOLM/klagomålsmail/A 28265-2022.docx", "A 28265-2022")</f>
        <v/>
      </c>
      <c r="X188">
        <f>HYPERLINK("https://klasma.github.io/Logging_ANGELHOLM/tillsyn/A 28265-2022.docx", "A 28265-2022")</f>
        <v/>
      </c>
      <c r="Y188">
        <f>HYPERLINK("https://klasma.github.io/Logging_ANGELHOLM/tillsynsmail/A 28265-2022.docx", "A 28265-2022")</f>
        <v/>
      </c>
    </row>
    <row r="189" ht="15" customHeight="1">
      <c r="A189" t="inlineStr">
        <is>
          <t>A 36038-2022</t>
        </is>
      </c>
      <c r="B189" s="1" t="n">
        <v>44802</v>
      </c>
      <c r="C189" s="1" t="n">
        <v>45190</v>
      </c>
      <c r="D189" t="inlineStr">
        <is>
          <t>SKÅNE LÄN</t>
        </is>
      </c>
      <c r="E189" t="inlineStr">
        <is>
          <t>ÄNGELHOLM</t>
        </is>
      </c>
      <c r="G189" t="n">
        <v>1.7</v>
      </c>
      <c r="H189" t="n">
        <v>0</v>
      </c>
      <c r="I189" t="n">
        <v>1</v>
      </c>
      <c r="J189" t="n">
        <v>0</v>
      </c>
      <c r="K189" t="n">
        <v>0</v>
      </c>
      <c r="L189" t="n">
        <v>0</v>
      </c>
      <c r="M189" t="n">
        <v>0</v>
      </c>
      <c r="N189" t="n">
        <v>0</v>
      </c>
      <c r="O189" t="n">
        <v>0</v>
      </c>
      <c r="P189" t="n">
        <v>0</v>
      </c>
      <c r="Q189" t="n">
        <v>1</v>
      </c>
      <c r="R189" s="2" t="inlineStr">
        <is>
          <t>Västlig hakmossa</t>
        </is>
      </c>
      <c r="S189">
        <f>HYPERLINK("https://klasma.github.io/Logging_ANGELHOLM/artfynd/A 36038-2022.xlsx", "A 36038-2022")</f>
        <v/>
      </c>
      <c r="T189">
        <f>HYPERLINK("https://klasma.github.io/Logging_ANGELHOLM/kartor/A 36038-2022.png", "A 36038-2022")</f>
        <v/>
      </c>
      <c r="V189">
        <f>HYPERLINK("https://klasma.github.io/Logging_ANGELHOLM/klagomål/A 36038-2022.docx", "A 36038-2022")</f>
        <v/>
      </c>
      <c r="W189">
        <f>HYPERLINK("https://klasma.github.io/Logging_ANGELHOLM/klagomålsmail/A 36038-2022.docx", "A 36038-2022")</f>
        <v/>
      </c>
      <c r="X189">
        <f>HYPERLINK("https://klasma.github.io/Logging_ANGELHOLM/tillsyn/A 36038-2022.docx", "A 36038-2022")</f>
        <v/>
      </c>
      <c r="Y189">
        <f>HYPERLINK("https://klasma.github.io/Logging_ANGELHOLM/tillsynsmail/A 36038-2022.docx", "A 36038-2022")</f>
        <v/>
      </c>
    </row>
    <row r="190" ht="15" customHeight="1">
      <c r="A190" t="inlineStr">
        <is>
          <t>A 40135-2022</t>
        </is>
      </c>
      <c r="B190" s="1" t="n">
        <v>44820</v>
      </c>
      <c r="C190" s="1" t="n">
        <v>45190</v>
      </c>
      <c r="D190" t="inlineStr">
        <is>
          <t>SKÅNE LÄN</t>
        </is>
      </c>
      <c r="E190" t="inlineStr">
        <is>
          <t>ÖSTRA GÖINGE</t>
        </is>
      </c>
      <c r="G190" t="n">
        <v>3.7</v>
      </c>
      <c r="H190" t="n">
        <v>0</v>
      </c>
      <c r="I190" t="n">
        <v>1</v>
      </c>
      <c r="J190" t="n">
        <v>0</v>
      </c>
      <c r="K190" t="n">
        <v>0</v>
      </c>
      <c r="L190" t="n">
        <v>0</v>
      </c>
      <c r="M190" t="n">
        <v>0</v>
      </c>
      <c r="N190" t="n">
        <v>0</v>
      </c>
      <c r="O190" t="n">
        <v>0</v>
      </c>
      <c r="P190" t="n">
        <v>0</v>
      </c>
      <c r="Q190" t="n">
        <v>1</v>
      </c>
      <c r="R190" s="2" t="inlineStr">
        <is>
          <t>Fällmossa</t>
        </is>
      </c>
      <c r="S190">
        <f>HYPERLINK("https://klasma.github.io/Logging_OSTRA_GOINGE/artfynd/A 40135-2022.xlsx", "A 40135-2022")</f>
        <v/>
      </c>
      <c r="T190">
        <f>HYPERLINK("https://klasma.github.io/Logging_OSTRA_GOINGE/kartor/A 40135-2022.png", "A 40135-2022")</f>
        <v/>
      </c>
      <c r="V190">
        <f>HYPERLINK("https://klasma.github.io/Logging_OSTRA_GOINGE/klagomål/A 40135-2022.docx", "A 40135-2022")</f>
        <v/>
      </c>
      <c r="W190">
        <f>HYPERLINK("https://klasma.github.io/Logging_OSTRA_GOINGE/klagomålsmail/A 40135-2022.docx", "A 40135-2022")</f>
        <v/>
      </c>
      <c r="X190">
        <f>HYPERLINK("https://klasma.github.io/Logging_OSTRA_GOINGE/tillsyn/A 40135-2022.docx", "A 40135-2022")</f>
        <v/>
      </c>
      <c r="Y190">
        <f>HYPERLINK("https://klasma.github.io/Logging_OSTRA_GOINGE/tillsynsmail/A 40135-2022.docx", "A 40135-2022")</f>
        <v/>
      </c>
    </row>
    <row r="191" ht="15" customHeight="1">
      <c r="A191" t="inlineStr">
        <is>
          <t>A 41004-2022</t>
        </is>
      </c>
      <c r="B191" s="1" t="n">
        <v>44825</v>
      </c>
      <c r="C191" s="1" t="n">
        <v>45190</v>
      </c>
      <c r="D191" t="inlineStr">
        <is>
          <t>SKÅNE LÄN</t>
        </is>
      </c>
      <c r="E191" t="inlineStr">
        <is>
          <t>KRISTIANSTAD</t>
        </is>
      </c>
      <c r="G191" t="n">
        <v>2.4</v>
      </c>
      <c r="H191" t="n">
        <v>0</v>
      </c>
      <c r="I191" t="n">
        <v>1</v>
      </c>
      <c r="J191" t="n">
        <v>0</v>
      </c>
      <c r="K191" t="n">
        <v>0</v>
      </c>
      <c r="L191" t="n">
        <v>0</v>
      </c>
      <c r="M191" t="n">
        <v>0</v>
      </c>
      <c r="N191" t="n">
        <v>0</v>
      </c>
      <c r="O191" t="n">
        <v>0</v>
      </c>
      <c r="P191" t="n">
        <v>0</v>
      </c>
      <c r="Q191" t="n">
        <v>1</v>
      </c>
      <c r="R191" s="2" t="inlineStr">
        <is>
          <t>Skogsbräsma</t>
        </is>
      </c>
      <c r="S191">
        <f>HYPERLINK("https://klasma.github.io/Logging_KRISTIANSTAD/artfynd/A 41004-2022.xlsx", "A 41004-2022")</f>
        <v/>
      </c>
      <c r="T191">
        <f>HYPERLINK("https://klasma.github.io/Logging_KRISTIANSTAD/kartor/A 41004-2022.png", "A 41004-2022")</f>
        <v/>
      </c>
      <c r="V191">
        <f>HYPERLINK("https://klasma.github.io/Logging_KRISTIANSTAD/klagomål/A 41004-2022.docx", "A 41004-2022")</f>
        <v/>
      </c>
      <c r="W191">
        <f>HYPERLINK("https://klasma.github.io/Logging_KRISTIANSTAD/klagomålsmail/A 41004-2022.docx", "A 41004-2022")</f>
        <v/>
      </c>
      <c r="X191">
        <f>HYPERLINK("https://klasma.github.io/Logging_KRISTIANSTAD/tillsyn/A 41004-2022.docx", "A 41004-2022")</f>
        <v/>
      </c>
      <c r="Y191">
        <f>HYPERLINK("https://klasma.github.io/Logging_KRISTIANSTAD/tillsynsmail/A 41004-2022.docx", "A 41004-2022")</f>
        <v/>
      </c>
    </row>
    <row r="192" ht="15" customHeight="1">
      <c r="A192" t="inlineStr">
        <is>
          <t>A 41275-2022</t>
        </is>
      </c>
      <c r="B192" s="1" t="n">
        <v>44826</v>
      </c>
      <c r="C192" s="1" t="n">
        <v>45190</v>
      </c>
      <c r="D192" t="inlineStr">
        <is>
          <t>SKÅNE LÄN</t>
        </is>
      </c>
      <c r="E192" t="inlineStr">
        <is>
          <t>KRISTIANSTAD</t>
        </is>
      </c>
      <c r="G192" t="n">
        <v>2.9</v>
      </c>
      <c r="H192" t="n">
        <v>1</v>
      </c>
      <c r="I192" t="n">
        <v>0</v>
      </c>
      <c r="J192" t="n">
        <v>0</v>
      </c>
      <c r="K192" t="n">
        <v>0</v>
      </c>
      <c r="L192" t="n">
        <v>1</v>
      </c>
      <c r="M192" t="n">
        <v>0</v>
      </c>
      <c r="N192" t="n">
        <v>0</v>
      </c>
      <c r="O192" t="n">
        <v>1</v>
      </c>
      <c r="P192" t="n">
        <v>1</v>
      </c>
      <c r="Q192" t="n">
        <v>1</v>
      </c>
      <c r="R192" s="2" t="inlineStr">
        <is>
          <t>Praktnejlika</t>
        </is>
      </c>
      <c r="S192">
        <f>HYPERLINK("https://klasma.github.io/Logging_KRISTIANSTAD/artfynd/A 41275-2022.xlsx", "A 41275-2022")</f>
        <v/>
      </c>
      <c r="T192">
        <f>HYPERLINK("https://klasma.github.io/Logging_KRISTIANSTAD/kartor/A 41275-2022.png", "A 41275-2022")</f>
        <v/>
      </c>
      <c r="V192">
        <f>HYPERLINK("https://klasma.github.io/Logging_KRISTIANSTAD/klagomål/A 41275-2022.docx", "A 41275-2022")</f>
        <v/>
      </c>
      <c r="W192">
        <f>HYPERLINK("https://klasma.github.io/Logging_KRISTIANSTAD/klagomålsmail/A 41275-2022.docx", "A 41275-2022")</f>
        <v/>
      </c>
      <c r="X192">
        <f>HYPERLINK("https://klasma.github.io/Logging_KRISTIANSTAD/tillsyn/A 41275-2022.docx", "A 41275-2022")</f>
        <v/>
      </c>
      <c r="Y192">
        <f>HYPERLINK("https://klasma.github.io/Logging_KRISTIANSTAD/tillsynsmail/A 41275-2022.docx", "A 41275-2022")</f>
        <v/>
      </c>
    </row>
    <row r="193" ht="15" customHeight="1">
      <c r="A193" t="inlineStr">
        <is>
          <t>A 45334-2022</t>
        </is>
      </c>
      <c r="B193" s="1" t="n">
        <v>44844</v>
      </c>
      <c r="C193" s="1" t="n">
        <v>45190</v>
      </c>
      <c r="D193" t="inlineStr">
        <is>
          <t>SKÅNE LÄN</t>
        </is>
      </c>
      <c r="E193" t="inlineStr">
        <is>
          <t>HÖRBY</t>
        </is>
      </c>
      <c r="F193" t="inlineStr">
        <is>
          <t>Sveaskog</t>
        </is>
      </c>
      <c r="G193" t="n">
        <v>4.7</v>
      </c>
      <c r="H193" t="n">
        <v>0</v>
      </c>
      <c r="I193" t="n">
        <v>1</v>
      </c>
      <c r="J193" t="n">
        <v>0</v>
      </c>
      <c r="K193" t="n">
        <v>0</v>
      </c>
      <c r="L193" t="n">
        <v>0</v>
      </c>
      <c r="M193" t="n">
        <v>0</v>
      </c>
      <c r="N193" t="n">
        <v>0</v>
      </c>
      <c r="O193" t="n">
        <v>0</v>
      </c>
      <c r="P193" t="n">
        <v>0</v>
      </c>
      <c r="Q193" t="n">
        <v>1</v>
      </c>
      <c r="R193" s="2" t="inlineStr">
        <is>
          <t>Strutbräken</t>
        </is>
      </c>
      <c r="S193">
        <f>HYPERLINK("https://klasma.github.io/Logging_HORBY/artfynd/A 45334-2022.xlsx", "A 45334-2022")</f>
        <v/>
      </c>
      <c r="T193">
        <f>HYPERLINK("https://klasma.github.io/Logging_HORBY/kartor/A 45334-2022.png", "A 45334-2022")</f>
        <v/>
      </c>
      <c r="V193">
        <f>HYPERLINK("https://klasma.github.io/Logging_HORBY/klagomål/A 45334-2022.docx", "A 45334-2022")</f>
        <v/>
      </c>
      <c r="W193">
        <f>HYPERLINK("https://klasma.github.io/Logging_HORBY/klagomålsmail/A 45334-2022.docx", "A 45334-2022")</f>
        <v/>
      </c>
      <c r="X193">
        <f>HYPERLINK("https://klasma.github.io/Logging_HORBY/tillsyn/A 45334-2022.docx", "A 45334-2022")</f>
        <v/>
      </c>
      <c r="Y193">
        <f>HYPERLINK("https://klasma.github.io/Logging_HORBY/tillsynsmail/A 45334-2022.docx", "A 45334-2022")</f>
        <v/>
      </c>
    </row>
    <row r="194" ht="15" customHeight="1">
      <c r="A194" t="inlineStr">
        <is>
          <t>A 45802-2022</t>
        </is>
      </c>
      <c r="B194" s="1" t="n">
        <v>44844</v>
      </c>
      <c r="C194" s="1" t="n">
        <v>45190</v>
      </c>
      <c r="D194" t="inlineStr">
        <is>
          <t>SKÅNE LÄN</t>
        </is>
      </c>
      <c r="E194" t="inlineStr">
        <is>
          <t>SIMRISHAMN</t>
        </is>
      </c>
      <c r="G194" t="n">
        <v>1.2</v>
      </c>
      <c r="H194" t="n">
        <v>0</v>
      </c>
      <c r="I194" t="n">
        <v>0</v>
      </c>
      <c r="J194" t="n">
        <v>0</v>
      </c>
      <c r="K194" t="n">
        <v>0</v>
      </c>
      <c r="L194" t="n">
        <v>1</v>
      </c>
      <c r="M194" t="n">
        <v>0</v>
      </c>
      <c r="N194" t="n">
        <v>0</v>
      </c>
      <c r="O194" t="n">
        <v>1</v>
      </c>
      <c r="P194" t="n">
        <v>1</v>
      </c>
      <c r="Q194" t="n">
        <v>1</v>
      </c>
      <c r="R194" s="2" t="inlineStr">
        <is>
          <t>Hartsticka</t>
        </is>
      </c>
      <c r="S194">
        <f>HYPERLINK("https://klasma.github.io/Logging_SIMRISHAMN/artfynd/A 45802-2022.xlsx", "A 45802-2022")</f>
        <v/>
      </c>
      <c r="T194">
        <f>HYPERLINK("https://klasma.github.io/Logging_SIMRISHAMN/kartor/A 45802-2022.png", "A 45802-2022")</f>
        <v/>
      </c>
      <c r="V194">
        <f>HYPERLINK("https://klasma.github.io/Logging_SIMRISHAMN/klagomål/A 45802-2022.docx", "A 45802-2022")</f>
        <v/>
      </c>
      <c r="W194">
        <f>HYPERLINK("https://klasma.github.io/Logging_SIMRISHAMN/klagomålsmail/A 45802-2022.docx", "A 45802-2022")</f>
        <v/>
      </c>
      <c r="X194">
        <f>HYPERLINK("https://klasma.github.io/Logging_SIMRISHAMN/tillsyn/A 45802-2022.docx", "A 45802-2022")</f>
        <v/>
      </c>
      <c r="Y194">
        <f>HYPERLINK("https://klasma.github.io/Logging_SIMRISHAMN/tillsynsmail/A 45802-2022.docx", "A 45802-2022")</f>
        <v/>
      </c>
    </row>
    <row r="195" ht="15" customHeight="1">
      <c r="A195" t="inlineStr">
        <is>
          <t>A 46195-2022</t>
        </is>
      </c>
      <c r="B195" s="1" t="n">
        <v>44845</v>
      </c>
      <c r="C195" s="1" t="n">
        <v>45190</v>
      </c>
      <c r="D195" t="inlineStr">
        <is>
          <t>SKÅNE LÄN</t>
        </is>
      </c>
      <c r="E195" t="inlineStr">
        <is>
          <t>PERSTORP</t>
        </is>
      </c>
      <c r="G195" t="n">
        <v>0.7</v>
      </c>
      <c r="H195" t="n">
        <v>0</v>
      </c>
      <c r="I195" t="n">
        <v>1</v>
      </c>
      <c r="J195" t="n">
        <v>0</v>
      </c>
      <c r="K195" t="n">
        <v>0</v>
      </c>
      <c r="L195" t="n">
        <v>0</v>
      </c>
      <c r="M195" t="n">
        <v>0</v>
      </c>
      <c r="N195" t="n">
        <v>0</v>
      </c>
      <c r="O195" t="n">
        <v>0</v>
      </c>
      <c r="P195" t="n">
        <v>0</v>
      </c>
      <c r="Q195" t="n">
        <v>1</v>
      </c>
      <c r="R195" s="2" t="inlineStr">
        <is>
          <t>Brandticka</t>
        </is>
      </c>
      <c r="S195">
        <f>HYPERLINK("https://klasma.github.io/Logging_PERSTORP/artfynd/A 46195-2022.xlsx", "A 46195-2022")</f>
        <v/>
      </c>
      <c r="T195">
        <f>HYPERLINK("https://klasma.github.io/Logging_PERSTORP/kartor/A 46195-2022.png", "A 46195-2022")</f>
        <v/>
      </c>
      <c r="V195">
        <f>HYPERLINK("https://klasma.github.io/Logging_PERSTORP/klagomål/A 46195-2022.docx", "A 46195-2022")</f>
        <v/>
      </c>
      <c r="W195">
        <f>HYPERLINK("https://klasma.github.io/Logging_PERSTORP/klagomålsmail/A 46195-2022.docx", "A 46195-2022")</f>
        <v/>
      </c>
      <c r="X195">
        <f>HYPERLINK("https://klasma.github.io/Logging_PERSTORP/tillsyn/A 46195-2022.docx", "A 46195-2022")</f>
        <v/>
      </c>
      <c r="Y195">
        <f>HYPERLINK("https://klasma.github.io/Logging_PERSTORP/tillsynsmail/A 46195-2022.docx", "A 46195-2022")</f>
        <v/>
      </c>
    </row>
    <row r="196" ht="15" customHeight="1">
      <c r="A196" t="inlineStr">
        <is>
          <t>A 47612-2022</t>
        </is>
      </c>
      <c r="B196" s="1" t="n">
        <v>44852</v>
      </c>
      <c r="C196" s="1" t="n">
        <v>45190</v>
      </c>
      <c r="D196" t="inlineStr">
        <is>
          <t>SKÅNE LÄN</t>
        </is>
      </c>
      <c r="E196" t="inlineStr">
        <is>
          <t>OSBY</t>
        </is>
      </c>
      <c r="F196" t="inlineStr">
        <is>
          <t>Kyrkan</t>
        </is>
      </c>
      <c r="G196" t="n">
        <v>16.4</v>
      </c>
      <c r="H196" t="n">
        <v>1</v>
      </c>
      <c r="I196" t="n">
        <v>0</v>
      </c>
      <c r="J196" t="n">
        <v>1</v>
      </c>
      <c r="K196" t="n">
        <v>0</v>
      </c>
      <c r="L196" t="n">
        <v>0</v>
      </c>
      <c r="M196" t="n">
        <v>0</v>
      </c>
      <c r="N196" t="n">
        <v>0</v>
      </c>
      <c r="O196" t="n">
        <v>1</v>
      </c>
      <c r="P196" t="n">
        <v>0</v>
      </c>
      <c r="Q196" t="n">
        <v>1</v>
      </c>
      <c r="R196" s="2" t="inlineStr">
        <is>
          <t>Ärtsångare</t>
        </is>
      </c>
      <c r="S196">
        <f>HYPERLINK("https://klasma.github.io/Logging_OSBY/artfynd/A 47612-2022.xlsx", "A 47612-2022")</f>
        <v/>
      </c>
      <c r="T196">
        <f>HYPERLINK("https://klasma.github.io/Logging_OSBY/kartor/A 47612-2022.png", "A 47612-2022")</f>
        <v/>
      </c>
      <c r="V196">
        <f>HYPERLINK("https://klasma.github.io/Logging_OSBY/klagomål/A 47612-2022.docx", "A 47612-2022")</f>
        <v/>
      </c>
      <c r="W196">
        <f>HYPERLINK("https://klasma.github.io/Logging_OSBY/klagomålsmail/A 47612-2022.docx", "A 47612-2022")</f>
        <v/>
      </c>
      <c r="X196">
        <f>HYPERLINK("https://klasma.github.io/Logging_OSBY/tillsyn/A 47612-2022.docx", "A 47612-2022")</f>
        <v/>
      </c>
      <c r="Y196">
        <f>HYPERLINK("https://klasma.github.io/Logging_OSBY/tillsynsmail/A 47612-2022.docx", "A 47612-2022")</f>
        <v/>
      </c>
    </row>
    <row r="197" ht="15" customHeight="1">
      <c r="A197" t="inlineStr">
        <is>
          <t>A 50118-2022</t>
        </is>
      </c>
      <c r="B197" s="1" t="n">
        <v>44860</v>
      </c>
      <c r="C197" s="1" t="n">
        <v>45190</v>
      </c>
      <c r="D197" t="inlineStr">
        <is>
          <t>SKÅNE LÄN</t>
        </is>
      </c>
      <c r="E197" t="inlineStr">
        <is>
          <t>BROMÖLLA</t>
        </is>
      </c>
      <c r="G197" t="n">
        <v>12.8</v>
      </c>
      <c r="H197" t="n">
        <v>0</v>
      </c>
      <c r="I197" t="n">
        <v>1</v>
      </c>
      <c r="J197" t="n">
        <v>0</v>
      </c>
      <c r="K197" t="n">
        <v>0</v>
      </c>
      <c r="L197" t="n">
        <v>0</v>
      </c>
      <c r="M197" t="n">
        <v>0</v>
      </c>
      <c r="N197" t="n">
        <v>0</v>
      </c>
      <c r="O197" t="n">
        <v>0</v>
      </c>
      <c r="P197" t="n">
        <v>0</v>
      </c>
      <c r="Q197" t="n">
        <v>1</v>
      </c>
      <c r="R197" s="2" t="inlineStr">
        <is>
          <t>Myskmadra</t>
        </is>
      </c>
      <c r="S197">
        <f>HYPERLINK("https://klasma.github.io/Logging_BROMOLLA/artfynd/A 50118-2022.xlsx", "A 50118-2022")</f>
        <v/>
      </c>
      <c r="T197">
        <f>HYPERLINK("https://klasma.github.io/Logging_BROMOLLA/kartor/A 50118-2022.png", "A 50118-2022")</f>
        <v/>
      </c>
      <c r="V197">
        <f>HYPERLINK("https://klasma.github.io/Logging_BROMOLLA/klagomål/A 50118-2022.docx", "A 50118-2022")</f>
        <v/>
      </c>
      <c r="W197">
        <f>HYPERLINK("https://klasma.github.io/Logging_BROMOLLA/klagomålsmail/A 50118-2022.docx", "A 50118-2022")</f>
        <v/>
      </c>
      <c r="X197">
        <f>HYPERLINK("https://klasma.github.io/Logging_BROMOLLA/tillsyn/A 50118-2022.docx", "A 50118-2022")</f>
        <v/>
      </c>
      <c r="Y197">
        <f>HYPERLINK("https://klasma.github.io/Logging_BROMOLLA/tillsynsmail/A 50118-2022.docx", "A 50118-2022")</f>
        <v/>
      </c>
    </row>
    <row r="198" ht="15" customHeight="1">
      <c r="A198" t="inlineStr">
        <is>
          <t>A 56294-2022</t>
        </is>
      </c>
      <c r="B198" s="1" t="n">
        <v>44887</v>
      </c>
      <c r="C198" s="1" t="n">
        <v>45190</v>
      </c>
      <c r="D198" t="inlineStr">
        <is>
          <t>SKÅNE LÄN</t>
        </is>
      </c>
      <c r="E198" t="inlineStr">
        <is>
          <t>SJÖBO</t>
        </is>
      </c>
      <c r="G198" t="n">
        <v>4.6</v>
      </c>
      <c r="H198" t="n">
        <v>0</v>
      </c>
      <c r="I198" t="n">
        <v>1</v>
      </c>
      <c r="J198" t="n">
        <v>0</v>
      </c>
      <c r="K198" t="n">
        <v>0</v>
      </c>
      <c r="L198" t="n">
        <v>0</v>
      </c>
      <c r="M198" t="n">
        <v>0</v>
      </c>
      <c r="N198" t="n">
        <v>0</v>
      </c>
      <c r="O198" t="n">
        <v>0</v>
      </c>
      <c r="P198" t="n">
        <v>0</v>
      </c>
      <c r="Q198" t="n">
        <v>1</v>
      </c>
      <c r="R198" s="2" t="inlineStr">
        <is>
          <t>Strävlosta</t>
        </is>
      </c>
      <c r="S198">
        <f>HYPERLINK("https://klasma.github.io/Logging_SJOBO/artfynd/A 56294-2022.xlsx", "A 56294-2022")</f>
        <v/>
      </c>
      <c r="T198">
        <f>HYPERLINK("https://klasma.github.io/Logging_SJOBO/kartor/A 56294-2022.png", "A 56294-2022")</f>
        <v/>
      </c>
      <c r="V198">
        <f>HYPERLINK("https://klasma.github.io/Logging_SJOBO/klagomål/A 56294-2022.docx", "A 56294-2022")</f>
        <v/>
      </c>
      <c r="W198">
        <f>HYPERLINK("https://klasma.github.io/Logging_SJOBO/klagomålsmail/A 56294-2022.docx", "A 56294-2022")</f>
        <v/>
      </c>
      <c r="X198">
        <f>HYPERLINK("https://klasma.github.io/Logging_SJOBO/tillsyn/A 56294-2022.docx", "A 56294-2022")</f>
        <v/>
      </c>
      <c r="Y198">
        <f>HYPERLINK("https://klasma.github.io/Logging_SJOBO/tillsynsmail/A 56294-2022.docx", "A 56294-2022")</f>
        <v/>
      </c>
    </row>
    <row r="199" ht="15" customHeight="1">
      <c r="A199" t="inlineStr">
        <is>
          <t>A 57811-2022</t>
        </is>
      </c>
      <c r="B199" s="1" t="n">
        <v>44897</v>
      </c>
      <c r="C199" s="1" t="n">
        <v>45190</v>
      </c>
      <c r="D199" t="inlineStr">
        <is>
          <t>SKÅNE LÄN</t>
        </is>
      </c>
      <c r="E199" t="inlineStr">
        <is>
          <t>TRELLEBORG</t>
        </is>
      </c>
      <c r="G199" t="n">
        <v>2.2</v>
      </c>
      <c r="H199" t="n">
        <v>0</v>
      </c>
      <c r="I199" t="n">
        <v>0</v>
      </c>
      <c r="J199" t="n">
        <v>1</v>
      </c>
      <c r="K199" t="n">
        <v>0</v>
      </c>
      <c r="L199" t="n">
        <v>0</v>
      </c>
      <c r="M199" t="n">
        <v>0</v>
      </c>
      <c r="N199" t="n">
        <v>0</v>
      </c>
      <c r="O199" t="n">
        <v>1</v>
      </c>
      <c r="P199" t="n">
        <v>0</v>
      </c>
      <c r="Q199" t="n">
        <v>1</v>
      </c>
      <c r="R199" s="2" t="inlineStr">
        <is>
          <t>Skogsveronika</t>
        </is>
      </c>
      <c r="S199">
        <f>HYPERLINK("https://klasma.github.io/Logging_TRELLEBORG/artfynd/A 57811-2022.xlsx", "A 57811-2022")</f>
        <v/>
      </c>
      <c r="T199">
        <f>HYPERLINK("https://klasma.github.io/Logging_TRELLEBORG/kartor/A 57811-2022.png", "A 57811-2022")</f>
        <v/>
      </c>
      <c r="V199">
        <f>HYPERLINK("https://klasma.github.io/Logging_TRELLEBORG/klagomål/A 57811-2022.docx", "A 57811-2022")</f>
        <v/>
      </c>
      <c r="W199">
        <f>HYPERLINK("https://klasma.github.io/Logging_TRELLEBORG/klagomålsmail/A 57811-2022.docx", "A 57811-2022")</f>
        <v/>
      </c>
      <c r="X199">
        <f>HYPERLINK("https://klasma.github.io/Logging_TRELLEBORG/tillsyn/A 57811-2022.docx", "A 57811-2022")</f>
        <v/>
      </c>
      <c r="Y199">
        <f>HYPERLINK("https://klasma.github.io/Logging_TRELLEBORG/tillsynsmail/A 57811-2022.docx", "A 57811-2022")</f>
        <v/>
      </c>
    </row>
    <row r="200" ht="15" customHeight="1">
      <c r="A200" t="inlineStr">
        <is>
          <t>A 58641-2022</t>
        </is>
      </c>
      <c r="B200" s="1" t="n">
        <v>44902</v>
      </c>
      <c r="C200" s="1" t="n">
        <v>45190</v>
      </c>
      <c r="D200" t="inlineStr">
        <is>
          <t>SKÅNE LÄN</t>
        </is>
      </c>
      <c r="E200" t="inlineStr">
        <is>
          <t>OSBY</t>
        </is>
      </c>
      <c r="G200" t="n">
        <v>1.2</v>
      </c>
      <c r="H200" t="n">
        <v>0</v>
      </c>
      <c r="I200" t="n">
        <v>0</v>
      </c>
      <c r="J200" t="n">
        <v>0</v>
      </c>
      <c r="K200" t="n">
        <v>0</v>
      </c>
      <c r="L200" t="n">
        <v>1</v>
      </c>
      <c r="M200" t="n">
        <v>0</v>
      </c>
      <c r="N200" t="n">
        <v>0</v>
      </c>
      <c r="O200" t="n">
        <v>1</v>
      </c>
      <c r="P200" t="n">
        <v>1</v>
      </c>
      <c r="Q200" t="n">
        <v>1</v>
      </c>
      <c r="R200" s="2" t="inlineStr">
        <is>
          <t>Ask</t>
        </is>
      </c>
      <c r="S200">
        <f>HYPERLINK("https://klasma.github.io/Logging_OSBY/artfynd/A 58641-2022.xlsx", "A 58641-2022")</f>
        <v/>
      </c>
      <c r="T200">
        <f>HYPERLINK("https://klasma.github.io/Logging_OSBY/kartor/A 58641-2022.png", "A 58641-2022")</f>
        <v/>
      </c>
      <c r="V200">
        <f>HYPERLINK("https://klasma.github.io/Logging_OSBY/klagomål/A 58641-2022.docx", "A 58641-2022")</f>
        <v/>
      </c>
      <c r="W200">
        <f>HYPERLINK("https://klasma.github.io/Logging_OSBY/klagomålsmail/A 58641-2022.docx", "A 58641-2022")</f>
        <v/>
      </c>
      <c r="X200">
        <f>HYPERLINK("https://klasma.github.io/Logging_OSBY/tillsyn/A 58641-2022.docx", "A 58641-2022")</f>
        <v/>
      </c>
      <c r="Y200">
        <f>HYPERLINK("https://klasma.github.io/Logging_OSBY/tillsynsmail/A 58641-2022.docx", "A 58641-2022")</f>
        <v/>
      </c>
    </row>
    <row r="201" ht="15" customHeight="1">
      <c r="A201" t="inlineStr">
        <is>
          <t>A 61517-2022</t>
        </is>
      </c>
      <c r="B201" s="1" t="n">
        <v>44910</v>
      </c>
      <c r="C201" s="1" t="n">
        <v>45190</v>
      </c>
      <c r="D201" t="inlineStr">
        <is>
          <t>SKÅNE LÄN</t>
        </is>
      </c>
      <c r="E201" t="inlineStr">
        <is>
          <t>OSBY</t>
        </is>
      </c>
      <c r="F201" t="inlineStr">
        <is>
          <t>Kyrkan</t>
        </is>
      </c>
      <c r="G201" t="n">
        <v>4.4</v>
      </c>
      <c r="H201" t="n">
        <v>0</v>
      </c>
      <c r="I201" t="n">
        <v>1</v>
      </c>
      <c r="J201" t="n">
        <v>0</v>
      </c>
      <c r="K201" t="n">
        <v>0</v>
      </c>
      <c r="L201" t="n">
        <v>0</v>
      </c>
      <c r="M201" t="n">
        <v>0</v>
      </c>
      <c r="N201" t="n">
        <v>0</v>
      </c>
      <c r="O201" t="n">
        <v>0</v>
      </c>
      <c r="P201" t="n">
        <v>0</v>
      </c>
      <c r="Q201" t="n">
        <v>1</v>
      </c>
      <c r="R201" s="2" t="inlineStr">
        <is>
          <t>Blodticka</t>
        </is>
      </c>
      <c r="S201">
        <f>HYPERLINK("https://klasma.github.io/Logging_OSBY/artfynd/A 61517-2022.xlsx", "A 61517-2022")</f>
        <v/>
      </c>
      <c r="T201">
        <f>HYPERLINK("https://klasma.github.io/Logging_OSBY/kartor/A 61517-2022.png", "A 61517-2022")</f>
        <v/>
      </c>
      <c r="V201">
        <f>HYPERLINK("https://klasma.github.io/Logging_OSBY/klagomål/A 61517-2022.docx", "A 61517-2022")</f>
        <v/>
      </c>
      <c r="W201">
        <f>HYPERLINK("https://klasma.github.io/Logging_OSBY/klagomålsmail/A 61517-2022.docx", "A 61517-2022")</f>
        <v/>
      </c>
      <c r="X201">
        <f>HYPERLINK("https://klasma.github.io/Logging_OSBY/tillsyn/A 61517-2022.docx", "A 61517-2022")</f>
        <v/>
      </c>
      <c r="Y201">
        <f>HYPERLINK("https://klasma.github.io/Logging_OSBY/tillsynsmail/A 61517-2022.docx", "A 61517-2022")</f>
        <v/>
      </c>
    </row>
    <row r="202" ht="15" customHeight="1">
      <c r="A202" t="inlineStr">
        <is>
          <t>A 61885-2022</t>
        </is>
      </c>
      <c r="B202" s="1" t="n">
        <v>44917</v>
      </c>
      <c r="C202" s="1" t="n">
        <v>45190</v>
      </c>
      <c r="D202" t="inlineStr">
        <is>
          <t>SKÅNE LÄN</t>
        </is>
      </c>
      <c r="E202" t="inlineStr">
        <is>
          <t>KRISTIANSTAD</t>
        </is>
      </c>
      <c r="G202" t="n">
        <v>1.4</v>
      </c>
      <c r="H202" t="n">
        <v>0</v>
      </c>
      <c r="I202" t="n">
        <v>0</v>
      </c>
      <c r="J202" t="n">
        <v>1</v>
      </c>
      <c r="K202" t="n">
        <v>0</v>
      </c>
      <c r="L202" t="n">
        <v>0</v>
      </c>
      <c r="M202" t="n">
        <v>0</v>
      </c>
      <c r="N202" t="n">
        <v>0</v>
      </c>
      <c r="O202" t="n">
        <v>1</v>
      </c>
      <c r="P202" t="n">
        <v>0</v>
      </c>
      <c r="Q202" t="n">
        <v>1</v>
      </c>
      <c r="R202" s="2" t="inlineStr">
        <is>
          <t>Koralltaggsvamp</t>
        </is>
      </c>
      <c r="S202">
        <f>HYPERLINK("https://klasma.github.io/Logging_KRISTIANSTAD/artfynd/A 61885-2022.xlsx", "A 61885-2022")</f>
        <v/>
      </c>
      <c r="T202">
        <f>HYPERLINK("https://klasma.github.io/Logging_KRISTIANSTAD/kartor/A 61885-2022.png", "A 61885-2022")</f>
        <v/>
      </c>
      <c r="V202">
        <f>HYPERLINK("https://klasma.github.io/Logging_KRISTIANSTAD/klagomål/A 61885-2022.docx", "A 61885-2022")</f>
        <v/>
      </c>
      <c r="W202">
        <f>HYPERLINK("https://klasma.github.io/Logging_KRISTIANSTAD/klagomålsmail/A 61885-2022.docx", "A 61885-2022")</f>
        <v/>
      </c>
      <c r="X202">
        <f>HYPERLINK("https://klasma.github.io/Logging_KRISTIANSTAD/tillsyn/A 61885-2022.docx", "A 61885-2022")</f>
        <v/>
      </c>
      <c r="Y202">
        <f>HYPERLINK("https://klasma.github.io/Logging_KRISTIANSTAD/tillsynsmail/A 61885-2022.docx", "A 61885-2022")</f>
        <v/>
      </c>
    </row>
    <row r="203" ht="15" customHeight="1">
      <c r="A203" t="inlineStr">
        <is>
          <t>A 62067-2022</t>
        </is>
      </c>
      <c r="B203" s="1" t="n">
        <v>44918</v>
      </c>
      <c r="C203" s="1" t="n">
        <v>45190</v>
      </c>
      <c r="D203" t="inlineStr">
        <is>
          <t>SKÅNE LÄN</t>
        </is>
      </c>
      <c r="E203" t="inlineStr">
        <is>
          <t>KRISTIANSTAD</t>
        </is>
      </c>
      <c r="G203" t="n">
        <v>3</v>
      </c>
      <c r="H203" t="n">
        <v>0</v>
      </c>
      <c r="I203" t="n">
        <v>1</v>
      </c>
      <c r="J203" t="n">
        <v>0</v>
      </c>
      <c r="K203" t="n">
        <v>0</v>
      </c>
      <c r="L203" t="n">
        <v>0</v>
      </c>
      <c r="M203" t="n">
        <v>0</v>
      </c>
      <c r="N203" t="n">
        <v>0</v>
      </c>
      <c r="O203" t="n">
        <v>0</v>
      </c>
      <c r="P203" t="n">
        <v>0</v>
      </c>
      <c r="Q203" t="n">
        <v>1</v>
      </c>
      <c r="R203" s="2" t="inlineStr">
        <is>
          <t>Plattad jordtunga</t>
        </is>
      </c>
      <c r="S203">
        <f>HYPERLINK("https://klasma.github.io/Logging_KRISTIANSTAD/artfynd/A 62067-2022.xlsx", "A 62067-2022")</f>
        <v/>
      </c>
      <c r="T203">
        <f>HYPERLINK("https://klasma.github.io/Logging_KRISTIANSTAD/kartor/A 62067-2022.png", "A 62067-2022")</f>
        <v/>
      </c>
      <c r="V203">
        <f>HYPERLINK("https://klasma.github.io/Logging_KRISTIANSTAD/klagomål/A 62067-2022.docx", "A 62067-2022")</f>
        <v/>
      </c>
      <c r="W203">
        <f>HYPERLINK("https://klasma.github.io/Logging_KRISTIANSTAD/klagomålsmail/A 62067-2022.docx", "A 62067-2022")</f>
        <v/>
      </c>
      <c r="X203">
        <f>HYPERLINK("https://klasma.github.io/Logging_KRISTIANSTAD/tillsyn/A 62067-2022.docx", "A 62067-2022")</f>
        <v/>
      </c>
      <c r="Y203">
        <f>HYPERLINK("https://klasma.github.io/Logging_KRISTIANSTAD/tillsynsmail/A 62067-2022.docx", "A 62067-2022")</f>
        <v/>
      </c>
    </row>
    <row r="204" ht="15" customHeight="1">
      <c r="A204" t="inlineStr">
        <is>
          <t>A 62065-2022</t>
        </is>
      </c>
      <c r="B204" s="1" t="n">
        <v>44918</v>
      </c>
      <c r="C204" s="1" t="n">
        <v>45190</v>
      </c>
      <c r="D204" t="inlineStr">
        <is>
          <t>SKÅNE LÄN</t>
        </is>
      </c>
      <c r="E204" t="inlineStr">
        <is>
          <t>KRISTIANSTAD</t>
        </is>
      </c>
      <c r="G204" t="n">
        <v>0.8</v>
      </c>
      <c r="H204" t="n">
        <v>0</v>
      </c>
      <c r="I204" t="n">
        <v>0</v>
      </c>
      <c r="J204" t="n">
        <v>0</v>
      </c>
      <c r="K204" t="n">
        <v>1</v>
      </c>
      <c r="L204" t="n">
        <v>0</v>
      </c>
      <c r="M204" t="n">
        <v>0</v>
      </c>
      <c r="N204" t="n">
        <v>0</v>
      </c>
      <c r="O204" t="n">
        <v>1</v>
      </c>
      <c r="P204" t="n">
        <v>1</v>
      </c>
      <c r="Q204" t="n">
        <v>1</v>
      </c>
      <c r="R204" s="2" t="inlineStr">
        <is>
          <t>Myrvapenfluga</t>
        </is>
      </c>
      <c r="S204">
        <f>HYPERLINK("https://klasma.github.io/Logging_KRISTIANSTAD/artfynd/A 62065-2022.xlsx", "A 62065-2022")</f>
        <v/>
      </c>
      <c r="T204">
        <f>HYPERLINK("https://klasma.github.io/Logging_KRISTIANSTAD/kartor/A 62065-2022.png", "A 62065-2022")</f>
        <v/>
      </c>
      <c r="V204">
        <f>HYPERLINK("https://klasma.github.io/Logging_KRISTIANSTAD/klagomål/A 62065-2022.docx", "A 62065-2022")</f>
        <v/>
      </c>
      <c r="W204">
        <f>HYPERLINK("https://klasma.github.io/Logging_KRISTIANSTAD/klagomålsmail/A 62065-2022.docx", "A 62065-2022")</f>
        <v/>
      </c>
      <c r="X204">
        <f>HYPERLINK("https://klasma.github.io/Logging_KRISTIANSTAD/tillsyn/A 62065-2022.docx", "A 62065-2022")</f>
        <v/>
      </c>
      <c r="Y204">
        <f>HYPERLINK("https://klasma.github.io/Logging_KRISTIANSTAD/tillsynsmail/A 62065-2022.docx", "A 62065-2022")</f>
        <v/>
      </c>
    </row>
    <row r="205" ht="15" customHeight="1">
      <c r="A205" t="inlineStr">
        <is>
          <t>A 113-2023</t>
        </is>
      </c>
      <c r="B205" s="1" t="n">
        <v>44928</v>
      </c>
      <c r="C205" s="1" t="n">
        <v>45190</v>
      </c>
      <c r="D205" t="inlineStr">
        <is>
          <t>SKÅNE LÄN</t>
        </is>
      </c>
      <c r="E205" t="inlineStr">
        <is>
          <t>HÖRBY</t>
        </is>
      </c>
      <c r="G205" t="n">
        <v>5.1</v>
      </c>
      <c r="H205" t="n">
        <v>0</v>
      </c>
      <c r="I205" t="n">
        <v>0</v>
      </c>
      <c r="J205" t="n">
        <v>0</v>
      </c>
      <c r="K205" t="n">
        <v>1</v>
      </c>
      <c r="L205" t="n">
        <v>0</v>
      </c>
      <c r="M205" t="n">
        <v>0</v>
      </c>
      <c r="N205" t="n">
        <v>0</v>
      </c>
      <c r="O205" t="n">
        <v>1</v>
      </c>
      <c r="P205" t="n">
        <v>1</v>
      </c>
      <c r="Q205" t="n">
        <v>1</v>
      </c>
      <c r="R205" s="2" t="inlineStr">
        <is>
          <t>Slåttergubbe</t>
        </is>
      </c>
      <c r="S205">
        <f>HYPERLINK("https://klasma.github.io/Logging_HORBY/artfynd/A 113-2023.xlsx", "A 113-2023")</f>
        <v/>
      </c>
      <c r="T205">
        <f>HYPERLINK("https://klasma.github.io/Logging_HORBY/kartor/A 113-2023.png", "A 113-2023")</f>
        <v/>
      </c>
      <c r="V205">
        <f>HYPERLINK("https://klasma.github.io/Logging_HORBY/klagomål/A 113-2023.docx", "A 113-2023")</f>
        <v/>
      </c>
      <c r="W205">
        <f>HYPERLINK("https://klasma.github.io/Logging_HORBY/klagomålsmail/A 113-2023.docx", "A 113-2023")</f>
        <v/>
      </c>
      <c r="X205">
        <f>HYPERLINK("https://klasma.github.io/Logging_HORBY/tillsyn/A 113-2023.docx", "A 113-2023")</f>
        <v/>
      </c>
      <c r="Y205">
        <f>HYPERLINK("https://klasma.github.io/Logging_HORBY/tillsynsmail/A 113-2023.docx", "A 113-2023")</f>
        <v/>
      </c>
    </row>
    <row r="206" ht="15" customHeight="1">
      <c r="A206" t="inlineStr">
        <is>
          <t>A 389-2023</t>
        </is>
      </c>
      <c r="B206" s="1" t="n">
        <v>44929</v>
      </c>
      <c r="C206" s="1" t="n">
        <v>45190</v>
      </c>
      <c r="D206" t="inlineStr">
        <is>
          <t>SKÅNE LÄN</t>
        </is>
      </c>
      <c r="E206" t="inlineStr">
        <is>
          <t>BÅSTAD</t>
        </is>
      </c>
      <c r="G206" t="n">
        <v>2.5</v>
      </c>
      <c r="H206" t="n">
        <v>1</v>
      </c>
      <c r="I206" t="n">
        <v>0</v>
      </c>
      <c r="J206" t="n">
        <v>0</v>
      </c>
      <c r="K206" t="n">
        <v>0</v>
      </c>
      <c r="L206" t="n">
        <v>0</v>
      </c>
      <c r="M206" t="n">
        <v>0</v>
      </c>
      <c r="N206" t="n">
        <v>0</v>
      </c>
      <c r="O206" t="n">
        <v>0</v>
      </c>
      <c r="P206" t="n">
        <v>0</v>
      </c>
      <c r="Q206" t="n">
        <v>1</v>
      </c>
      <c r="R206" s="2" t="inlineStr">
        <is>
          <t>Grönvit nattviol</t>
        </is>
      </c>
      <c r="S206">
        <f>HYPERLINK("https://klasma.github.io/Logging_BASTAD/artfynd/A 389-2023.xlsx", "A 389-2023")</f>
        <v/>
      </c>
      <c r="T206">
        <f>HYPERLINK("https://klasma.github.io/Logging_BASTAD/kartor/A 389-2023.png", "A 389-2023")</f>
        <v/>
      </c>
      <c r="V206">
        <f>HYPERLINK("https://klasma.github.io/Logging_BASTAD/klagomål/A 389-2023.docx", "A 389-2023")</f>
        <v/>
      </c>
      <c r="W206">
        <f>HYPERLINK("https://klasma.github.io/Logging_BASTAD/klagomålsmail/A 389-2023.docx", "A 389-2023")</f>
        <v/>
      </c>
      <c r="X206">
        <f>HYPERLINK("https://klasma.github.io/Logging_BASTAD/tillsyn/A 389-2023.docx", "A 389-2023")</f>
        <v/>
      </c>
      <c r="Y206">
        <f>HYPERLINK("https://klasma.github.io/Logging_BASTAD/tillsynsmail/A 389-2023.docx", "A 389-2023")</f>
        <v/>
      </c>
    </row>
    <row r="207" ht="15" customHeight="1">
      <c r="A207" t="inlineStr">
        <is>
          <t>A 3132-2023</t>
        </is>
      </c>
      <c r="B207" s="1" t="n">
        <v>44946</v>
      </c>
      <c r="C207" s="1" t="n">
        <v>45190</v>
      </c>
      <c r="D207" t="inlineStr">
        <is>
          <t>SKÅNE LÄN</t>
        </is>
      </c>
      <c r="E207" t="inlineStr">
        <is>
          <t>HÄSSLEHOLM</t>
        </is>
      </c>
      <c r="G207" t="n">
        <v>15.8</v>
      </c>
      <c r="H207" t="n">
        <v>1</v>
      </c>
      <c r="I207" t="n">
        <v>0</v>
      </c>
      <c r="J207" t="n">
        <v>1</v>
      </c>
      <c r="K207" t="n">
        <v>0</v>
      </c>
      <c r="L207" t="n">
        <v>0</v>
      </c>
      <c r="M207" t="n">
        <v>0</v>
      </c>
      <c r="N207" t="n">
        <v>0</v>
      </c>
      <c r="O207" t="n">
        <v>1</v>
      </c>
      <c r="P207" t="n">
        <v>0</v>
      </c>
      <c r="Q207" t="n">
        <v>1</v>
      </c>
      <c r="R207" s="2" t="inlineStr">
        <is>
          <t>Talltita</t>
        </is>
      </c>
      <c r="S207">
        <f>HYPERLINK("https://klasma.github.io/Logging_HASSLEHOLM/artfynd/A 3132-2023.xlsx", "A 3132-2023")</f>
        <v/>
      </c>
      <c r="T207">
        <f>HYPERLINK("https://klasma.github.io/Logging_HASSLEHOLM/kartor/A 3132-2023.png", "A 3132-2023")</f>
        <v/>
      </c>
      <c r="V207">
        <f>HYPERLINK("https://klasma.github.io/Logging_HASSLEHOLM/klagomål/A 3132-2023.docx", "A 3132-2023")</f>
        <v/>
      </c>
      <c r="W207">
        <f>HYPERLINK("https://klasma.github.io/Logging_HASSLEHOLM/klagomålsmail/A 3132-2023.docx", "A 3132-2023")</f>
        <v/>
      </c>
      <c r="X207">
        <f>HYPERLINK("https://klasma.github.io/Logging_HASSLEHOLM/tillsyn/A 3132-2023.docx", "A 3132-2023")</f>
        <v/>
      </c>
      <c r="Y207">
        <f>HYPERLINK("https://klasma.github.io/Logging_HASSLEHOLM/tillsynsmail/A 3132-2023.docx", "A 3132-2023")</f>
        <v/>
      </c>
    </row>
    <row r="208" ht="15" customHeight="1">
      <c r="A208" t="inlineStr">
        <is>
          <t>A 4251-2023</t>
        </is>
      </c>
      <c r="B208" s="1" t="n">
        <v>44953</v>
      </c>
      <c r="C208" s="1" t="n">
        <v>45190</v>
      </c>
      <c r="D208" t="inlineStr">
        <is>
          <t>SKÅNE LÄN</t>
        </is>
      </c>
      <c r="E208" t="inlineStr">
        <is>
          <t>ÖSTRA GÖINGE</t>
        </is>
      </c>
      <c r="G208" t="n">
        <v>6.4</v>
      </c>
      <c r="H208" t="n">
        <v>0</v>
      </c>
      <c r="I208" t="n">
        <v>0</v>
      </c>
      <c r="J208" t="n">
        <v>0</v>
      </c>
      <c r="K208" t="n">
        <v>0</v>
      </c>
      <c r="L208" t="n">
        <v>1</v>
      </c>
      <c r="M208" t="n">
        <v>0</v>
      </c>
      <c r="N208" t="n">
        <v>0</v>
      </c>
      <c r="O208" t="n">
        <v>1</v>
      </c>
      <c r="P208" t="n">
        <v>1</v>
      </c>
      <c r="Q208" t="n">
        <v>1</v>
      </c>
      <c r="R208" s="2" t="inlineStr">
        <is>
          <t>Ask</t>
        </is>
      </c>
      <c r="S208">
        <f>HYPERLINK("https://klasma.github.io/Logging_OSTRA_GOINGE/artfynd/A 4251-2023.xlsx", "A 4251-2023")</f>
        <v/>
      </c>
      <c r="T208">
        <f>HYPERLINK("https://klasma.github.io/Logging_OSTRA_GOINGE/kartor/A 4251-2023.png", "A 4251-2023")</f>
        <v/>
      </c>
      <c r="V208">
        <f>HYPERLINK("https://klasma.github.io/Logging_OSTRA_GOINGE/klagomål/A 4251-2023.docx", "A 4251-2023")</f>
        <v/>
      </c>
      <c r="W208">
        <f>HYPERLINK("https://klasma.github.io/Logging_OSTRA_GOINGE/klagomålsmail/A 4251-2023.docx", "A 4251-2023")</f>
        <v/>
      </c>
      <c r="X208">
        <f>HYPERLINK("https://klasma.github.io/Logging_OSTRA_GOINGE/tillsyn/A 4251-2023.docx", "A 4251-2023")</f>
        <v/>
      </c>
      <c r="Y208">
        <f>HYPERLINK("https://klasma.github.io/Logging_OSTRA_GOINGE/tillsynsmail/A 4251-2023.docx", "A 4251-2023")</f>
        <v/>
      </c>
    </row>
    <row r="209" ht="15" customHeight="1">
      <c r="A209" t="inlineStr">
        <is>
          <t>A 4892-2023</t>
        </is>
      </c>
      <c r="B209" s="1" t="n">
        <v>44958</v>
      </c>
      <c r="C209" s="1" t="n">
        <v>45190</v>
      </c>
      <c r="D209" t="inlineStr">
        <is>
          <t>SKÅNE LÄN</t>
        </is>
      </c>
      <c r="E209" t="inlineStr">
        <is>
          <t>ÖSTRA GÖINGE</t>
        </is>
      </c>
      <c r="G209" t="n">
        <v>2</v>
      </c>
      <c r="H209" t="n">
        <v>1</v>
      </c>
      <c r="I209" t="n">
        <v>0</v>
      </c>
      <c r="J209" t="n">
        <v>1</v>
      </c>
      <c r="K209" t="n">
        <v>0</v>
      </c>
      <c r="L209" t="n">
        <v>0</v>
      </c>
      <c r="M209" t="n">
        <v>0</v>
      </c>
      <c r="N209" t="n">
        <v>0</v>
      </c>
      <c r="O209" t="n">
        <v>1</v>
      </c>
      <c r="P209" t="n">
        <v>0</v>
      </c>
      <c r="Q209" t="n">
        <v>1</v>
      </c>
      <c r="R209" s="2" t="inlineStr">
        <is>
          <t>Gulsparv</t>
        </is>
      </c>
      <c r="S209">
        <f>HYPERLINK("https://klasma.github.io/Logging_OSTRA_GOINGE/artfynd/A 4892-2023.xlsx", "A 4892-2023")</f>
        <v/>
      </c>
      <c r="T209">
        <f>HYPERLINK("https://klasma.github.io/Logging_OSTRA_GOINGE/kartor/A 4892-2023.png", "A 4892-2023")</f>
        <v/>
      </c>
      <c r="V209">
        <f>HYPERLINK("https://klasma.github.io/Logging_OSTRA_GOINGE/klagomål/A 4892-2023.docx", "A 4892-2023")</f>
        <v/>
      </c>
      <c r="W209">
        <f>HYPERLINK("https://klasma.github.io/Logging_OSTRA_GOINGE/klagomålsmail/A 4892-2023.docx", "A 4892-2023")</f>
        <v/>
      </c>
      <c r="X209">
        <f>HYPERLINK("https://klasma.github.io/Logging_OSTRA_GOINGE/tillsyn/A 4892-2023.docx", "A 4892-2023")</f>
        <v/>
      </c>
      <c r="Y209">
        <f>HYPERLINK("https://klasma.github.io/Logging_OSTRA_GOINGE/tillsynsmail/A 4892-2023.docx", "A 4892-2023")</f>
        <v/>
      </c>
    </row>
    <row r="210" ht="15" customHeight="1">
      <c r="A210" t="inlineStr">
        <is>
          <t>A 12026-2023</t>
        </is>
      </c>
      <c r="B210" s="1" t="n">
        <v>44995</v>
      </c>
      <c r="C210" s="1" t="n">
        <v>45190</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HYPERLINK("https://klasma.github.io/Logging_LOMMA/artfynd/A 12026-2023.xlsx", "A 12026-2023")</f>
        <v/>
      </c>
      <c r="T210">
        <f>HYPERLINK("https://klasma.github.io/Logging_LOMMA/kartor/A 12026-2023.png", "A 12026-2023")</f>
        <v/>
      </c>
      <c r="V210">
        <f>HYPERLINK("https://klasma.github.io/Logging_LOMMA/klagomål/A 12026-2023.docx", "A 12026-2023")</f>
        <v/>
      </c>
      <c r="W210">
        <f>HYPERLINK("https://klasma.github.io/Logging_LOMMA/klagomålsmail/A 12026-2023.docx", "A 12026-2023")</f>
        <v/>
      </c>
      <c r="X210">
        <f>HYPERLINK("https://klasma.github.io/Logging_LOMMA/tillsyn/A 12026-2023.docx", "A 12026-2023")</f>
        <v/>
      </c>
      <c r="Y210">
        <f>HYPERLINK("https://klasma.github.io/Logging_LOMMA/tillsynsmail/A 12026-2023.docx", "A 12026-2023")</f>
        <v/>
      </c>
    </row>
    <row r="211" ht="15" customHeight="1">
      <c r="A211" t="inlineStr">
        <is>
          <t>A 13766-2023</t>
        </is>
      </c>
      <c r="B211" s="1" t="n">
        <v>45007</v>
      </c>
      <c r="C211" s="1" t="n">
        <v>45190</v>
      </c>
      <c r="D211" t="inlineStr">
        <is>
          <t>SKÅNE LÄN</t>
        </is>
      </c>
      <c r="E211" t="inlineStr">
        <is>
          <t>YSTAD</t>
        </is>
      </c>
      <c r="G211" t="n">
        <v>0.9</v>
      </c>
      <c r="H211" t="n">
        <v>1</v>
      </c>
      <c r="I211" t="n">
        <v>0</v>
      </c>
      <c r="J211" t="n">
        <v>0</v>
      </c>
      <c r="K211" t="n">
        <v>0</v>
      </c>
      <c r="L211" t="n">
        <v>0</v>
      </c>
      <c r="M211" t="n">
        <v>0</v>
      </c>
      <c r="N211" t="n">
        <v>0</v>
      </c>
      <c r="O211" t="n">
        <v>0</v>
      </c>
      <c r="P211" t="n">
        <v>0</v>
      </c>
      <c r="Q211" t="n">
        <v>1</v>
      </c>
      <c r="R211" s="2" t="inlineStr">
        <is>
          <t>Större vattensalamander</t>
        </is>
      </c>
      <c r="S211">
        <f>HYPERLINK("https://klasma.github.io/Logging_YSTAD/artfynd/A 13766-2023.xlsx", "A 13766-2023")</f>
        <v/>
      </c>
      <c r="T211">
        <f>HYPERLINK("https://klasma.github.io/Logging_YSTAD/kartor/A 13766-2023.png", "A 13766-2023")</f>
        <v/>
      </c>
      <c r="V211">
        <f>HYPERLINK("https://klasma.github.io/Logging_YSTAD/klagomål/A 13766-2023.docx", "A 13766-2023")</f>
        <v/>
      </c>
      <c r="W211">
        <f>HYPERLINK("https://klasma.github.io/Logging_YSTAD/klagomålsmail/A 13766-2023.docx", "A 13766-2023")</f>
        <v/>
      </c>
      <c r="X211">
        <f>HYPERLINK("https://klasma.github.io/Logging_YSTAD/tillsyn/A 13766-2023.docx", "A 13766-2023")</f>
        <v/>
      </c>
      <c r="Y211">
        <f>HYPERLINK("https://klasma.github.io/Logging_YSTAD/tillsynsmail/A 13766-2023.docx", "A 13766-2023")</f>
        <v/>
      </c>
    </row>
    <row r="212" ht="15" customHeight="1">
      <c r="A212" t="inlineStr">
        <is>
          <t>A 14933-2023</t>
        </is>
      </c>
      <c r="B212" s="1" t="n">
        <v>45014</v>
      </c>
      <c r="C212" s="1" t="n">
        <v>45190</v>
      </c>
      <c r="D212" t="inlineStr">
        <is>
          <t>SKÅNE LÄN</t>
        </is>
      </c>
      <c r="E212" t="inlineStr">
        <is>
          <t>HÄSSLEHOLM</t>
        </is>
      </c>
      <c r="G212" t="n">
        <v>1.2</v>
      </c>
      <c r="H212" t="n">
        <v>0</v>
      </c>
      <c r="I212" t="n">
        <v>0</v>
      </c>
      <c r="J212" t="n">
        <v>0</v>
      </c>
      <c r="K212" t="n">
        <v>1</v>
      </c>
      <c r="L212" t="n">
        <v>0</v>
      </c>
      <c r="M212" t="n">
        <v>0</v>
      </c>
      <c r="N212" t="n">
        <v>0</v>
      </c>
      <c r="O212" t="n">
        <v>1</v>
      </c>
      <c r="P212" t="n">
        <v>1</v>
      </c>
      <c r="Q212" t="n">
        <v>1</v>
      </c>
      <c r="R212" s="2" t="inlineStr">
        <is>
          <t>Småvänderot</t>
        </is>
      </c>
      <c r="S212">
        <f>HYPERLINK("https://klasma.github.io/Logging_HASSLEHOLM/artfynd/A 14933-2023.xlsx", "A 14933-2023")</f>
        <v/>
      </c>
      <c r="T212">
        <f>HYPERLINK("https://klasma.github.io/Logging_HASSLEHOLM/kartor/A 14933-2023.png", "A 14933-2023")</f>
        <v/>
      </c>
      <c r="V212">
        <f>HYPERLINK("https://klasma.github.io/Logging_HASSLEHOLM/klagomål/A 14933-2023.docx", "A 14933-2023")</f>
        <v/>
      </c>
      <c r="W212">
        <f>HYPERLINK("https://klasma.github.io/Logging_HASSLEHOLM/klagomålsmail/A 14933-2023.docx", "A 14933-2023")</f>
        <v/>
      </c>
      <c r="X212">
        <f>HYPERLINK("https://klasma.github.io/Logging_HASSLEHOLM/tillsyn/A 14933-2023.docx", "A 14933-2023")</f>
        <v/>
      </c>
      <c r="Y212">
        <f>HYPERLINK("https://klasma.github.io/Logging_HASSLEHOLM/tillsynsmail/A 14933-2023.docx", "A 14933-2023")</f>
        <v/>
      </c>
    </row>
    <row r="213" ht="15" customHeight="1">
      <c r="A213" t="inlineStr">
        <is>
          <t>A 15068-2023</t>
        </is>
      </c>
      <c r="B213" s="1" t="n">
        <v>45015</v>
      </c>
      <c r="C213" s="1" t="n">
        <v>45190</v>
      </c>
      <c r="D213" t="inlineStr">
        <is>
          <t>SKÅNE LÄN</t>
        </is>
      </c>
      <c r="E213" t="inlineStr">
        <is>
          <t>ÖRKELLJUNGA</t>
        </is>
      </c>
      <c r="G213" t="n">
        <v>9.9</v>
      </c>
      <c r="H213" t="n">
        <v>0</v>
      </c>
      <c r="I213" t="n">
        <v>1</v>
      </c>
      <c r="J213" t="n">
        <v>0</v>
      </c>
      <c r="K213" t="n">
        <v>0</v>
      </c>
      <c r="L213" t="n">
        <v>0</v>
      </c>
      <c r="M213" t="n">
        <v>0</v>
      </c>
      <c r="N213" t="n">
        <v>0</v>
      </c>
      <c r="O213" t="n">
        <v>0</v>
      </c>
      <c r="P213" t="n">
        <v>0</v>
      </c>
      <c r="Q213" t="n">
        <v>1</v>
      </c>
      <c r="R213" s="2" t="inlineStr">
        <is>
          <t>Kambräken</t>
        </is>
      </c>
      <c r="S213">
        <f>HYPERLINK("https://klasma.github.io/Logging_ORKELLJUNGA/artfynd/A 15068-2023.xlsx", "A 15068-2023")</f>
        <v/>
      </c>
      <c r="T213">
        <f>HYPERLINK("https://klasma.github.io/Logging_ORKELLJUNGA/kartor/A 15068-2023.png", "A 15068-2023")</f>
        <v/>
      </c>
      <c r="V213">
        <f>HYPERLINK("https://klasma.github.io/Logging_ORKELLJUNGA/klagomål/A 15068-2023.docx", "A 15068-2023")</f>
        <v/>
      </c>
      <c r="W213">
        <f>HYPERLINK("https://klasma.github.io/Logging_ORKELLJUNGA/klagomålsmail/A 15068-2023.docx", "A 15068-2023")</f>
        <v/>
      </c>
      <c r="X213">
        <f>HYPERLINK("https://klasma.github.io/Logging_ORKELLJUNGA/tillsyn/A 15068-2023.docx", "A 15068-2023")</f>
        <v/>
      </c>
      <c r="Y213">
        <f>HYPERLINK("https://klasma.github.io/Logging_ORKELLJUNGA/tillsynsmail/A 15068-2023.docx", "A 15068-2023")</f>
        <v/>
      </c>
    </row>
    <row r="214" ht="15" customHeight="1">
      <c r="A214" t="inlineStr">
        <is>
          <t>A 16684-2023</t>
        </is>
      </c>
      <c r="B214" s="1" t="n">
        <v>45030</v>
      </c>
      <c r="C214" s="1" t="n">
        <v>45190</v>
      </c>
      <c r="D214" t="inlineStr">
        <is>
          <t>SKÅNE LÄN</t>
        </is>
      </c>
      <c r="E214" t="inlineStr">
        <is>
          <t>SVEDALA</t>
        </is>
      </c>
      <c r="G214" t="n">
        <v>6.1</v>
      </c>
      <c r="H214" t="n">
        <v>0</v>
      </c>
      <c r="I214" t="n">
        <v>0</v>
      </c>
      <c r="J214" t="n">
        <v>0</v>
      </c>
      <c r="K214" t="n">
        <v>1</v>
      </c>
      <c r="L214" t="n">
        <v>0</v>
      </c>
      <c r="M214" t="n">
        <v>0</v>
      </c>
      <c r="N214" t="n">
        <v>0</v>
      </c>
      <c r="O214" t="n">
        <v>1</v>
      </c>
      <c r="P214" t="n">
        <v>1</v>
      </c>
      <c r="Q214" t="n">
        <v>1</v>
      </c>
      <c r="R214" s="2" t="inlineStr">
        <is>
          <t>Större grynsnäcka</t>
        </is>
      </c>
      <c r="S214">
        <f>HYPERLINK("https://klasma.github.io/Logging_SVEDALA/artfynd/A 16684-2023.xlsx", "A 16684-2023")</f>
        <v/>
      </c>
      <c r="T214">
        <f>HYPERLINK("https://klasma.github.io/Logging_SVEDALA/kartor/A 16684-2023.png", "A 16684-2023")</f>
        <v/>
      </c>
      <c r="V214">
        <f>HYPERLINK("https://klasma.github.io/Logging_SVEDALA/klagomål/A 16684-2023.docx", "A 16684-2023")</f>
        <v/>
      </c>
      <c r="W214">
        <f>HYPERLINK("https://klasma.github.io/Logging_SVEDALA/klagomålsmail/A 16684-2023.docx", "A 16684-2023")</f>
        <v/>
      </c>
      <c r="X214">
        <f>HYPERLINK("https://klasma.github.io/Logging_SVEDALA/tillsyn/A 16684-2023.docx", "A 16684-2023")</f>
        <v/>
      </c>
      <c r="Y214">
        <f>HYPERLINK("https://klasma.github.io/Logging_SVEDALA/tillsynsmail/A 16684-2023.docx", "A 16684-2023")</f>
        <v/>
      </c>
    </row>
    <row r="215" ht="15" customHeight="1">
      <c r="A215" t="inlineStr">
        <is>
          <t>A 18971-2023</t>
        </is>
      </c>
      <c r="B215" s="1" t="n">
        <v>45044</v>
      </c>
      <c r="C215" s="1" t="n">
        <v>45190</v>
      </c>
      <c r="D215" t="inlineStr">
        <is>
          <t>SKÅNE LÄN</t>
        </is>
      </c>
      <c r="E215" t="inlineStr">
        <is>
          <t>SJÖBO</t>
        </is>
      </c>
      <c r="G215" t="n">
        <v>19.4</v>
      </c>
      <c r="H215" t="n">
        <v>0</v>
      </c>
      <c r="I215" t="n">
        <v>1</v>
      </c>
      <c r="J215" t="n">
        <v>0</v>
      </c>
      <c r="K215" t="n">
        <v>0</v>
      </c>
      <c r="L215" t="n">
        <v>0</v>
      </c>
      <c r="M215" t="n">
        <v>0</v>
      </c>
      <c r="N215" t="n">
        <v>0</v>
      </c>
      <c r="O215" t="n">
        <v>0</v>
      </c>
      <c r="P215" t="n">
        <v>0</v>
      </c>
      <c r="Q215" t="n">
        <v>1</v>
      </c>
      <c r="R215" s="2" t="inlineStr">
        <is>
          <t>Stor häxört</t>
        </is>
      </c>
      <c r="S215">
        <f>HYPERLINK("https://klasma.github.io/Logging_SJOBO/artfynd/A 18971-2023.xlsx", "A 18971-2023")</f>
        <v/>
      </c>
      <c r="T215">
        <f>HYPERLINK("https://klasma.github.io/Logging_SJOBO/kartor/A 18971-2023.png", "A 18971-2023")</f>
        <v/>
      </c>
      <c r="V215">
        <f>HYPERLINK("https://klasma.github.io/Logging_SJOBO/klagomål/A 18971-2023.docx", "A 18971-2023")</f>
        <v/>
      </c>
      <c r="W215">
        <f>HYPERLINK("https://klasma.github.io/Logging_SJOBO/klagomålsmail/A 18971-2023.docx", "A 18971-2023")</f>
        <v/>
      </c>
      <c r="X215">
        <f>HYPERLINK("https://klasma.github.io/Logging_SJOBO/tillsyn/A 18971-2023.docx", "A 18971-2023")</f>
        <v/>
      </c>
      <c r="Y215">
        <f>HYPERLINK("https://klasma.github.io/Logging_SJOBO/tillsynsmail/A 18971-2023.docx", "A 18971-2023")</f>
        <v/>
      </c>
    </row>
    <row r="216" ht="15" customHeight="1">
      <c r="A216" t="inlineStr">
        <is>
          <t>A 19354-2023</t>
        </is>
      </c>
      <c r="B216" s="1" t="n">
        <v>45049</v>
      </c>
      <c r="C216" s="1" t="n">
        <v>45190</v>
      </c>
      <c r="D216" t="inlineStr">
        <is>
          <t>SKÅNE LÄN</t>
        </is>
      </c>
      <c r="E216" t="inlineStr">
        <is>
          <t>KRISTIANSTAD</t>
        </is>
      </c>
      <c r="G216" t="n">
        <v>7</v>
      </c>
      <c r="H216" t="n">
        <v>0</v>
      </c>
      <c r="I216" t="n">
        <v>0</v>
      </c>
      <c r="J216" t="n">
        <v>1</v>
      </c>
      <c r="K216" t="n">
        <v>0</v>
      </c>
      <c r="L216" t="n">
        <v>0</v>
      </c>
      <c r="M216" t="n">
        <v>0</v>
      </c>
      <c r="N216" t="n">
        <v>0</v>
      </c>
      <c r="O216" t="n">
        <v>1</v>
      </c>
      <c r="P216" t="n">
        <v>0</v>
      </c>
      <c r="Q216" t="n">
        <v>1</v>
      </c>
      <c r="R216" s="2" t="inlineStr">
        <is>
          <t>Ängsmetallvinge</t>
        </is>
      </c>
      <c r="S216">
        <f>HYPERLINK("https://klasma.github.io/Logging_KRISTIANSTAD/artfynd/A 19354-2023.xlsx", "A 19354-2023")</f>
        <v/>
      </c>
      <c r="T216">
        <f>HYPERLINK("https://klasma.github.io/Logging_KRISTIANSTAD/kartor/A 19354-2023.png", "A 19354-2023")</f>
        <v/>
      </c>
      <c r="V216">
        <f>HYPERLINK("https://klasma.github.io/Logging_KRISTIANSTAD/klagomål/A 19354-2023.docx", "A 19354-2023")</f>
        <v/>
      </c>
      <c r="W216">
        <f>HYPERLINK("https://klasma.github.io/Logging_KRISTIANSTAD/klagomålsmail/A 19354-2023.docx", "A 19354-2023")</f>
        <v/>
      </c>
      <c r="X216">
        <f>HYPERLINK("https://klasma.github.io/Logging_KRISTIANSTAD/tillsyn/A 19354-2023.docx", "A 19354-2023")</f>
        <v/>
      </c>
      <c r="Y216">
        <f>HYPERLINK("https://klasma.github.io/Logging_KRISTIANSTAD/tillsynsmail/A 19354-2023.docx", "A 19354-2023")</f>
        <v/>
      </c>
    </row>
    <row r="217" ht="15" customHeight="1">
      <c r="A217" t="inlineStr">
        <is>
          <t>A 19517-2023</t>
        </is>
      </c>
      <c r="B217" s="1" t="n">
        <v>45050</v>
      </c>
      <c r="C217" s="1" t="n">
        <v>45190</v>
      </c>
      <c r="D217" t="inlineStr">
        <is>
          <t>SKÅNE LÄN</t>
        </is>
      </c>
      <c r="E217" t="inlineStr">
        <is>
          <t>HÖÖR</t>
        </is>
      </c>
      <c r="G217" t="n">
        <v>6.2</v>
      </c>
      <c r="H217" t="n">
        <v>0</v>
      </c>
      <c r="I217" t="n">
        <v>1</v>
      </c>
      <c r="J217" t="n">
        <v>0</v>
      </c>
      <c r="K217" t="n">
        <v>0</v>
      </c>
      <c r="L217" t="n">
        <v>0</v>
      </c>
      <c r="M217" t="n">
        <v>0</v>
      </c>
      <c r="N217" t="n">
        <v>0</v>
      </c>
      <c r="O217" t="n">
        <v>0</v>
      </c>
      <c r="P217" t="n">
        <v>0</v>
      </c>
      <c r="Q217" t="n">
        <v>1</v>
      </c>
      <c r="R217" s="2" t="inlineStr">
        <is>
          <t>Liten stinksvamp</t>
        </is>
      </c>
      <c r="S217">
        <f>HYPERLINK("https://klasma.github.io/Logging_HOOR/artfynd/A 19517-2023.xlsx", "A 19517-2023")</f>
        <v/>
      </c>
      <c r="T217">
        <f>HYPERLINK("https://klasma.github.io/Logging_HOOR/kartor/A 19517-2023.png", "A 19517-2023")</f>
        <v/>
      </c>
      <c r="V217">
        <f>HYPERLINK("https://klasma.github.io/Logging_HOOR/klagomål/A 19517-2023.docx", "A 19517-2023")</f>
        <v/>
      </c>
      <c r="W217">
        <f>HYPERLINK("https://klasma.github.io/Logging_HOOR/klagomålsmail/A 19517-2023.docx", "A 19517-2023")</f>
        <v/>
      </c>
      <c r="X217">
        <f>HYPERLINK("https://klasma.github.io/Logging_HOOR/tillsyn/A 19517-2023.docx", "A 19517-2023")</f>
        <v/>
      </c>
      <c r="Y217">
        <f>HYPERLINK("https://klasma.github.io/Logging_HOOR/tillsynsmail/A 19517-2023.docx", "A 19517-2023")</f>
        <v/>
      </c>
    </row>
    <row r="218" ht="15" customHeight="1">
      <c r="A218" t="inlineStr">
        <is>
          <t>A 22786-2023</t>
        </is>
      </c>
      <c r="B218" s="1" t="n">
        <v>45072</v>
      </c>
      <c r="C218" s="1" t="n">
        <v>45190</v>
      </c>
      <c r="D218" t="inlineStr">
        <is>
          <t>SKÅNE LÄN</t>
        </is>
      </c>
      <c r="E218" t="inlineStr">
        <is>
          <t>ESLÖV</t>
        </is>
      </c>
      <c r="G218" t="n">
        <v>12.8</v>
      </c>
      <c r="H218" t="n">
        <v>0</v>
      </c>
      <c r="I218" t="n">
        <v>0</v>
      </c>
      <c r="J218" t="n">
        <v>0</v>
      </c>
      <c r="K218" t="n">
        <v>0</v>
      </c>
      <c r="L218" t="n">
        <v>1</v>
      </c>
      <c r="M218" t="n">
        <v>0</v>
      </c>
      <c r="N218" t="n">
        <v>0</v>
      </c>
      <c r="O218" t="n">
        <v>1</v>
      </c>
      <c r="P218" t="n">
        <v>1</v>
      </c>
      <c r="Q218" t="n">
        <v>1</v>
      </c>
      <c r="R218" s="2" t="inlineStr">
        <is>
          <t>Ask</t>
        </is>
      </c>
      <c r="S218">
        <f>HYPERLINK("https://klasma.github.io/Logging_ESLOV/artfynd/A 22786-2023.xlsx", "A 22786-2023")</f>
        <v/>
      </c>
      <c r="T218">
        <f>HYPERLINK("https://klasma.github.io/Logging_ESLOV/kartor/A 22786-2023.png", "A 22786-2023")</f>
        <v/>
      </c>
      <c r="V218">
        <f>HYPERLINK("https://klasma.github.io/Logging_ESLOV/klagomål/A 22786-2023.docx", "A 22786-2023")</f>
        <v/>
      </c>
      <c r="W218">
        <f>HYPERLINK("https://klasma.github.io/Logging_ESLOV/klagomålsmail/A 22786-2023.docx", "A 22786-2023")</f>
        <v/>
      </c>
      <c r="X218">
        <f>HYPERLINK("https://klasma.github.io/Logging_ESLOV/tillsyn/A 22786-2023.docx", "A 22786-2023")</f>
        <v/>
      </c>
      <c r="Y218">
        <f>HYPERLINK("https://klasma.github.io/Logging_ESLOV/tillsynsmail/A 22786-2023.docx", "A 22786-2023")</f>
        <v/>
      </c>
    </row>
    <row r="219" ht="15" customHeight="1">
      <c r="A219" t="inlineStr">
        <is>
          <t>A 24278-2023</t>
        </is>
      </c>
      <c r="B219" s="1" t="n">
        <v>45079</v>
      </c>
      <c r="C219" s="1" t="n">
        <v>45190</v>
      </c>
      <c r="D219" t="inlineStr">
        <is>
          <t>SKÅNE LÄN</t>
        </is>
      </c>
      <c r="E219" t="inlineStr">
        <is>
          <t>HÖÖR</t>
        </is>
      </c>
      <c r="G219" t="n">
        <v>0.8</v>
      </c>
      <c r="H219" t="n">
        <v>1</v>
      </c>
      <c r="I219" t="n">
        <v>0</v>
      </c>
      <c r="J219" t="n">
        <v>1</v>
      </c>
      <c r="K219" t="n">
        <v>0</v>
      </c>
      <c r="L219" t="n">
        <v>0</v>
      </c>
      <c r="M219" t="n">
        <v>0</v>
      </c>
      <c r="N219" t="n">
        <v>0</v>
      </c>
      <c r="O219" t="n">
        <v>1</v>
      </c>
      <c r="P219" t="n">
        <v>0</v>
      </c>
      <c r="Q219" t="n">
        <v>1</v>
      </c>
      <c r="R219" s="2" t="inlineStr">
        <is>
          <t>Spillkråka</t>
        </is>
      </c>
      <c r="S219">
        <f>HYPERLINK("https://klasma.github.io/Logging_HOOR/artfynd/A 24278-2023.xlsx", "A 24278-2023")</f>
        <v/>
      </c>
      <c r="T219">
        <f>HYPERLINK("https://klasma.github.io/Logging_HOOR/kartor/A 24278-2023.png", "A 24278-2023")</f>
        <v/>
      </c>
      <c r="V219">
        <f>HYPERLINK("https://klasma.github.io/Logging_HOOR/klagomål/A 24278-2023.docx", "A 24278-2023")</f>
        <v/>
      </c>
      <c r="W219">
        <f>HYPERLINK("https://klasma.github.io/Logging_HOOR/klagomålsmail/A 24278-2023.docx", "A 24278-2023")</f>
        <v/>
      </c>
      <c r="X219">
        <f>HYPERLINK("https://klasma.github.io/Logging_HOOR/tillsyn/A 24278-2023.docx", "A 24278-2023")</f>
        <v/>
      </c>
      <c r="Y219">
        <f>HYPERLINK("https://klasma.github.io/Logging_HOOR/tillsynsmail/A 24278-2023.docx", "A 24278-2023")</f>
        <v/>
      </c>
    </row>
    <row r="220" ht="15" customHeight="1">
      <c r="A220" t="inlineStr">
        <is>
          <t>A 24528-2023</t>
        </is>
      </c>
      <c r="B220" s="1" t="n">
        <v>45082</v>
      </c>
      <c r="C220" s="1" t="n">
        <v>45190</v>
      </c>
      <c r="D220" t="inlineStr">
        <is>
          <t>SKÅNE LÄN</t>
        </is>
      </c>
      <c r="E220" t="inlineStr">
        <is>
          <t>ÖSTRA GÖINGE</t>
        </is>
      </c>
      <c r="G220" t="n">
        <v>5.1</v>
      </c>
      <c r="H220" t="n">
        <v>0</v>
      </c>
      <c r="I220" t="n">
        <v>1</v>
      </c>
      <c r="J220" t="n">
        <v>0</v>
      </c>
      <c r="K220" t="n">
        <v>0</v>
      </c>
      <c r="L220" t="n">
        <v>0</v>
      </c>
      <c r="M220" t="n">
        <v>0</v>
      </c>
      <c r="N220" t="n">
        <v>0</v>
      </c>
      <c r="O220" t="n">
        <v>0</v>
      </c>
      <c r="P220" t="n">
        <v>0</v>
      </c>
      <c r="Q220" t="n">
        <v>1</v>
      </c>
      <c r="R220" s="2" t="inlineStr">
        <is>
          <t>Springkorn</t>
        </is>
      </c>
      <c r="S220">
        <f>HYPERLINK("https://klasma.github.io/Logging_OSTRA_GOINGE/artfynd/A 24528-2023.xlsx", "A 24528-2023")</f>
        <v/>
      </c>
      <c r="T220">
        <f>HYPERLINK("https://klasma.github.io/Logging_OSTRA_GOINGE/kartor/A 24528-2023.png", "A 24528-2023")</f>
        <v/>
      </c>
      <c r="V220">
        <f>HYPERLINK("https://klasma.github.io/Logging_OSTRA_GOINGE/klagomål/A 24528-2023.docx", "A 24528-2023")</f>
        <v/>
      </c>
      <c r="W220">
        <f>HYPERLINK("https://klasma.github.io/Logging_OSTRA_GOINGE/klagomålsmail/A 24528-2023.docx", "A 24528-2023")</f>
        <v/>
      </c>
      <c r="X220">
        <f>HYPERLINK("https://klasma.github.io/Logging_OSTRA_GOINGE/tillsyn/A 24528-2023.docx", "A 24528-2023")</f>
        <v/>
      </c>
      <c r="Y220">
        <f>HYPERLINK("https://klasma.github.io/Logging_OSTRA_GOINGE/tillsynsmail/A 24528-2023.docx", "A 24528-2023")</f>
        <v/>
      </c>
    </row>
    <row r="221" ht="15" customHeight="1">
      <c r="A221" t="inlineStr">
        <is>
          <t>A 24388-2023</t>
        </is>
      </c>
      <c r="B221" s="1" t="n">
        <v>45082</v>
      </c>
      <c r="C221" s="1" t="n">
        <v>45190</v>
      </c>
      <c r="D221" t="inlineStr">
        <is>
          <t>SKÅNE LÄN</t>
        </is>
      </c>
      <c r="E221" t="inlineStr">
        <is>
          <t>OSBY</t>
        </is>
      </c>
      <c r="G221" t="n">
        <v>4.1</v>
      </c>
      <c r="H221" t="n">
        <v>0</v>
      </c>
      <c r="I221" t="n">
        <v>1</v>
      </c>
      <c r="J221" t="n">
        <v>0</v>
      </c>
      <c r="K221" t="n">
        <v>0</v>
      </c>
      <c r="L221" t="n">
        <v>0</v>
      </c>
      <c r="M221" t="n">
        <v>0</v>
      </c>
      <c r="N221" t="n">
        <v>0</v>
      </c>
      <c r="O221" t="n">
        <v>0</v>
      </c>
      <c r="P221" t="n">
        <v>0</v>
      </c>
      <c r="Q221" t="n">
        <v>1</v>
      </c>
      <c r="R221" s="2" t="inlineStr">
        <is>
          <t>Havstulpanlav</t>
        </is>
      </c>
      <c r="S221">
        <f>HYPERLINK("https://klasma.github.io/Logging_OSBY/artfynd/A 24388-2023.xlsx", "A 24388-2023")</f>
        <v/>
      </c>
      <c r="T221">
        <f>HYPERLINK("https://klasma.github.io/Logging_OSBY/kartor/A 24388-2023.png", "A 24388-2023")</f>
        <v/>
      </c>
      <c r="V221">
        <f>HYPERLINK("https://klasma.github.io/Logging_OSBY/klagomål/A 24388-2023.docx", "A 24388-2023")</f>
        <v/>
      </c>
      <c r="W221">
        <f>HYPERLINK("https://klasma.github.io/Logging_OSBY/klagomålsmail/A 24388-2023.docx", "A 24388-2023")</f>
        <v/>
      </c>
      <c r="X221">
        <f>HYPERLINK("https://klasma.github.io/Logging_OSBY/tillsyn/A 24388-2023.docx", "A 24388-2023")</f>
        <v/>
      </c>
      <c r="Y221">
        <f>HYPERLINK("https://klasma.github.io/Logging_OSBY/tillsynsmail/A 24388-2023.docx", "A 24388-2023")</f>
        <v/>
      </c>
    </row>
    <row r="222" ht="15" customHeight="1">
      <c r="A222" t="inlineStr">
        <is>
          <t>A 24650-2023</t>
        </is>
      </c>
      <c r="B222" s="1" t="n">
        <v>45084</v>
      </c>
      <c r="C222" s="1" t="n">
        <v>45190</v>
      </c>
      <c r="D222" t="inlineStr">
        <is>
          <t>SKÅNE LÄN</t>
        </is>
      </c>
      <c r="E222" t="inlineStr">
        <is>
          <t>KLIPPAN</t>
        </is>
      </c>
      <c r="F222" t="inlineStr">
        <is>
          <t>Övriga Aktiebolag</t>
        </is>
      </c>
      <c r="G222" t="n">
        <v>10.1</v>
      </c>
      <c r="H222" t="n">
        <v>0</v>
      </c>
      <c r="I222" t="n">
        <v>1</v>
      </c>
      <c r="J222" t="n">
        <v>0</v>
      </c>
      <c r="K222" t="n">
        <v>0</v>
      </c>
      <c r="L222" t="n">
        <v>0</v>
      </c>
      <c r="M222" t="n">
        <v>0</v>
      </c>
      <c r="N222" t="n">
        <v>0</v>
      </c>
      <c r="O222" t="n">
        <v>0</v>
      </c>
      <c r="P222" t="n">
        <v>0</v>
      </c>
      <c r="Q222" t="n">
        <v>1</v>
      </c>
      <c r="R222" s="2" t="inlineStr">
        <is>
          <t>Kambräken</t>
        </is>
      </c>
      <c r="S222">
        <f>HYPERLINK("https://klasma.github.io/Logging_KLIPPAN/artfynd/A 24650-2023.xlsx", "A 24650-2023")</f>
        <v/>
      </c>
      <c r="T222">
        <f>HYPERLINK("https://klasma.github.io/Logging_KLIPPAN/kartor/A 24650-2023.png", "A 24650-2023")</f>
        <v/>
      </c>
      <c r="V222">
        <f>HYPERLINK("https://klasma.github.io/Logging_KLIPPAN/klagomål/A 24650-2023.docx", "A 24650-2023")</f>
        <v/>
      </c>
      <c r="W222">
        <f>HYPERLINK("https://klasma.github.io/Logging_KLIPPAN/klagomålsmail/A 24650-2023.docx", "A 24650-2023")</f>
        <v/>
      </c>
      <c r="X222">
        <f>HYPERLINK("https://klasma.github.io/Logging_KLIPPAN/tillsyn/A 24650-2023.docx", "A 24650-2023")</f>
        <v/>
      </c>
      <c r="Y222">
        <f>HYPERLINK("https://klasma.github.io/Logging_KLIPPAN/tillsynsmail/A 24650-2023.docx", "A 24650-2023")</f>
        <v/>
      </c>
    </row>
    <row r="223" ht="15" customHeight="1">
      <c r="A223" t="inlineStr">
        <is>
          <t>A 26965-2023</t>
        </is>
      </c>
      <c r="B223" s="1" t="n">
        <v>45093</v>
      </c>
      <c r="C223" s="1" t="n">
        <v>45190</v>
      </c>
      <c r="D223" t="inlineStr">
        <is>
          <t>SKÅNE LÄN</t>
        </is>
      </c>
      <c r="E223" t="inlineStr">
        <is>
          <t>KRISTIANSTAD</t>
        </is>
      </c>
      <c r="F223" t="inlineStr">
        <is>
          <t>Sveaskog</t>
        </is>
      </c>
      <c r="G223" t="n">
        <v>9.9</v>
      </c>
      <c r="H223" t="n">
        <v>0</v>
      </c>
      <c r="I223" t="n">
        <v>0</v>
      </c>
      <c r="J223" t="n">
        <v>0</v>
      </c>
      <c r="K223" t="n">
        <v>1</v>
      </c>
      <c r="L223" t="n">
        <v>0</v>
      </c>
      <c r="M223" t="n">
        <v>0</v>
      </c>
      <c r="N223" t="n">
        <v>0</v>
      </c>
      <c r="O223" t="n">
        <v>1</v>
      </c>
      <c r="P223" t="n">
        <v>1</v>
      </c>
      <c r="Q223" t="n">
        <v>1</v>
      </c>
      <c r="R223" s="2" t="inlineStr">
        <is>
          <t>Sjötåtel</t>
        </is>
      </c>
      <c r="S223">
        <f>HYPERLINK("https://klasma.github.io/Logging_KRISTIANSTAD/artfynd/A 26965-2023.xlsx", "A 26965-2023")</f>
        <v/>
      </c>
      <c r="T223">
        <f>HYPERLINK("https://klasma.github.io/Logging_KRISTIANSTAD/kartor/A 26965-2023.png", "A 26965-2023")</f>
        <v/>
      </c>
      <c r="V223">
        <f>HYPERLINK("https://klasma.github.io/Logging_KRISTIANSTAD/klagomål/A 26965-2023.docx", "A 26965-2023")</f>
        <v/>
      </c>
      <c r="W223">
        <f>HYPERLINK("https://klasma.github.io/Logging_KRISTIANSTAD/klagomålsmail/A 26965-2023.docx", "A 26965-2023")</f>
        <v/>
      </c>
      <c r="X223">
        <f>HYPERLINK("https://klasma.github.io/Logging_KRISTIANSTAD/tillsyn/A 26965-2023.docx", "A 26965-2023")</f>
        <v/>
      </c>
      <c r="Y223">
        <f>HYPERLINK("https://klasma.github.io/Logging_KRISTIANSTAD/tillsynsmail/A 26965-2023.docx", "A 26965-2023")</f>
        <v/>
      </c>
    </row>
    <row r="224" ht="15" customHeight="1">
      <c r="A224" t="inlineStr">
        <is>
          <t>A 27658-2023</t>
        </is>
      </c>
      <c r="B224" s="1" t="n">
        <v>45097</v>
      </c>
      <c r="C224" s="1" t="n">
        <v>45190</v>
      </c>
      <c r="D224" t="inlineStr">
        <is>
          <t>SKÅNE LÄN</t>
        </is>
      </c>
      <c r="E224" t="inlineStr">
        <is>
          <t>ESLÖV</t>
        </is>
      </c>
      <c r="G224" t="n">
        <v>10</v>
      </c>
      <c r="H224" t="n">
        <v>1</v>
      </c>
      <c r="I224" t="n">
        <v>0</v>
      </c>
      <c r="J224" t="n">
        <v>1</v>
      </c>
      <c r="K224" t="n">
        <v>0</v>
      </c>
      <c r="L224" t="n">
        <v>0</v>
      </c>
      <c r="M224" t="n">
        <v>0</v>
      </c>
      <c r="N224" t="n">
        <v>0</v>
      </c>
      <c r="O224" t="n">
        <v>1</v>
      </c>
      <c r="P224" t="n">
        <v>0</v>
      </c>
      <c r="Q224" t="n">
        <v>1</v>
      </c>
      <c r="R224" s="2" t="inlineStr">
        <is>
          <t>Spillkråka</t>
        </is>
      </c>
      <c r="S224">
        <f>HYPERLINK("https://klasma.github.io/Logging_ESLOV/artfynd/A 27658-2023.xlsx", "A 27658-2023")</f>
        <v/>
      </c>
      <c r="T224">
        <f>HYPERLINK("https://klasma.github.io/Logging_ESLOV/kartor/A 27658-2023.png", "A 27658-2023")</f>
        <v/>
      </c>
      <c r="V224">
        <f>HYPERLINK("https://klasma.github.io/Logging_ESLOV/klagomål/A 27658-2023.docx", "A 27658-2023")</f>
        <v/>
      </c>
      <c r="W224">
        <f>HYPERLINK("https://klasma.github.io/Logging_ESLOV/klagomålsmail/A 27658-2023.docx", "A 27658-2023")</f>
        <v/>
      </c>
      <c r="X224">
        <f>HYPERLINK("https://klasma.github.io/Logging_ESLOV/tillsyn/A 27658-2023.docx", "A 27658-2023")</f>
        <v/>
      </c>
      <c r="Y224">
        <f>HYPERLINK("https://klasma.github.io/Logging_ESLOV/tillsynsmail/A 27658-2023.docx", "A 27658-2023")</f>
        <v/>
      </c>
    </row>
    <row r="225" ht="15" customHeight="1">
      <c r="A225" t="inlineStr">
        <is>
          <t>A 29683-2023</t>
        </is>
      </c>
      <c r="B225" s="1" t="n">
        <v>45107</v>
      </c>
      <c r="C225" s="1" t="n">
        <v>45190</v>
      </c>
      <c r="D225" t="inlineStr">
        <is>
          <t>SKÅNE LÄN</t>
        </is>
      </c>
      <c r="E225" t="inlineStr">
        <is>
          <t>KRISTIANSTAD</t>
        </is>
      </c>
      <c r="G225" t="n">
        <v>7.4</v>
      </c>
      <c r="H225" t="n">
        <v>0</v>
      </c>
      <c r="I225" t="n">
        <v>0</v>
      </c>
      <c r="J225" t="n">
        <v>0</v>
      </c>
      <c r="K225" t="n">
        <v>1</v>
      </c>
      <c r="L225" t="n">
        <v>0</v>
      </c>
      <c r="M225" t="n">
        <v>0</v>
      </c>
      <c r="N225" t="n">
        <v>0</v>
      </c>
      <c r="O225" t="n">
        <v>1</v>
      </c>
      <c r="P225" t="n">
        <v>1</v>
      </c>
      <c r="Q225" t="n">
        <v>1</v>
      </c>
      <c r="R225" s="2" t="inlineStr">
        <is>
          <t>Småvänderot</t>
        </is>
      </c>
      <c r="S225">
        <f>HYPERLINK("https://klasma.github.io/Logging_KRISTIANSTAD/artfynd/A 29683-2023.xlsx", "A 29683-2023")</f>
        <v/>
      </c>
      <c r="T225">
        <f>HYPERLINK("https://klasma.github.io/Logging_KRISTIANSTAD/kartor/A 29683-2023.png", "A 29683-2023")</f>
        <v/>
      </c>
      <c r="V225">
        <f>HYPERLINK("https://klasma.github.io/Logging_KRISTIANSTAD/klagomål/A 29683-2023.docx", "A 29683-2023")</f>
        <v/>
      </c>
      <c r="W225">
        <f>HYPERLINK("https://klasma.github.io/Logging_KRISTIANSTAD/klagomålsmail/A 29683-2023.docx", "A 29683-2023")</f>
        <v/>
      </c>
      <c r="X225">
        <f>HYPERLINK("https://klasma.github.io/Logging_KRISTIANSTAD/tillsyn/A 29683-2023.docx", "A 29683-2023")</f>
        <v/>
      </c>
      <c r="Y225">
        <f>HYPERLINK("https://klasma.github.io/Logging_KRISTIANSTAD/tillsynsmail/A 29683-2023.docx", "A 29683-2023")</f>
        <v/>
      </c>
    </row>
    <row r="226" ht="15" customHeight="1">
      <c r="A226" t="inlineStr">
        <is>
          <t>A 31213-2023</t>
        </is>
      </c>
      <c r="B226" s="1" t="n">
        <v>45113</v>
      </c>
      <c r="C226" s="1" t="n">
        <v>45190</v>
      </c>
      <c r="D226" t="inlineStr">
        <is>
          <t>SKÅNE LÄN</t>
        </is>
      </c>
      <c r="E226" t="inlineStr">
        <is>
          <t>YSTAD</t>
        </is>
      </c>
      <c r="G226" t="n">
        <v>6.5</v>
      </c>
      <c r="H226" t="n">
        <v>0</v>
      </c>
      <c r="I226" t="n">
        <v>0</v>
      </c>
      <c r="J226" t="n">
        <v>1</v>
      </c>
      <c r="K226" t="n">
        <v>0</v>
      </c>
      <c r="L226" t="n">
        <v>0</v>
      </c>
      <c r="M226" t="n">
        <v>0</v>
      </c>
      <c r="N226" t="n">
        <v>0</v>
      </c>
      <c r="O226" t="n">
        <v>1</v>
      </c>
      <c r="P226" t="n">
        <v>0</v>
      </c>
      <c r="Q226" t="n">
        <v>1</v>
      </c>
      <c r="R226" s="2" t="inlineStr">
        <is>
          <t>Skogsveronika</t>
        </is>
      </c>
      <c r="S226">
        <f>HYPERLINK("https://klasma.github.io/Logging_YSTAD/artfynd/A 31213-2023.xlsx", "A 31213-2023")</f>
        <v/>
      </c>
      <c r="T226">
        <f>HYPERLINK("https://klasma.github.io/Logging_YSTAD/kartor/A 31213-2023.png", "A 31213-2023")</f>
        <v/>
      </c>
      <c r="V226">
        <f>HYPERLINK("https://klasma.github.io/Logging_YSTAD/klagomål/A 31213-2023.docx", "A 31213-2023")</f>
        <v/>
      </c>
      <c r="W226">
        <f>HYPERLINK("https://klasma.github.io/Logging_YSTAD/klagomålsmail/A 31213-2023.docx", "A 31213-2023")</f>
        <v/>
      </c>
      <c r="X226">
        <f>HYPERLINK("https://klasma.github.io/Logging_YSTAD/tillsyn/A 31213-2023.docx", "A 31213-2023")</f>
        <v/>
      </c>
      <c r="Y226">
        <f>HYPERLINK("https://klasma.github.io/Logging_YSTAD/tillsynsmail/A 31213-2023.docx", "A 31213-2023")</f>
        <v/>
      </c>
    </row>
    <row r="227" ht="15" customHeight="1">
      <c r="A227" t="inlineStr">
        <is>
          <t>A 31700-2023</t>
        </is>
      </c>
      <c r="B227" s="1" t="n">
        <v>45117</v>
      </c>
      <c r="C227" s="1" t="n">
        <v>45190</v>
      </c>
      <c r="D227" t="inlineStr">
        <is>
          <t>SKÅNE LÄN</t>
        </is>
      </c>
      <c r="E227" t="inlineStr">
        <is>
          <t>SVEDALA</t>
        </is>
      </c>
      <c r="G227" t="n">
        <v>1.1</v>
      </c>
      <c r="H227" t="n">
        <v>0</v>
      </c>
      <c r="I227" t="n">
        <v>0</v>
      </c>
      <c r="J227" t="n">
        <v>0</v>
      </c>
      <c r="K227" t="n">
        <v>1</v>
      </c>
      <c r="L227" t="n">
        <v>0</v>
      </c>
      <c r="M227" t="n">
        <v>0</v>
      </c>
      <c r="N227" t="n">
        <v>0</v>
      </c>
      <c r="O227" t="n">
        <v>1</v>
      </c>
      <c r="P227" t="n">
        <v>1</v>
      </c>
      <c r="Q227" t="n">
        <v>1</v>
      </c>
      <c r="R227" s="2" t="inlineStr">
        <is>
          <t>Revig blodrot</t>
        </is>
      </c>
      <c r="S227">
        <f>HYPERLINK("https://klasma.github.io/Logging_SVEDALA/artfynd/A 31700-2023.xlsx", "A 31700-2023")</f>
        <v/>
      </c>
      <c r="T227">
        <f>HYPERLINK("https://klasma.github.io/Logging_SVEDALA/kartor/A 31700-2023.png", "A 31700-2023")</f>
        <v/>
      </c>
      <c r="V227">
        <f>HYPERLINK("https://klasma.github.io/Logging_SVEDALA/klagomål/A 31700-2023.docx", "A 31700-2023")</f>
        <v/>
      </c>
      <c r="W227">
        <f>HYPERLINK("https://klasma.github.io/Logging_SVEDALA/klagomålsmail/A 31700-2023.docx", "A 31700-2023")</f>
        <v/>
      </c>
      <c r="X227">
        <f>HYPERLINK("https://klasma.github.io/Logging_SVEDALA/tillsyn/A 31700-2023.docx", "A 31700-2023")</f>
        <v/>
      </c>
      <c r="Y227">
        <f>HYPERLINK("https://klasma.github.io/Logging_SVEDALA/tillsynsmail/A 31700-2023.docx", "A 31700-2023")</f>
        <v/>
      </c>
    </row>
    <row r="228" ht="15" customHeight="1">
      <c r="A228" t="inlineStr">
        <is>
          <t>A 34729-2023</t>
        </is>
      </c>
      <c r="B228" s="1" t="n">
        <v>45139</v>
      </c>
      <c r="C228" s="1" t="n">
        <v>45190</v>
      </c>
      <c r="D228" t="inlineStr">
        <is>
          <t>SKÅNE LÄN</t>
        </is>
      </c>
      <c r="E228" t="inlineStr">
        <is>
          <t>ÖSTRA GÖINGE</t>
        </is>
      </c>
      <c r="G228" t="n">
        <v>7.3</v>
      </c>
      <c r="H228" t="n">
        <v>0</v>
      </c>
      <c r="I228" t="n">
        <v>0</v>
      </c>
      <c r="J228" t="n">
        <v>1</v>
      </c>
      <c r="K228" t="n">
        <v>0</v>
      </c>
      <c r="L228" t="n">
        <v>0</v>
      </c>
      <c r="M228" t="n">
        <v>0</v>
      </c>
      <c r="N228" t="n">
        <v>0</v>
      </c>
      <c r="O228" t="n">
        <v>1</v>
      </c>
      <c r="P228" t="n">
        <v>0</v>
      </c>
      <c r="Q228" t="n">
        <v>1</v>
      </c>
      <c r="R228" s="2" t="inlineStr">
        <is>
          <t>Grynig filtlav</t>
        </is>
      </c>
      <c r="S228">
        <f>HYPERLINK("https://klasma.github.io/Logging_OSTRA_GOINGE/artfynd/A 34729-2023.xlsx", "A 34729-2023")</f>
        <v/>
      </c>
      <c r="T228">
        <f>HYPERLINK("https://klasma.github.io/Logging_OSTRA_GOINGE/kartor/A 34729-2023.png", "A 34729-2023")</f>
        <v/>
      </c>
      <c r="V228">
        <f>HYPERLINK("https://klasma.github.io/Logging_OSTRA_GOINGE/klagomål/A 34729-2023.docx", "A 34729-2023")</f>
        <v/>
      </c>
      <c r="W228">
        <f>HYPERLINK("https://klasma.github.io/Logging_OSTRA_GOINGE/klagomålsmail/A 34729-2023.docx", "A 34729-2023")</f>
        <v/>
      </c>
      <c r="X228">
        <f>HYPERLINK("https://klasma.github.io/Logging_OSTRA_GOINGE/tillsyn/A 34729-2023.docx", "A 34729-2023")</f>
        <v/>
      </c>
      <c r="Y228">
        <f>HYPERLINK("https://klasma.github.io/Logging_OSTRA_GOINGE/tillsynsmail/A 34729-2023.docx", "A 34729-2023")</f>
        <v/>
      </c>
    </row>
    <row r="229" ht="15" customHeight="1">
      <c r="A229" t="inlineStr">
        <is>
          <t>A 42027-2023</t>
        </is>
      </c>
      <c r="B229" s="1" t="n">
        <v>45177</v>
      </c>
      <c r="C229" s="1" t="n">
        <v>45190</v>
      </c>
      <c r="D229" t="inlineStr">
        <is>
          <t>SKÅNE LÄN</t>
        </is>
      </c>
      <c r="E229" t="inlineStr">
        <is>
          <t>OSBY</t>
        </is>
      </c>
      <c r="F229" t="inlineStr">
        <is>
          <t>Kommuner</t>
        </is>
      </c>
      <c r="G229" t="n">
        <v>2.2</v>
      </c>
      <c r="H229" t="n">
        <v>0</v>
      </c>
      <c r="I229" t="n">
        <v>1</v>
      </c>
      <c r="J229" t="n">
        <v>0</v>
      </c>
      <c r="K229" t="n">
        <v>0</v>
      </c>
      <c r="L229" t="n">
        <v>0</v>
      </c>
      <c r="M229" t="n">
        <v>0</v>
      </c>
      <c r="N229" t="n">
        <v>0</v>
      </c>
      <c r="O229" t="n">
        <v>0</v>
      </c>
      <c r="P229" t="n">
        <v>0</v>
      </c>
      <c r="Q229" t="n">
        <v>1</v>
      </c>
      <c r="R229" s="2" t="inlineStr">
        <is>
          <t>Grovticka</t>
        </is>
      </c>
      <c r="S229">
        <f>HYPERLINK("https://klasma.github.io/Logging_OSBY/artfynd/A 42027-2023.xlsx", "A 42027-2023")</f>
        <v/>
      </c>
      <c r="T229">
        <f>HYPERLINK("https://klasma.github.io/Logging_OSBY/kartor/A 42027-2023.png", "A 42027-2023")</f>
        <v/>
      </c>
      <c r="V229">
        <f>HYPERLINK("https://klasma.github.io/Logging_OSBY/klagomål/A 42027-2023.docx", "A 42027-2023")</f>
        <v/>
      </c>
      <c r="W229">
        <f>HYPERLINK("https://klasma.github.io/Logging_OSBY/klagomålsmail/A 42027-2023.docx", "A 42027-2023")</f>
        <v/>
      </c>
      <c r="X229">
        <f>HYPERLINK("https://klasma.github.io/Logging_OSBY/tillsyn/A 42027-2023.docx", "A 42027-2023")</f>
        <v/>
      </c>
      <c r="Y229">
        <f>HYPERLINK("https://klasma.github.io/Logging_OSBY/tillsynsmail/A 42027-2023.docx", "A 42027-2023")</f>
        <v/>
      </c>
    </row>
    <row r="230" ht="15" customHeight="1">
      <c r="A230" t="inlineStr">
        <is>
          <t>A 34292-2018</t>
        </is>
      </c>
      <c r="B230" s="1" t="n">
        <v>43318</v>
      </c>
      <c r="C230" s="1" t="n">
        <v>45190</v>
      </c>
      <c r="D230" t="inlineStr">
        <is>
          <t>SKÅNE LÄN</t>
        </is>
      </c>
      <c r="E230" t="inlineStr">
        <is>
          <t>HÄSSLEHOLM</t>
        </is>
      </c>
      <c r="G230" t="n">
        <v>2.5</v>
      </c>
      <c r="H230" t="n">
        <v>0</v>
      </c>
      <c r="I230" t="n">
        <v>0</v>
      </c>
      <c r="J230" t="n">
        <v>0</v>
      </c>
      <c r="K230" t="n">
        <v>0</v>
      </c>
      <c r="L230" t="n">
        <v>0</v>
      </c>
      <c r="M230" t="n">
        <v>0</v>
      </c>
      <c r="N230" t="n">
        <v>0</v>
      </c>
      <c r="O230" t="n">
        <v>0</v>
      </c>
      <c r="P230" t="n">
        <v>0</v>
      </c>
      <c r="Q230" t="n">
        <v>0</v>
      </c>
      <c r="R230" s="2" t="inlineStr"/>
    </row>
    <row r="231" ht="15" customHeight="1">
      <c r="A231" t="inlineStr">
        <is>
          <t>A 34294-2018</t>
        </is>
      </c>
      <c r="B231" s="1" t="n">
        <v>43318</v>
      </c>
      <c r="C231" s="1" t="n">
        <v>45190</v>
      </c>
      <c r="D231" t="inlineStr">
        <is>
          <t>SKÅNE LÄN</t>
        </is>
      </c>
      <c r="E231" t="inlineStr">
        <is>
          <t>HÄSSLEHOLM</t>
        </is>
      </c>
      <c r="G231" t="n">
        <v>4</v>
      </c>
      <c r="H231" t="n">
        <v>0</v>
      </c>
      <c r="I231" t="n">
        <v>0</v>
      </c>
      <c r="J231" t="n">
        <v>0</v>
      </c>
      <c r="K231" t="n">
        <v>0</v>
      </c>
      <c r="L231" t="n">
        <v>0</v>
      </c>
      <c r="M231" t="n">
        <v>0</v>
      </c>
      <c r="N231" t="n">
        <v>0</v>
      </c>
      <c r="O231" t="n">
        <v>0</v>
      </c>
      <c r="P231" t="n">
        <v>0</v>
      </c>
      <c r="Q231" t="n">
        <v>0</v>
      </c>
      <c r="R231" s="2" t="inlineStr"/>
    </row>
    <row r="232" ht="15" customHeight="1">
      <c r="A232" t="inlineStr">
        <is>
          <t>A 35915-2018</t>
        </is>
      </c>
      <c r="B232" s="1" t="n">
        <v>43327</v>
      </c>
      <c r="C232" s="1" t="n">
        <v>45190</v>
      </c>
      <c r="D232" t="inlineStr">
        <is>
          <t>SKÅNE LÄN</t>
        </is>
      </c>
      <c r="E232" t="inlineStr">
        <is>
          <t>HÄSSLEHOLM</t>
        </is>
      </c>
      <c r="G232" t="n">
        <v>0.7</v>
      </c>
      <c r="H232" t="n">
        <v>0</v>
      </c>
      <c r="I232" t="n">
        <v>0</v>
      </c>
      <c r="J232" t="n">
        <v>0</v>
      </c>
      <c r="K232" t="n">
        <v>0</v>
      </c>
      <c r="L232" t="n">
        <v>0</v>
      </c>
      <c r="M232" t="n">
        <v>0</v>
      </c>
      <c r="N232" t="n">
        <v>0</v>
      </c>
      <c r="O232" t="n">
        <v>0</v>
      </c>
      <c r="P232" t="n">
        <v>0</v>
      </c>
      <c r="Q232" t="n">
        <v>0</v>
      </c>
      <c r="R232" s="2" t="inlineStr"/>
    </row>
    <row r="233" ht="15" customHeight="1">
      <c r="A233" t="inlineStr">
        <is>
          <t>A 36235-2018</t>
        </is>
      </c>
      <c r="B233" s="1" t="n">
        <v>43327</v>
      </c>
      <c r="C233" s="1" t="n">
        <v>45190</v>
      </c>
      <c r="D233" t="inlineStr">
        <is>
          <t>SKÅNE LÄN</t>
        </is>
      </c>
      <c r="E233" t="inlineStr">
        <is>
          <t>HÖRBY</t>
        </is>
      </c>
      <c r="G233" t="n">
        <v>4.2</v>
      </c>
      <c r="H233" t="n">
        <v>0</v>
      </c>
      <c r="I233" t="n">
        <v>0</v>
      </c>
      <c r="J233" t="n">
        <v>0</v>
      </c>
      <c r="K233" t="n">
        <v>0</v>
      </c>
      <c r="L233" t="n">
        <v>0</v>
      </c>
      <c r="M233" t="n">
        <v>0</v>
      </c>
      <c r="N233" t="n">
        <v>0</v>
      </c>
      <c r="O233" t="n">
        <v>0</v>
      </c>
      <c r="P233" t="n">
        <v>0</v>
      </c>
      <c r="Q233" t="n">
        <v>0</v>
      </c>
      <c r="R233" s="2" t="inlineStr"/>
    </row>
    <row r="234" ht="15" customHeight="1">
      <c r="A234" t="inlineStr">
        <is>
          <t>A 36740-2018</t>
        </is>
      </c>
      <c r="B234" s="1" t="n">
        <v>43329</v>
      </c>
      <c r="C234" s="1" t="n">
        <v>45190</v>
      </c>
      <c r="D234" t="inlineStr">
        <is>
          <t>SKÅNE LÄN</t>
        </is>
      </c>
      <c r="E234" t="inlineStr">
        <is>
          <t>OSBY</t>
        </is>
      </c>
      <c r="G234" t="n">
        <v>0.6</v>
      </c>
      <c r="H234" t="n">
        <v>0</v>
      </c>
      <c r="I234" t="n">
        <v>0</v>
      </c>
      <c r="J234" t="n">
        <v>0</v>
      </c>
      <c r="K234" t="n">
        <v>0</v>
      </c>
      <c r="L234" t="n">
        <v>0</v>
      </c>
      <c r="M234" t="n">
        <v>0</v>
      </c>
      <c r="N234" t="n">
        <v>0</v>
      </c>
      <c r="O234" t="n">
        <v>0</v>
      </c>
      <c r="P234" t="n">
        <v>0</v>
      </c>
      <c r="Q234" t="n">
        <v>0</v>
      </c>
      <c r="R234" s="2" t="inlineStr"/>
    </row>
    <row r="235" ht="15" customHeight="1">
      <c r="A235" t="inlineStr">
        <is>
          <t>A 36750-2018</t>
        </is>
      </c>
      <c r="B235" s="1" t="n">
        <v>43332</v>
      </c>
      <c r="C235" s="1" t="n">
        <v>45190</v>
      </c>
      <c r="D235" t="inlineStr">
        <is>
          <t>SKÅNE LÄN</t>
        </is>
      </c>
      <c r="E235" t="inlineStr">
        <is>
          <t>HÖRBY</t>
        </is>
      </c>
      <c r="G235" t="n">
        <v>2</v>
      </c>
      <c r="H235" t="n">
        <v>0</v>
      </c>
      <c r="I235" t="n">
        <v>0</v>
      </c>
      <c r="J235" t="n">
        <v>0</v>
      </c>
      <c r="K235" t="n">
        <v>0</v>
      </c>
      <c r="L235" t="n">
        <v>0</v>
      </c>
      <c r="M235" t="n">
        <v>0</v>
      </c>
      <c r="N235" t="n">
        <v>0</v>
      </c>
      <c r="O235" t="n">
        <v>0</v>
      </c>
      <c r="P235" t="n">
        <v>0</v>
      </c>
      <c r="Q235" t="n">
        <v>0</v>
      </c>
      <c r="R235" s="2" t="inlineStr"/>
    </row>
    <row r="236" ht="15" customHeight="1">
      <c r="A236" t="inlineStr">
        <is>
          <t>A 37026-2018</t>
        </is>
      </c>
      <c r="B236" s="1" t="n">
        <v>43332</v>
      </c>
      <c r="C236" s="1" t="n">
        <v>45190</v>
      </c>
      <c r="D236" t="inlineStr">
        <is>
          <t>SKÅNE LÄN</t>
        </is>
      </c>
      <c r="E236" t="inlineStr">
        <is>
          <t>ÖRKELLJUNGA</t>
        </is>
      </c>
      <c r="G236" t="n">
        <v>4.4</v>
      </c>
      <c r="H236" t="n">
        <v>0</v>
      </c>
      <c r="I236" t="n">
        <v>0</v>
      </c>
      <c r="J236" t="n">
        <v>0</v>
      </c>
      <c r="K236" t="n">
        <v>0</v>
      </c>
      <c r="L236" t="n">
        <v>0</v>
      </c>
      <c r="M236" t="n">
        <v>0</v>
      </c>
      <c r="N236" t="n">
        <v>0</v>
      </c>
      <c r="O236" t="n">
        <v>0</v>
      </c>
      <c r="P236" t="n">
        <v>0</v>
      </c>
      <c r="Q236" t="n">
        <v>0</v>
      </c>
      <c r="R236" s="2" t="inlineStr"/>
    </row>
    <row r="237" ht="15" customHeight="1">
      <c r="A237" t="inlineStr">
        <is>
          <t>A 36963-2018</t>
        </is>
      </c>
      <c r="B237" s="1" t="n">
        <v>43332</v>
      </c>
      <c r="C237" s="1" t="n">
        <v>45190</v>
      </c>
      <c r="D237" t="inlineStr">
        <is>
          <t>SKÅNE LÄN</t>
        </is>
      </c>
      <c r="E237" t="inlineStr">
        <is>
          <t>ÖSTRA GÖINGE</t>
        </is>
      </c>
      <c r="G237" t="n">
        <v>0.9</v>
      </c>
      <c r="H237" t="n">
        <v>0</v>
      </c>
      <c r="I237" t="n">
        <v>0</v>
      </c>
      <c r="J237" t="n">
        <v>0</v>
      </c>
      <c r="K237" t="n">
        <v>0</v>
      </c>
      <c r="L237" t="n">
        <v>0</v>
      </c>
      <c r="M237" t="n">
        <v>0</v>
      </c>
      <c r="N237" t="n">
        <v>0</v>
      </c>
      <c r="O237" t="n">
        <v>0</v>
      </c>
      <c r="P237" t="n">
        <v>0</v>
      </c>
      <c r="Q237" t="n">
        <v>0</v>
      </c>
      <c r="R237" s="2" t="inlineStr"/>
    </row>
    <row r="238" ht="15" customHeight="1">
      <c r="A238" t="inlineStr">
        <is>
          <t>A 37040-2018</t>
        </is>
      </c>
      <c r="B238" s="1" t="n">
        <v>43332</v>
      </c>
      <c r="C238" s="1" t="n">
        <v>45190</v>
      </c>
      <c r="D238" t="inlineStr">
        <is>
          <t>SKÅNE LÄN</t>
        </is>
      </c>
      <c r="E238" t="inlineStr">
        <is>
          <t>HÄSSLEHOLM</t>
        </is>
      </c>
      <c r="G238" t="n">
        <v>1.5</v>
      </c>
      <c r="H238" t="n">
        <v>0</v>
      </c>
      <c r="I238" t="n">
        <v>0</v>
      </c>
      <c r="J238" t="n">
        <v>0</v>
      </c>
      <c r="K238" t="n">
        <v>0</v>
      </c>
      <c r="L238" t="n">
        <v>0</v>
      </c>
      <c r="M238" t="n">
        <v>0</v>
      </c>
      <c r="N238" t="n">
        <v>0</v>
      </c>
      <c r="O238" t="n">
        <v>0</v>
      </c>
      <c r="P238" t="n">
        <v>0</v>
      </c>
      <c r="Q238" t="n">
        <v>0</v>
      </c>
      <c r="R238" s="2" t="inlineStr"/>
    </row>
    <row r="239" ht="15" customHeight="1">
      <c r="A239" t="inlineStr">
        <is>
          <t>A 37201-2018</t>
        </is>
      </c>
      <c r="B239" s="1" t="n">
        <v>43333</v>
      </c>
      <c r="C239" s="1" t="n">
        <v>45190</v>
      </c>
      <c r="D239" t="inlineStr">
        <is>
          <t>SKÅNE LÄN</t>
        </is>
      </c>
      <c r="E239" t="inlineStr">
        <is>
          <t>KRISTIANSTAD</t>
        </is>
      </c>
      <c r="G239" t="n">
        <v>3.1</v>
      </c>
      <c r="H239" t="n">
        <v>0</v>
      </c>
      <c r="I239" t="n">
        <v>0</v>
      </c>
      <c r="J239" t="n">
        <v>0</v>
      </c>
      <c r="K239" t="n">
        <v>0</v>
      </c>
      <c r="L239" t="n">
        <v>0</v>
      </c>
      <c r="M239" t="n">
        <v>0</v>
      </c>
      <c r="N239" t="n">
        <v>0</v>
      </c>
      <c r="O239" t="n">
        <v>0</v>
      </c>
      <c r="P239" t="n">
        <v>0</v>
      </c>
      <c r="Q239" t="n">
        <v>0</v>
      </c>
      <c r="R239" s="2" t="inlineStr"/>
    </row>
    <row r="240" ht="15" customHeight="1">
      <c r="A240" t="inlineStr">
        <is>
          <t>A 37460-2018</t>
        </is>
      </c>
      <c r="B240" s="1" t="n">
        <v>43334</v>
      </c>
      <c r="C240" s="1" t="n">
        <v>45190</v>
      </c>
      <c r="D240" t="inlineStr">
        <is>
          <t>SKÅNE LÄN</t>
        </is>
      </c>
      <c r="E240" t="inlineStr">
        <is>
          <t>HÄSSLEHOLM</t>
        </is>
      </c>
      <c r="G240" t="n">
        <v>0.9</v>
      </c>
      <c r="H240" t="n">
        <v>0</v>
      </c>
      <c r="I240" t="n">
        <v>0</v>
      </c>
      <c r="J240" t="n">
        <v>0</v>
      </c>
      <c r="K240" t="n">
        <v>0</v>
      </c>
      <c r="L240" t="n">
        <v>0</v>
      </c>
      <c r="M240" t="n">
        <v>0</v>
      </c>
      <c r="N240" t="n">
        <v>0</v>
      </c>
      <c r="O240" t="n">
        <v>0</v>
      </c>
      <c r="P240" t="n">
        <v>0</v>
      </c>
      <c r="Q240" t="n">
        <v>0</v>
      </c>
      <c r="R240" s="2" t="inlineStr"/>
    </row>
    <row r="241" ht="15" customHeight="1">
      <c r="A241" t="inlineStr">
        <is>
          <t>A 37733-2018</t>
        </is>
      </c>
      <c r="B241" s="1" t="n">
        <v>43334</v>
      </c>
      <c r="C241" s="1" t="n">
        <v>45190</v>
      </c>
      <c r="D241" t="inlineStr">
        <is>
          <t>SKÅNE LÄN</t>
        </is>
      </c>
      <c r="E241" t="inlineStr">
        <is>
          <t>OSBY</t>
        </is>
      </c>
      <c r="G241" t="n">
        <v>2</v>
      </c>
      <c r="H241" t="n">
        <v>0</v>
      </c>
      <c r="I241" t="n">
        <v>0</v>
      </c>
      <c r="J241" t="n">
        <v>0</v>
      </c>
      <c r="K241" t="n">
        <v>0</v>
      </c>
      <c r="L241" t="n">
        <v>0</v>
      </c>
      <c r="M241" t="n">
        <v>0</v>
      </c>
      <c r="N241" t="n">
        <v>0</v>
      </c>
      <c r="O241" t="n">
        <v>0</v>
      </c>
      <c r="P241" t="n">
        <v>0</v>
      </c>
      <c r="Q241" t="n">
        <v>0</v>
      </c>
      <c r="R241" s="2" t="inlineStr"/>
    </row>
    <row r="242" ht="15" customHeight="1">
      <c r="A242" t="inlineStr">
        <is>
          <t>A 38872-2018</t>
        </is>
      </c>
      <c r="B242" s="1" t="n">
        <v>43335</v>
      </c>
      <c r="C242" s="1" t="n">
        <v>45190</v>
      </c>
      <c r="D242" t="inlineStr">
        <is>
          <t>SKÅNE LÄN</t>
        </is>
      </c>
      <c r="E242" t="inlineStr">
        <is>
          <t>HÄSSLEHOLM</t>
        </is>
      </c>
      <c r="G242" t="n">
        <v>2.7</v>
      </c>
      <c r="H242" t="n">
        <v>0</v>
      </c>
      <c r="I242" t="n">
        <v>0</v>
      </c>
      <c r="J242" t="n">
        <v>0</v>
      </c>
      <c r="K242" t="n">
        <v>0</v>
      </c>
      <c r="L242" t="n">
        <v>0</v>
      </c>
      <c r="M242" t="n">
        <v>0</v>
      </c>
      <c r="N242" t="n">
        <v>0</v>
      </c>
      <c r="O242" t="n">
        <v>0</v>
      </c>
      <c r="P242" t="n">
        <v>0</v>
      </c>
      <c r="Q242" t="n">
        <v>0</v>
      </c>
      <c r="R242" s="2" t="inlineStr"/>
    </row>
    <row r="243" ht="15" customHeight="1">
      <c r="A243" t="inlineStr">
        <is>
          <t>A 37621-2018</t>
        </is>
      </c>
      <c r="B243" s="1" t="n">
        <v>43335</v>
      </c>
      <c r="C243" s="1" t="n">
        <v>45190</v>
      </c>
      <c r="D243" t="inlineStr">
        <is>
          <t>SKÅNE LÄN</t>
        </is>
      </c>
      <c r="E243" t="inlineStr">
        <is>
          <t>KRISTIANSTAD</t>
        </is>
      </c>
      <c r="G243" t="n">
        <v>14.3</v>
      </c>
      <c r="H243" t="n">
        <v>0</v>
      </c>
      <c r="I243" t="n">
        <v>0</v>
      </c>
      <c r="J243" t="n">
        <v>0</v>
      </c>
      <c r="K243" t="n">
        <v>0</v>
      </c>
      <c r="L243" t="n">
        <v>0</v>
      </c>
      <c r="M243" t="n">
        <v>0</v>
      </c>
      <c r="N243" t="n">
        <v>0</v>
      </c>
      <c r="O243" t="n">
        <v>0</v>
      </c>
      <c r="P243" t="n">
        <v>0</v>
      </c>
      <c r="Q243" t="n">
        <v>0</v>
      </c>
      <c r="R243" s="2" t="inlineStr"/>
    </row>
    <row r="244" ht="15" customHeight="1">
      <c r="A244" t="inlineStr">
        <is>
          <t>A 38375-2018</t>
        </is>
      </c>
      <c r="B244" s="1" t="n">
        <v>43335</v>
      </c>
      <c r="C244" s="1" t="n">
        <v>45190</v>
      </c>
      <c r="D244" t="inlineStr">
        <is>
          <t>SKÅNE LÄN</t>
        </is>
      </c>
      <c r="E244" t="inlineStr">
        <is>
          <t>PERSTORP</t>
        </is>
      </c>
      <c r="G244" t="n">
        <v>1.2</v>
      </c>
      <c r="H244" t="n">
        <v>0</v>
      </c>
      <c r="I244" t="n">
        <v>0</v>
      </c>
      <c r="J244" t="n">
        <v>0</v>
      </c>
      <c r="K244" t="n">
        <v>0</v>
      </c>
      <c r="L244" t="n">
        <v>0</v>
      </c>
      <c r="M244" t="n">
        <v>0</v>
      </c>
      <c r="N244" t="n">
        <v>0</v>
      </c>
      <c r="O244" t="n">
        <v>0</v>
      </c>
      <c r="P244" t="n">
        <v>0</v>
      </c>
      <c r="Q244" t="n">
        <v>0</v>
      </c>
      <c r="R244" s="2" t="inlineStr"/>
    </row>
    <row r="245" ht="15" customHeight="1">
      <c r="A245" t="inlineStr">
        <is>
          <t>A 38637-2018</t>
        </is>
      </c>
      <c r="B245" s="1" t="n">
        <v>43339</v>
      </c>
      <c r="C245" s="1" t="n">
        <v>45190</v>
      </c>
      <c r="D245" t="inlineStr">
        <is>
          <t>SKÅNE LÄN</t>
        </is>
      </c>
      <c r="E245" t="inlineStr">
        <is>
          <t>HELSINGBORG</t>
        </is>
      </c>
      <c r="G245" t="n">
        <v>1.5</v>
      </c>
      <c r="H245" t="n">
        <v>0</v>
      </c>
      <c r="I245" t="n">
        <v>0</v>
      </c>
      <c r="J245" t="n">
        <v>0</v>
      </c>
      <c r="K245" t="n">
        <v>0</v>
      </c>
      <c r="L245" t="n">
        <v>0</v>
      </c>
      <c r="M245" t="n">
        <v>0</v>
      </c>
      <c r="N245" t="n">
        <v>0</v>
      </c>
      <c r="O245" t="n">
        <v>0</v>
      </c>
      <c r="P245" t="n">
        <v>0</v>
      </c>
      <c r="Q245" t="n">
        <v>0</v>
      </c>
      <c r="R245" s="2" t="inlineStr"/>
    </row>
    <row r="246" ht="15" customHeight="1">
      <c r="A246" t="inlineStr">
        <is>
          <t>A 39192-2018</t>
        </is>
      </c>
      <c r="B246" s="1" t="n">
        <v>43339</v>
      </c>
      <c r="C246" s="1" t="n">
        <v>45190</v>
      </c>
      <c r="D246" t="inlineStr">
        <is>
          <t>SKÅNE LÄN</t>
        </is>
      </c>
      <c r="E246" t="inlineStr">
        <is>
          <t>OSBY</t>
        </is>
      </c>
      <c r="G246" t="n">
        <v>3.6</v>
      </c>
      <c r="H246" t="n">
        <v>0</v>
      </c>
      <c r="I246" t="n">
        <v>0</v>
      </c>
      <c r="J246" t="n">
        <v>0</v>
      </c>
      <c r="K246" t="n">
        <v>0</v>
      </c>
      <c r="L246" t="n">
        <v>0</v>
      </c>
      <c r="M246" t="n">
        <v>0</v>
      </c>
      <c r="N246" t="n">
        <v>0</v>
      </c>
      <c r="O246" t="n">
        <v>0</v>
      </c>
      <c r="P246" t="n">
        <v>0</v>
      </c>
      <c r="Q246" t="n">
        <v>0</v>
      </c>
      <c r="R246" s="2" t="inlineStr"/>
    </row>
    <row r="247" ht="15" customHeight="1">
      <c r="A247" t="inlineStr">
        <is>
          <t>A 38579-2018</t>
        </is>
      </c>
      <c r="B247" s="1" t="n">
        <v>43339</v>
      </c>
      <c r="C247" s="1" t="n">
        <v>45190</v>
      </c>
      <c r="D247" t="inlineStr">
        <is>
          <t>SKÅNE LÄN</t>
        </is>
      </c>
      <c r="E247" t="inlineStr">
        <is>
          <t>ÖSTRA GÖINGE</t>
        </is>
      </c>
      <c r="G247" t="n">
        <v>0.8</v>
      </c>
      <c r="H247" t="n">
        <v>0</v>
      </c>
      <c r="I247" t="n">
        <v>0</v>
      </c>
      <c r="J247" t="n">
        <v>0</v>
      </c>
      <c r="K247" t="n">
        <v>0</v>
      </c>
      <c r="L247" t="n">
        <v>0</v>
      </c>
      <c r="M247" t="n">
        <v>0</v>
      </c>
      <c r="N247" t="n">
        <v>0</v>
      </c>
      <c r="O247" t="n">
        <v>0</v>
      </c>
      <c r="P247" t="n">
        <v>0</v>
      </c>
      <c r="Q247" t="n">
        <v>0</v>
      </c>
      <c r="R247" s="2" t="inlineStr"/>
    </row>
    <row r="248" ht="15" customHeight="1">
      <c r="A248" t="inlineStr">
        <is>
          <t>A 39196-2018</t>
        </is>
      </c>
      <c r="B248" s="1" t="n">
        <v>43339</v>
      </c>
      <c r="C248" s="1" t="n">
        <v>45190</v>
      </c>
      <c r="D248" t="inlineStr">
        <is>
          <t>SKÅNE LÄN</t>
        </is>
      </c>
      <c r="E248" t="inlineStr">
        <is>
          <t>OSBY</t>
        </is>
      </c>
      <c r="G248" t="n">
        <v>2.6</v>
      </c>
      <c r="H248" t="n">
        <v>0</v>
      </c>
      <c r="I248" t="n">
        <v>0</v>
      </c>
      <c r="J248" t="n">
        <v>0</v>
      </c>
      <c r="K248" t="n">
        <v>0</v>
      </c>
      <c r="L248" t="n">
        <v>0</v>
      </c>
      <c r="M248" t="n">
        <v>0</v>
      </c>
      <c r="N248" t="n">
        <v>0</v>
      </c>
      <c r="O248" t="n">
        <v>0</v>
      </c>
      <c r="P248" t="n">
        <v>0</v>
      </c>
      <c r="Q248" t="n">
        <v>0</v>
      </c>
      <c r="R248" s="2" t="inlineStr"/>
    </row>
    <row r="249" ht="15" customHeight="1">
      <c r="A249" t="inlineStr">
        <is>
          <t>A 39543-2018</t>
        </is>
      </c>
      <c r="B249" s="1" t="n">
        <v>43340</v>
      </c>
      <c r="C249" s="1" t="n">
        <v>45190</v>
      </c>
      <c r="D249" t="inlineStr">
        <is>
          <t>SKÅNE LÄN</t>
        </is>
      </c>
      <c r="E249" t="inlineStr">
        <is>
          <t>ÄNGELHOLM</t>
        </is>
      </c>
      <c r="G249" t="n">
        <v>5.3</v>
      </c>
      <c r="H249" t="n">
        <v>0</v>
      </c>
      <c r="I249" t="n">
        <v>0</v>
      </c>
      <c r="J249" t="n">
        <v>0</v>
      </c>
      <c r="K249" t="n">
        <v>0</v>
      </c>
      <c r="L249" t="n">
        <v>0</v>
      </c>
      <c r="M249" t="n">
        <v>0</v>
      </c>
      <c r="N249" t="n">
        <v>0</v>
      </c>
      <c r="O249" t="n">
        <v>0</v>
      </c>
      <c r="P249" t="n">
        <v>0</v>
      </c>
      <c r="Q249" t="n">
        <v>0</v>
      </c>
      <c r="R249" s="2" t="inlineStr"/>
    </row>
    <row r="250" ht="15" customHeight="1">
      <c r="A250" t="inlineStr">
        <is>
          <t>A 39774-2018</t>
        </is>
      </c>
      <c r="B250" s="1" t="n">
        <v>43342</v>
      </c>
      <c r="C250" s="1" t="n">
        <v>45190</v>
      </c>
      <c r="D250" t="inlineStr">
        <is>
          <t>SKÅNE LÄN</t>
        </is>
      </c>
      <c r="E250" t="inlineStr">
        <is>
          <t>LUND</t>
        </is>
      </c>
      <c r="G250" t="n">
        <v>3</v>
      </c>
      <c r="H250" t="n">
        <v>0</v>
      </c>
      <c r="I250" t="n">
        <v>0</v>
      </c>
      <c r="J250" t="n">
        <v>0</v>
      </c>
      <c r="K250" t="n">
        <v>0</v>
      </c>
      <c r="L250" t="n">
        <v>0</v>
      </c>
      <c r="M250" t="n">
        <v>0</v>
      </c>
      <c r="N250" t="n">
        <v>0</v>
      </c>
      <c r="O250" t="n">
        <v>0</v>
      </c>
      <c r="P250" t="n">
        <v>0</v>
      </c>
      <c r="Q250" t="n">
        <v>0</v>
      </c>
      <c r="R250" s="2" t="inlineStr"/>
    </row>
    <row r="251" ht="15" customHeight="1">
      <c r="A251" t="inlineStr">
        <is>
          <t>A 40414-2018</t>
        </is>
      </c>
      <c r="B251" s="1" t="n">
        <v>43342</v>
      </c>
      <c r="C251" s="1" t="n">
        <v>45190</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40099-2018</t>
        </is>
      </c>
      <c r="B252" s="1" t="n">
        <v>43343</v>
      </c>
      <c r="C252" s="1" t="n">
        <v>45190</v>
      </c>
      <c r="D252" t="inlineStr">
        <is>
          <t>SKÅNE LÄN</t>
        </is>
      </c>
      <c r="E252" t="inlineStr">
        <is>
          <t>TOMELILLA</t>
        </is>
      </c>
      <c r="G252" t="n">
        <v>7</v>
      </c>
      <c r="H252" t="n">
        <v>0</v>
      </c>
      <c r="I252" t="n">
        <v>0</v>
      </c>
      <c r="J252" t="n">
        <v>0</v>
      </c>
      <c r="K252" t="n">
        <v>0</v>
      </c>
      <c r="L252" t="n">
        <v>0</v>
      </c>
      <c r="M252" t="n">
        <v>0</v>
      </c>
      <c r="N252" t="n">
        <v>0</v>
      </c>
      <c r="O252" t="n">
        <v>0</v>
      </c>
      <c r="P252" t="n">
        <v>0</v>
      </c>
      <c r="Q252" t="n">
        <v>0</v>
      </c>
      <c r="R252" s="2" t="inlineStr"/>
    </row>
    <row r="253" ht="15" customHeight="1">
      <c r="A253" t="inlineStr">
        <is>
          <t>A 40081-2018</t>
        </is>
      </c>
      <c r="B253" s="1" t="n">
        <v>43343</v>
      </c>
      <c r="C253" s="1" t="n">
        <v>45190</v>
      </c>
      <c r="D253" t="inlineStr">
        <is>
          <t>SKÅNE LÄN</t>
        </is>
      </c>
      <c r="E253" t="inlineStr">
        <is>
          <t>KRISTIANSTAD</t>
        </is>
      </c>
      <c r="G253" t="n">
        <v>1.1</v>
      </c>
      <c r="H253" t="n">
        <v>0</v>
      </c>
      <c r="I253" t="n">
        <v>0</v>
      </c>
      <c r="J253" t="n">
        <v>0</v>
      </c>
      <c r="K253" t="n">
        <v>0</v>
      </c>
      <c r="L253" t="n">
        <v>0</v>
      </c>
      <c r="M253" t="n">
        <v>0</v>
      </c>
      <c r="N253" t="n">
        <v>0</v>
      </c>
      <c r="O253" t="n">
        <v>0</v>
      </c>
      <c r="P253" t="n">
        <v>0</v>
      </c>
      <c r="Q253" t="n">
        <v>0</v>
      </c>
      <c r="R253" s="2" t="inlineStr"/>
    </row>
    <row r="254" ht="15" customHeight="1">
      <c r="A254" t="inlineStr">
        <is>
          <t>A 40637-2018</t>
        </is>
      </c>
      <c r="B254" s="1" t="n">
        <v>43343</v>
      </c>
      <c r="C254" s="1" t="n">
        <v>45190</v>
      </c>
      <c r="D254" t="inlineStr">
        <is>
          <t>SKÅNE LÄN</t>
        </is>
      </c>
      <c r="E254" t="inlineStr">
        <is>
          <t>PERSTORP</t>
        </is>
      </c>
      <c r="G254" t="n">
        <v>1.1</v>
      </c>
      <c r="H254" t="n">
        <v>0</v>
      </c>
      <c r="I254" t="n">
        <v>0</v>
      </c>
      <c r="J254" t="n">
        <v>0</v>
      </c>
      <c r="K254" t="n">
        <v>0</v>
      </c>
      <c r="L254" t="n">
        <v>0</v>
      </c>
      <c r="M254" t="n">
        <v>0</v>
      </c>
      <c r="N254" t="n">
        <v>0</v>
      </c>
      <c r="O254" t="n">
        <v>0</v>
      </c>
      <c r="P254" t="n">
        <v>0</v>
      </c>
      <c r="Q254" t="n">
        <v>0</v>
      </c>
      <c r="R254" s="2" t="inlineStr"/>
    </row>
    <row r="255" ht="15" customHeight="1">
      <c r="A255" t="inlineStr">
        <is>
          <t>A 41408-2018</t>
        </is>
      </c>
      <c r="B255" s="1" t="n">
        <v>43346</v>
      </c>
      <c r="C255" s="1" t="n">
        <v>45190</v>
      </c>
      <c r="D255" t="inlineStr">
        <is>
          <t>SKÅNE LÄN</t>
        </is>
      </c>
      <c r="E255" t="inlineStr">
        <is>
          <t>OSBY</t>
        </is>
      </c>
      <c r="G255" t="n">
        <v>2.3</v>
      </c>
      <c r="H255" t="n">
        <v>0</v>
      </c>
      <c r="I255" t="n">
        <v>0</v>
      </c>
      <c r="J255" t="n">
        <v>0</v>
      </c>
      <c r="K255" t="n">
        <v>0</v>
      </c>
      <c r="L255" t="n">
        <v>0</v>
      </c>
      <c r="M255" t="n">
        <v>0</v>
      </c>
      <c r="N255" t="n">
        <v>0</v>
      </c>
      <c r="O255" t="n">
        <v>0</v>
      </c>
      <c r="P255" t="n">
        <v>0</v>
      </c>
      <c r="Q255" t="n">
        <v>0</v>
      </c>
      <c r="R255" s="2" t="inlineStr"/>
    </row>
    <row r="256" ht="15" customHeight="1">
      <c r="A256" t="inlineStr">
        <is>
          <t>A 41438-2018</t>
        </is>
      </c>
      <c r="B256" s="1" t="n">
        <v>43346</v>
      </c>
      <c r="C256" s="1" t="n">
        <v>45190</v>
      </c>
      <c r="D256" t="inlineStr">
        <is>
          <t>SKÅNE LÄN</t>
        </is>
      </c>
      <c r="E256" t="inlineStr">
        <is>
          <t>OSBY</t>
        </is>
      </c>
      <c r="G256" t="n">
        <v>3.1</v>
      </c>
      <c r="H256" t="n">
        <v>0</v>
      </c>
      <c r="I256" t="n">
        <v>0</v>
      </c>
      <c r="J256" t="n">
        <v>0</v>
      </c>
      <c r="K256" t="n">
        <v>0</v>
      </c>
      <c r="L256" t="n">
        <v>0</v>
      </c>
      <c r="M256" t="n">
        <v>0</v>
      </c>
      <c r="N256" t="n">
        <v>0</v>
      </c>
      <c r="O256" t="n">
        <v>0</v>
      </c>
      <c r="P256" t="n">
        <v>0</v>
      </c>
      <c r="Q256" t="n">
        <v>0</v>
      </c>
      <c r="R256" s="2" t="inlineStr"/>
    </row>
    <row r="257" ht="15" customHeight="1">
      <c r="A257" t="inlineStr">
        <is>
          <t>A 40929-2018</t>
        </is>
      </c>
      <c r="B257" s="1" t="n">
        <v>43347</v>
      </c>
      <c r="C257" s="1" t="n">
        <v>45190</v>
      </c>
      <c r="D257" t="inlineStr">
        <is>
          <t>SKÅNE LÄN</t>
        </is>
      </c>
      <c r="E257" t="inlineStr">
        <is>
          <t>HÖÖR</t>
        </is>
      </c>
      <c r="G257" t="n">
        <v>1</v>
      </c>
      <c r="H257" t="n">
        <v>0</v>
      </c>
      <c r="I257" t="n">
        <v>0</v>
      </c>
      <c r="J257" t="n">
        <v>0</v>
      </c>
      <c r="K257" t="n">
        <v>0</v>
      </c>
      <c r="L257" t="n">
        <v>0</v>
      </c>
      <c r="M257" t="n">
        <v>0</v>
      </c>
      <c r="N257" t="n">
        <v>0</v>
      </c>
      <c r="O257" t="n">
        <v>0</v>
      </c>
      <c r="P257" t="n">
        <v>0</v>
      </c>
      <c r="Q257" t="n">
        <v>0</v>
      </c>
      <c r="R257" s="2" t="inlineStr"/>
    </row>
    <row r="258" ht="15" customHeight="1">
      <c r="A258" t="inlineStr">
        <is>
          <t>A 41049-2018</t>
        </is>
      </c>
      <c r="B258" s="1" t="n">
        <v>43348</v>
      </c>
      <c r="C258" s="1" t="n">
        <v>45190</v>
      </c>
      <c r="D258" t="inlineStr">
        <is>
          <t>SKÅNE LÄN</t>
        </is>
      </c>
      <c r="E258" t="inlineStr">
        <is>
          <t>BROMÖLLA</t>
        </is>
      </c>
      <c r="G258" t="n">
        <v>14.9</v>
      </c>
      <c r="H258" t="n">
        <v>0</v>
      </c>
      <c r="I258" t="n">
        <v>0</v>
      </c>
      <c r="J258" t="n">
        <v>0</v>
      </c>
      <c r="K258" t="n">
        <v>0</v>
      </c>
      <c r="L258" t="n">
        <v>0</v>
      </c>
      <c r="M258" t="n">
        <v>0</v>
      </c>
      <c r="N258" t="n">
        <v>0</v>
      </c>
      <c r="O258" t="n">
        <v>0</v>
      </c>
      <c r="P258" t="n">
        <v>0</v>
      </c>
      <c r="Q258" t="n">
        <v>0</v>
      </c>
      <c r="R258" s="2" t="inlineStr"/>
    </row>
    <row r="259" ht="15" customHeight="1">
      <c r="A259" t="inlineStr">
        <is>
          <t>A 41317-2018</t>
        </is>
      </c>
      <c r="B259" s="1" t="n">
        <v>43348</v>
      </c>
      <c r="C259" s="1" t="n">
        <v>45190</v>
      </c>
      <c r="D259" t="inlineStr">
        <is>
          <t>SKÅNE LÄN</t>
        </is>
      </c>
      <c r="E259" t="inlineStr">
        <is>
          <t>HÄSSLEHOLM</t>
        </is>
      </c>
      <c r="G259" t="n">
        <v>7.8</v>
      </c>
      <c r="H259" t="n">
        <v>0</v>
      </c>
      <c r="I259" t="n">
        <v>0</v>
      </c>
      <c r="J259" t="n">
        <v>0</v>
      </c>
      <c r="K259" t="n">
        <v>0</v>
      </c>
      <c r="L259" t="n">
        <v>0</v>
      </c>
      <c r="M259" t="n">
        <v>0</v>
      </c>
      <c r="N259" t="n">
        <v>0</v>
      </c>
      <c r="O259" t="n">
        <v>0</v>
      </c>
      <c r="P259" t="n">
        <v>0</v>
      </c>
      <c r="Q259" t="n">
        <v>0</v>
      </c>
      <c r="R259" s="2" t="inlineStr"/>
    </row>
    <row r="260" ht="15" customHeight="1">
      <c r="A260" t="inlineStr">
        <is>
          <t>A 41487-2018</t>
        </is>
      </c>
      <c r="B260" s="1" t="n">
        <v>43349</v>
      </c>
      <c r="C260" s="1" t="n">
        <v>45190</v>
      </c>
      <c r="D260" t="inlineStr">
        <is>
          <t>SKÅNE LÄN</t>
        </is>
      </c>
      <c r="E260" t="inlineStr">
        <is>
          <t>HÖRBY</t>
        </is>
      </c>
      <c r="G260" t="n">
        <v>4</v>
      </c>
      <c r="H260" t="n">
        <v>0</v>
      </c>
      <c r="I260" t="n">
        <v>0</v>
      </c>
      <c r="J260" t="n">
        <v>0</v>
      </c>
      <c r="K260" t="n">
        <v>0</v>
      </c>
      <c r="L260" t="n">
        <v>0</v>
      </c>
      <c r="M260" t="n">
        <v>0</v>
      </c>
      <c r="N260" t="n">
        <v>0</v>
      </c>
      <c r="O260" t="n">
        <v>0</v>
      </c>
      <c r="P260" t="n">
        <v>0</v>
      </c>
      <c r="Q260" t="n">
        <v>0</v>
      </c>
      <c r="R260" s="2" t="inlineStr"/>
    </row>
    <row r="261" ht="15" customHeight="1">
      <c r="A261" t="inlineStr">
        <is>
          <t>A 42599-2018</t>
        </is>
      </c>
      <c r="B261" s="1" t="n">
        <v>43350</v>
      </c>
      <c r="C261" s="1" t="n">
        <v>45190</v>
      </c>
      <c r="D261" t="inlineStr">
        <is>
          <t>SKÅNE LÄN</t>
        </is>
      </c>
      <c r="E261" t="inlineStr">
        <is>
          <t>HÄSSLEHOLM</t>
        </is>
      </c>
      <c r="G261" t="n">
        <v>2.5</v>
      </c>
      <c r="H261" t="n">
        <v>0</v>
      </c>
      <c r="I261" t="n">
        <v>0</v>
      </c>
      <c r="J261" t="n">
        <v>0</v>
      </c>
      <c r="K261" t="n">
        <v>0</v>
      </c>
      <c r="L261" t="n">
        <v>0</v>
      </c>
      <c r="M261" t="n">
        <v>0</v>
      </c>
      <c r="N261" t="n">
        <v>0</v>
      </c>
      <c r="O261" t="n">
        <v>0</v>
      </c>
      <c r="P261" t="n">
        <v>0</v>
      </c>
      <c r="Q261" t="n">
        <v>0</v>
      </c>
      <c r="R261" s="2" t="inlineStr"/>
    </row>
    <row r="262" ht="15" customHeight="1">
      <c r="A262" t="inlineStr">
        <is>
          <t>A 42681-2018</t>
        </is>
      </c>
      <c r="B262" s="1" t="n">
        <v>43350</v>
      </c>
      <c r="C262" s="1" t="n">
        <v>45190</v>
      </c>
      <c r="D262" t="inlineStr">
        <is>
          <t>SKÅNE LÄN</t>
        </is>
      </c>
      <c r="E262" t="inlineStr">
        <is>
          <t>HÖRBY</t>
        </is>
      </c>
      <c r="G262" t="n">
        <v>3.1</v>
      </c>
      <c r="H262" t="n">
        <v>0</v>
      </c>
      <c r="I262" t="n">
        <v>0</v>
      </c>
      <c r="J262" t="n">
        <v>0</v>
      </c>
      <c r="K262" t="n">
        <v>0</v>
      </c>
      <c r="L262" t="n">
        <v>0</v>
      </c>
      <c r="M262" t="n">
        <v>0</v>
      </c>
      <c r="N262" t="n">
        <v>0</v>
      </c>
      <c r="O262" t="n">
        <v>0</v>
      </c>
      <c r="P262" t="n">
        <v>0</v>
      </c>
      <c r="Q262" t="n">
        <v>0</v>
      </c>
      <c r="R262" s="2" t="inlineStr"/>
    </row>
    <row r="263" ht="15" customHeight="1">
      <c r="A263" t="inlineStr">
        <is>
          <t>A 42373-2018</t>
        </is>
      </c>
      <c r="B263" s="1" t="n">
        <v>43353</v>
      </c>
      <c r="C263" s="1" t="n">
        <v>45190</v>
      </c>
      <c r="D263" t="inlineStr">
        <is>
          <t>SKÅNE LÄN</t>
        </is>
      </c>
      <c r="E263" t="inlineStr">
        <is>
          <t>BROMÖLLA</t>
        </is>
      </c>
      <c r="G263" t="n">
        <v>3.3</v>
      </c>
      <c r="H263" t="n">
        <v>0</v>
      </c>
      <c r="I263" t="n">
        <v>0</v>
      </c>
      <c r="J263" t="n">
        <v>0</v>
      </c>
      <c r="K263" t="n">
        <v>0</v>
      </c>
      <c r="L263" t="n">
        <v>0</v>
      </c>
      <c r="M263" t="n">
        <v>0</v>
      </c>
      <c r="N263" t="n">
        <v>0</v>
      </c>
      <c r="O263" t="n">
        <v>0</v>
      </c>
      <c r="P263" t="n">
        <v>0</v>
      </c>
      <c r="Q263" t="n">
        <v>0</v>
      </c>
      <c r="R263" s="2" t="inlineStr"/>
    </row>
    <row r="264" ht="15" customHeight="1">
      <c r="A264" t="inlineStr">
        <is>
          <t>A 42461-2018</t>
        </is>
      </c>
      <c r="B264" s="1" t="n">
        <v>43353</v>
      </c>
      <c r="C264" s="1" t="n">
        <v>45190</v>
      </c>
      <c r="D264" t="inlineStr">
        <is>
          <t>SKÅNE LÄN</t>
        </is>
      </c>
      <c r="E264" t="inlineStr">
        <is>
          <t>BROMÖLLA</t>
        </is>
      </c>
      <c r="G264" t="n">
        <v>1.5</v>
      </c>
      <c r="H264" t="n">
        <v>0</v>
      </c>
      <c r="I264" t="n">
        <v>0</v>
      </c>
      <c r="J264" t="n">
        <v>0</v>
      </c>
      <c r="K264" t="n">
        <v>0</v>
      </c>
      <c r="L264" t="n">
        <v>0</v>
      </c>
      <c r="M264" t="n">
        <v>0</v>
      </c>
      <c r="N264" t="n">
        <v>0</v>
      </c>
      <c r="O264" t="n">
        <v>0</v>
      </c>
      <c r="P264" t="n">
        <v>0</v>
      </c>
      <c r="Q264" t="n">
        <v>0</v>
      </c>
      <c r="R264" s="2" t="inlineStr"/>
    </row>
    <row r="265" ht="15" customHeight="1">
      <c r="A265" t="inlineStr">
        <is>
          <t>A 42531-2018</t>
        </is>
      </c>
      <c r="B265" s="1" t="n">
        <v>43353</v>
      </c>
      <c r="C265" s="1" t="n">
        <v>45190</v>
      </c>
      <c r="D265" t="inlineStr">
        <is>
          <t>SKÅNE LÄN</t>
        </is>
      </c>
      <c r="E265" t="inlineStr">
        <is>
          <t>BROMÖLLA</t>
        </is>
      </c>
      <c r="G265" t="n">
        <v>3.4</v>
      </c>
      <c r="H265" t="n">
        <v>0</v>
      </c>
      <c r="I265" t="n">
        <v>0</v>
      </c>
      <c r="J265" t="n">
        <v>0</v>
      </c>
      <c r="K265" t="n">
        <v>0</v>
      </c>
      <c r="L265" t="n">
        <v>0</v>
      </c>
      <c r="M265" t="n">
        <v>0</v>
      </c>
      <c r="N265" t="n">
        <v>0</v>
      </c>
      <c r="O265" t="n">
        <v>0</v>
      </c>
      <c r="P265" t="n">
        <v>0</v>
      </c>
      <c r="Q265" t="n">
        <v>0</v>
      </c>
      <c r="R265" s="2" t="inlineStr"/>
    </row>
    <row r="266" ht="15" customHeight="1">
      <c r="A266" t="inlineStr">
        <is>
          <t>A 42547-2018</t>
        </is>
      </c>
      <c r="B266" s="1" t="n">
        <v>43353</v>
      </c>
      <c r="C266" s="1" t="n">
        <v>45190</v>
      </c>
      <c r="D266" t="inlineStr">
        <is>
          <t>SKÅNE LÄN</t>
        </is>
      </c>
      <c r="E266" t="inlineStr">
        <is>
          <t>BROMÖLLA</t>
        </is>
      </c>
      <c r="G266" t="n">
        <v>6</v>
      </c>
      <c r="H266" t="n">
        <v>0</v>
      </c>
      <c r="I266" t="n">
        <v>0</v>
      </c>
      <c r="J266" t="n">
        <v>0</v>
      </c>
      <c r="K266" t="n">
        <v>0</v>
      </c>
      <c r="L266" t="n">
        <v>0</v>
      </c>
      <c r="M266" t="n">
        <v>0</v>
      </c>
      <c r="N266" t="n">
        <v>0</v>
      </c>
      <c r="O266" t="n">
        <v>0</v>
      </c>
      <c r="P266" t="n">
        <v>0</v>
      </c>
      <c r="Q266" t="n">
        <v>0</v>
      </c>
      <c r="R266" s="2" t="inlineStr"/>
    </row>
    <row r="267" ht="15" customHeight="1">
      <c r="A267" t="inlineStr">
        <is>
          <t>A 42417-2018</t>
        </is>
      </c>
      <c r="B267" s="1" t="n">
        <v>43353</v>
      </c>
      <c r="C267" s="1" t="n">
        <v>45190</v>
      </c>
      <c r="D267" t="inlineStr">
        <is>
          <t>SKÅNE LÄN</t>
        </is>
      </c>
      <c r="E267" t="inlineStr">
        <is>
          <t>BROMÖLLA</t>
        </is>
      </c>
      <c r="G267" t="n">
        <v>2</v>
      </c>
      <c r="H267" t="n">
        <v>0</v>
      </c>
      <c r="I267" t="n">
        <v>0</v>
      </c>
      <c r="J267" t="n">
        <v>0</v>
      </c>
      <c r="K267" t="n">
        <v>0</v>
      </c>
      <c r="L267" t="n">
        <v>0</v>
      </c>
      <c r="M267" t="n">
        <v>0</v>
      </c>
      <c r="N267" t="n">
        <v>0</v>
      </c>
      <c r="O267" t="n">
        <v>0</v>
      </c>
      <c r="P267" t="n">
        <v>0</v>
      </c>
      <c r="Q267" t="n">
        <v>0</v>
      </c>
      <c r="R267" s="2" t="inlineStr"/>
    </row>
    <row r="268" ht="15" customHeight="1">
      <c r="A268" t="inlineStr">
        <is>
          <t>A 42441-2018</t>
        </is>
      </c>
      <c r="B268" s="1" t="n">
        <v>43353</v>
      </c>
      <c r="C268" s="1" t="n">
        <v>45190</v>
      </c>
      <c r="D268" t="inlineStr">
        <is>
          <t>SKÅNE LÄN</t>
        </is>
      </c>
      <c r="E268" t="inlineStr">
        <is>
          <t>BROMÖLLA</t>
        </is>
      </c>
      <c r="G268" t="n">
        <v>0.9</v>
      </c>
      <c r="H268" t="n">
        <v>0</v>
      </c>
      <c r="I268" t="n">
        <v>0</v>
      </c>
      <c r="J268" t="n">
        <v>0</v>
      </c>
      <c r="K268" t="n">
        <v>0</v>
      </c>
      <c r="L268" t="n">
        <v>0</v>
      </c>
      <c r="M268" t="n">
        <v>0</v>
      </c>
      <c r="N268" t="n">
        <v>0</v>
      </c>
      <c r="O268" t="n">
        <v>0</v>
      </c>
      <c r="P268" t="n">
        <v>0</v>
      </c>
      <c r="Q268" t="n">
        <v>0</v>
      </c>
      <c r="R268" s="2" t="inlineStr"/>
    </row>
    <row r="269" ht="15" customHeight="1">
      <c r="A269" t="inlineStr">
        <is>
          <t>A 42549-2018</t>
        </is>
      </c>
      <c r="B269" s="1" t="n">
        <v>43353</v>
      </c>
      <c r="C269" s="1" t="n">
        <v>45190</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43326-2018</t>
        </is>
      </c>
      <c r="B270" s="1" t="n">
        <v>43353</v>
      </c>
      <c r="C270" s="1" t="n">
        <v>45190</v>
      </c>
      <c r="D270" t="inlineStr">
        <is>
          <t>SKÅNE LÄN</t>
        </is>
      </c>
      <c r="E270" t="inlineStr">
        <is>
          <t>HÄSSLEHOLM</t>
        </is>
      </c>
      <c r="G270" t="n">
        <v>3.2</v>
      </c>
      <c r="H270" t="n">
        <v>0</v>
      </c>
      <c r="I270" t="n">
        <v>0</v>
      </c>
      <c r="J270" t="n">
        <v>0</v>
      </c>
      <c r="K270" t="n">
        <v>0</v>
      </c>
      <c r="L270" t="n">
        <v>0</v>
      </c>
      <c r="M270" t="n">
        <v>0</v>
      </c>
      <c r="N270" t="n">
        <v>0</v>
      </c>
      <c r="O270" t="n">
        <v>0</v>
      </c>
      <c r="P270" t="n">
        <v>0</v>
      </c>
      <c r="Q270" t="n">
        <v>0</v>
      </c>
      <c r="R270" s="2" t="inlineStr"/>
    </row>
    <row r="271" ht="15" customHeight="1">
      <c r="A271" t="inlineStr">
        <is>
          <t>A 42425-2018</t>
        </is>
      </c>
      <c r="B271" s="1" t="n">
        <v>43353</v>
      </c>
      <c r="C271" s="1" t="n">
        <v>45190</v>
      </c>
      <c r="D271" t="inlineStr">
        <is>
          <t>SKÅNE LÄN</t>
        </is>
      </c>
      <c r="E271" t="inlineStr">
        <is>
          <t>BROMÖLLA</t>
        </is>
      </c>
      <c r="G271" t="n">
        <v>0.6</v>
      </c>
      <c r="H271" t="n">
        <v>0</v>
      </c>
      <c r="I271" t="n">
        <v>0</v>
      </c>
      <c r="J271" t="n">
        <v>0</v>
      </c>
      <c r="K271" t="n">
        <v>0</v>
      </c>
      <c r="L271" t="n">
        <v>0</v>
      </c>
      <c r="M271" t="n">
        <v>0</v>
      </c>
      <c r="N271" t="n">
        <v>0</v>
      </c>
      <c r="O271" t="n">
        <v>0</v>
      </c>
      <c r="P271" t="n">
        <v>0</v>
      </c>
      <c r="Q271" t="n">
        <v>0</v>
      </c>
      <c r="R271" s="2" t="inlineStr"/>
    </row>
    <row r="272" ht="15" customHeight="1">
      <c r="A272" t="inlineStr">
        <is>
          <t>A 42451-2018</t>
        </is>
      </c>
      <c r="B272" s="1" t="n">
        <v>43353</v>
      </c>
      <c r="C272" s="1" t="n">
        <v>45190</v>
      </c>
      <c r="D272" t="inlineStr">
        <is>
          <t>SKÅNE LÄN</t>
        </is>
      </c>
      <c r="E272" t="inlineStr">
        <is>
          <t>BROMÖLLA</t>
        </is>
      </c>
      <c r="G272" t="n">
        <v>2.8</v>
      </c>
      <c r="H272" t="n">
        <v>0</v>
      </c>
      <c r="I272" t="n">
        <v>0</v>
      </c>
      <c r="J272" t="n">
        <v>0</v>
      </c>
      <c r="K272" t="n">
        <v>0</v>
      </c>
      <c r="L272" t="n">
        <v>0</v>
      </c>
      <c r="M272" t="n">
        <v>0</v>
      </c>
      <c r="N272" t="n">
        <v>0</v>
      </c>
      <c r="O272" t="n">
        <v>0</v>
      </c>
      <c r="P272" t="n">
        <v>0</v>
      </c>
      <c r="Q272" t="n">
        <v>0</v>
      </c>
      <c r="R272" s="2" t="inlineStr"/>
    </row>
    <row r="273" ht="15" customHeight="1">
      <c r="A273" t="inlineStr">
        <is>
          <t>A 43459-2018</t>
        </is>
      </c>
      <c r="B273" s="1" t="n">
        <v>43354</v>
      </c>
      <c r="C273" s="1" t="n">
        <v>45190</v>
      </c>
      <c r="D273" t="inlineStr">
        <is>
          <t>SKÅNE LÄN</t>
        </is>
      </c>
      <c r="E273" t="inlineStr">
        <is>
          <t>SVALÖV</t>
        </is>
      </c>
      <c r="G273" t="n">
        <v>9</v>
      </c>
      <c r="H273" t="n">
        <v>0</v>
      </c>
      <c r="I273" t="n">
        <v>0</v>
      </c>
      <c r="J273" t="n">
        <v>0</v>
      </c>
      <c r="K273" t="n">
        <v>0</v>
      </c>
      <c r="L273" t="n">
        <v>0</v>
      </c>
      <c r="M273" t="n">
        <v>0</v>
      </c>
      <c r="N273" t="n">
        <v>0</v>
      </c>
      <c r="O273" t="n">
        <v>0</v>
      </c>
      <c r="P273" t="n">
        <v>0</v>
      </c>
      <c r="Q273" t="n">
        <v>0</v>
      </c>
      <c r="R273" s="2" t="inlineStr"/>
    </row>
    <row r="274" ht="15" customHeight="1">
      <c r="A274" t="inlineStr">
        <is>
          <t>A 43111-2018</t>
        </is>
      </c>
      <c r="B274" s="1" t="n">
        <v>43355</v>
      </c>
      <c r="C274" s="1" t="n">
        <v>45190</v>
      </c>
      <c r="D274" t="inlineStr">
        <is>
          <t>SKÅNE LÄN</t>
        </is>
      </c>
      <c r="E274" t="inlineStr">
        <is>
          <t>ÖRKELLJUNGA</t>
        </is>
      </c>
      <c r="G274" t="n">
        <v>3.1</v>
      </c>
      <c r="H274" t="n">
        <v>0</v>
      </c>
      <c r="I274" t="n">
        <v>0</v>
      </c>
      <c r="J274" t="n">
        <v>0</v>
      </c>
      <c r="K274" t="n">
        <v>0</v>
      </c>
      <c r="L274" t="n">
        <v>0</v>
      </c>
      <c r="M274" t="n">
        <v>0</v>
      </c>
      <c r="N274" t="n">
        <v>0</v>
      </c>
      <c r="O274" t="n">
        <v>0</v>
      </c>
      <c r="P274" t="n">
        <v>0</v>
      </c>
      <c r="Q274" t="n">
        <v>0</v>
      </c>
      <c r="R274" s="2" t="inlineStr"/>
    </row>
    <row r="275" ht="15" customHeight="1">
      <c r="A275" t="inlineStr">
        <is>
          <t>A 42989-2018</t>
        </is>
      </c>
      <c r="B275" s="1" t="n">
        <v>43355</v>
      </c>
      <c r="C275" s="1" t="n">
        <v>45190</v>
      </c>
      <c r="D275" t="inlineStr">
        <is>
          <t>SKÅNE LÄN</t>
        </is>
      </c>
      <c r="E275" t="inlineStr">
        <is>
          <t>HÄSSLEHOLM</t>
        </is>
      </c>
      <c r="F275" t="inlineStr">
        <is>
          <t>Övriga Aktiebolag</t>
        </is>
      </c>
      <c r="G275" t="n">
        <v>1.2</v>
      </c>
      <c r="H275" t="n">
        <v>0</v>
      </c>
      <c r="I275" t="n">
        <v>0</v>
      </c>
      <c r="J275" t="n">
        <v>0</v>
      </c>
      <c r="K275" t="n">
        <v>0</v>
      </c>
      <c r="L275" t="n">
        <v>0</v>
      </c>
      <c r="M275" t="n">
        <v>0</v>
      </c>
      <c r="N275" t="n">
        <v>0</v>
      </c>
      <c r="O275" t="n">
        <v>0</v>
      </c>
      <c r="P275" t="n">
        <v>0</v>
      </c>
      <c r="Q275" t="n">
        <v>0</v>
      </c>
      <c r="R275" s="2" t="inlineStr"/>
    </row>
    <row r="276" ht="15" customHeight="1">
      <c r="A276" t="inlineStr">
        <is>
          <t>A 45014-2018</t>
        </is>
      </c>
      <c r="B276" s="1" t="n">
        <v>43356</v>
      </c>
      <c r="C276" s="1" t="n">
        <v>45190</v>
      </c>
      <c r="D276" t="inlineStr">
        <is>
          <t>SKÅNE LÄN</t>
        </is>
      </c>
      <c r="E276" t="inlineStr">
        <is>
          <t>KLIPPAN</t>
        </is>
      </c>
      <c r="G276" t="n">
        <v>4.2</v>
      </c>
      <c r="H276" t="n">
        <v>0</v>
      </c>
      <c r="I276" t="n">
        <v>0</v>
      </c>
      <c r="J276" t="n">
        <v>0</v>
      </c>
      <c r="K276" t="n">
        <v>0</v>
      </c>
      <c r="L276" t="n">
        <v>0</v>
      </c>
      <c r="M276" t="n">
        <v>0</v>
      </c>
      <c r="N276" t="n">
        <v>0</v>
      </c>
      <c r="O276" t="n">
        <v>0</v>
      </c>
      <c r="P276" t="n">
        <v>0</v>
      </c>
      <c r="Q276" t="n">
        <v>0</v>
      </c>
      <c r="R276" s="2" t="inlineStr"/>
    </row>
    <row r="277" ht="15" customHeight="1">
      <c r="A277" t="inlineStr">
        <is>
          <t>A 43749-2018</t>
        </is>
      </c>
      <c r="B277" s="1" t="n">
        <v>43357</v>
      </c>
      <c r="C277" s="1" t="n">
        <v>45190</v>
      </c>
      <c r="D277" t="inlineStr">
        <is>
          <t>SKÅNE LÄN</t>
        </is>
      </c>
      <c r="E277" t="inlineStr">
        <is>
          <t>SJÖBO</t>
        </is>
      </c>
      <c r="G277" t="n">
        <v>1.4</v>
      </c>
      <c r="H277" t="n">
        <v>0</v>
      </c>
      <c r="I277" t="n">
        <v>0</v>
      </c>
      <c r="J277" t="n">
        <v>0</v>
      </c>
      <c r="K277" t="n">
        <v>0</v>
      </c>
      <c r="L277" t="n">
        <v>0</v>
      </c>
      <c r="M277" t="n">
        <v>0</v>
      </c>
      <c r="N277" t="n">
        <v>0</v>
      </c>
      <c r="O277" t="n">
        <v>0</v>
      </c>
      <c r="P277" t="n">
        <v>0</v>
      </c>
      <c r="Q277" t="n">
        <v>0</v>
      </c>
      <c r="R277" s="2" t="inlineStr"/>
    </row>
    <row r="278" ht="15" customHeight="1">
      <c r="A278" t="inlineStr">
        <is>
          <t>A 43772-2018</t>
        </is>
      </c>
      <c r="B278" s="1" t="n">
        <v>43357</v>
      </c>
      <c r="C278" s="1" t="n">
        <v>45190</v>
      </c>
      <c r="D278" t="inlineStr">
        <is>
          <t>SKÅNE LÄN</t>
        </is>
      </c>
      <c r="E278" t="inlineStr">
        <is>
          <t>SJÖBO</t>
        </is>
      </c>
      <c r="G278" t="n">
        <v>0.4</v>
      </c>
      <c r="H278" t="n">
        <v>0</v>
      </c>
      <c r="I278" t="n">
        <v>0</v>
      </c>
      <c r="J278" t="n">
        <v>0</v>
      </c>
      <c r="K278" t="n">
        <v>0</v>
      </c>
      <c r="L278" t="n">
        <v>0</v>
      </c>
      <c r="M278" t="n">
        <v>0</v>
      </c>
      <c r="N278" t="n">
        <v>0</v>
      </c>
      <c r="O278" t="n">
        <v>0</v>
      </c>
      <c r="P278" t="n">
        <v>0</v>
      </c>
      <c r="Q278" t="n">
        <v>0</v>
      </c>
      <c r="R278" s="2" t="inlineStr"/>
    </row>
    <row r="279" ht="15" customHeight="1">
      <c r="A279" t="inlineStr">
        <is>
          <t>A 43851-2018</t>
        </is>
      </c>
      <c r="B279" s="1" t="n">
        <v>43357</v>
      </c>
      <c r="C279" s="1" t="n">
        <v>45190</v>
      </c>
      <c r="D279" t="inlineStr">
        <is>
          <t>SKÅNE LÄN</t>
        </is>
      </c>
      <c r="E279" t="inlineStr">
        <is>
          <t>SJÖBO</t>
        </is>
      </c>
      <c r="G279" t="n">
        <v>0.4</v>
      </c>
      <c r="H279" t="n">
        <v>0</v>
      </c>
      <c r="I279" t="n">
        <v>0</v>
      </c>
      <c r="J279" t="n">
        <v>0</v>
      </c>
      <c r="K279" t="n">
        <v>0</v>
      </c>
      <c r="L279" t="n">
        <v>0</v>
      </c>
      <c r="M279" t="n">
        <v>0</v>
      </c>
      <c r="N279" t="n">
        <v>0</v>
      </c>
      <c r="O279" t="n">
        <v>0</v>
      </c>
      <c r="P279" t="n">
        <v>0</v>
      </c>
      <c r="Q279" t="n">
        <v>0</v>
      </c>
      <c r="R279" s="2" t="inlineStr"/>
    </row>
    <row r="280" ht="15" customHeight="1">
      <c r="A280" t="inlineStr">
        <is>
          <t>A 44943-2018</t>
        </is>
      </c>
      <c r="B280" s="1" t="n">
        <v>43360</v>
      </c>
      <c r="C280" s="1" t="n">
        <v>45190</v>
      </c>
      <c r="D280" t="inlineStr">
        <is>
          <t>SKÅNE LÄN</t>
        </is>
      </c>
      <c r="E280" t="inlineStr">
        <is>
          <t>ÖSTRA GÖINGE</t>
        </is>
      </c>
      <c r="G280" t="n">
        <v>1.8</v>
      </c>
      <c r="H280" t="n">
        <v>0</v>
      </c>
      <c r="I280" t="n">
        <v>0</v>
      </c>
      <c r="J280" t="n">
        <v>0</v>
      </c>
      <c r="K280" t="n">
        <v>0</v>
      </c>
      <c r="L280" t="n">
        <v>0</v>
      </c>
      <c r="M280" t="n">
        <v>0</v>
      </c>
      <c r="N280" t="n">
        <v>0</v>
      </c>
      <c r="O280" t="n">
        <v>0</v>
      </c>
      <c r="P280" t="n">
        <v>0</v>
      </c>
      <c r="Q280" t="n">
        <v>0</v>
      </c>
      <c r="R280" s="2" t="inlineStr"/>
    </row>
    <row r="281" ht="15" customHeight="1">
      <c r="A281" t="inlineStr">
        <is>
          <t>A 44387-2018</t>
        </is>
      </c>
      <c r="B281" s="1" t="n">
        <v>43360</v>
      </c>
      <c r="C281" s="1" t="n">
        <v>45190</v>
      </c>
      <c r="D281" t="inlineStr">
        <is>
          <t>SKÅNE LÄN</t>
        </is>
      </c>
      <c r="E281" t="inlineStr">
        <is>
          <t>BROMÖLLA</t>
        </is>
      </c>
      <c r="G281" t="n">
        <v>0.9</v>
      </c>
      <c r="H281" t="n">
        <v>0</v>
      </c>
      <c r="I281" t="n">
        <v>0</v>
      </c>
      <c r="J281" t="n">
        <v>0</v>
      </c>
      <c r="K281" t="n">
        <v>0</v>
      </c>
      <c r="L281" t="n">
        <v>0</v>
      </c>
      <c r="M281" t="n">
        <v>0</v>
      </c>
      <c r="N281" t="n">
        <v>0</v>
      </c>
      <c r="O281" t="n">
        <v>0</v>
      </c>
      <c r="P281" t="n">
        <v>0</v>
      </c>
      <c r="Q281" t="n">
        <v>0</v>
      </c>
      <c r="R281" s="2" t="inlineStr"/>
    </row>
    <row r="282" ht="15" customHeight="1">
      <c r="A282" t="inlineStr">
        <is>
          <t>A 43966-2018</t>
        </is>
      </c>
      <c r="B282" s="1" t="n">
        <v>43360</v>
      </c>
      <c r="C282" s="1" t="n">
        <v>45190</v>
      </c>
      <c r="D282" t="inlineStr">
        <is>
          <t>SKÅNE LÄN</t>
        </is>
      </c>
      <c r="E282" t="inlineStr">
        <is>
          <t>KRISTIANSTAD</t>
        </is>
      </c>
      <c r="F282" t="inlineStr">
        <is>
          <t>Övriga Aktiebolag</t>
        </is>
      </c>
      <c r="G282" t="n">
        <v>11.9</v>
      </c>
      <c r="H282" t="n">
        <v>0</v>
      </c>
      <c r="I282" t="n">
        <v>0</v>
      </c>
      <c r="J282" t="n">
        <v>0</v>
      </c>
      <c r="K282" t="n">
        <v>0</v>
      </c>
      <c r="L282" t="n">
        <v>0</v>
      </c>
      <c r="M282" t="n">
        <v>0</v>
      </c>
      <c r="N282" t="n">
        <v>0</v>
      </c>
      <c r="O282" t="n">
        <v>0</v>
      </c>
      <c r="P282" t="n">
        <v>0</v>
      </c>
      <c r="Q282" t="n">
        <v>0</v>
      </c>
      <c r="R282" s="2" t="inlineStr"/>
    </row>
    <row r="283" ht="15" customHeight="1">
      <c r="A283" t="inlineStr">
        <is>
          <t>A 45790-2018</t>
        </is>
      </c>
      <c r="B283" s="1" t="n">
        <v>43362</v>
      </c>
      <c r="C283" s="1" t="n">
        <v>45190</v>
      </c>
      <c r="D283" t="inlineStr">
        <is>
          <t>SKÅNE LÄN</t>
        </is>
      </c>
      <c r="E283" t="inlineStr">
        <is>
          <t>ÖSTRA GÖINGE</t>
        </is>
      </c>
      <c r="G283" t="n">
        <v>0.8</v>
      </c>
      <c r="H283" t="n">
        <v>0</v>
      </c>
      <c r="I283" t="n">
        <v>0</v>
      </c>
      <c r="J283" t="n">
        <v>0</v>
      </c>
      <c r="K283" t="n">
        <v>0</v>
      </c>
      <c r="L283" t="n">
        <v>0</v>
      </c>
      <c r="M283" t="n">
        <v>0</v>
      </c>
      <c r="N283" t="n">
        <v>0</v>
      </c>
      <c r="O283" t="n">
        <v>0</v>
      </c>
      <c r="P283" t="n">
        <v>0</v>
      </c>
      <c r="Q283" t="n">
        <v>0</v>
      </c>
      <c r="R283" s="2" t="inlineStr"/>
    </row>
    <row r="284" ht="15" customHeight="1">
      <c r="A284" t="inlineStr">
        <is>
          <t>A 46589-2018</t>
        </is>
      </c>
      <c r="B284" s="1" t="n">
        <v>43363</v>
      </c>
      <c r="C284" s="1" t="n">
        <v>45190</v>
      </c>
      <c r="D284" t="inlineStr">
        <is>
          <t>SKÅNE LÄN</t>
        </is>
      </c>
      <c r="E284" t="inlineStr">
        <is>
          <t>ÖSTRA GÖINGE</t>
        </is>
      </c>
      <c r="G284" t="n">
        <v>1.3</v>
      </c>
      <c r="H284" t="n">
        <v>0</v>
      </c>
      <c r="I284" t="n">
        <v>0</v>
      </c>
      <c r="J284" t="n">
        <v>0</v>
      </c>
      <c r="K284" t="n">
        <v>0</v>
      </c>
      <c r="L284" t="n">
        <v>0</v>
      </c>
      <c r="M284" t="n">
        <v>0</v>
      </c>
      <c r="N284" t="n">
        <v>0</v>
      </c>
      <c r="O284" t="n">
        <v>0</v>
      </c>
      <c r="P284" t="n">
        <v>0</v>
      </c>
      <c r="Q284" t="n">
        <v>0</v>
      </c>
      <c r="R284" s="2" t="inlineStr"/>
    </row>
    <row r="285" ht="15" customHeight="1">
      <c r="A285" t="inlineStr">
        <is>
          <t>A 45825-2018</t>
        </is>
      </c>
      <c r="B285" s="1" t="n">
        <v>43363</v>
      </c>
      <c r="C285" s="1" t="n">
        <v>45190</v>
      </c>
      <c r="D285" t="inlineStr">
        <is>
          <t>SKÅNE LÄN</t>
        </is>
      </c>
      <c r="E285" t="inlineStr">
        <is>
          <t>SVALÖV</t>
        </is>
      </c>
      <c r="G285" t="n">
        <v>1.2</v>
      </c>
      <c r="H285" t="n">
        <v>0</v>
      </c>
      <c r="I285" t="n">
        <v>0</v>
      </c>
      <c r="J285" t="n">
        <v>0</v>
      </c>
      <c r="K285" t="n">
        <v>0</v>
      </c>
      <c r="L285" t="n">
        <v>0</v>
      </c>
      <c r="M285" t="n">
        <v>0</v>
      </c>
      <c r="N285" t="n">
        <v>0</v>
      </c>
      <c r="O285" t="n">
        <v>0</v>
      </c>
      <c r="P285" t="n">
        <v>0</v>
      </c>
      <c r="Q285" t="n">
        <v>0</v>
      </c>
      <c r="R285" s="2" t="inlineStr"/>
    </row>
    <row r="286" ht="15" customHeight="1">
      <c r="A286" t="inlineStr">
        <is>
          <t>A 46091-2018</t>
        </is>
      </c>
      <c r="B286" s="1" t="n">
        <v>43363</v>
      </c>
      <c r="C286" s="1" t="n">
        <v>45190</v>
      </c>
      <c r="D286" t="inlineStr">
        <is>
          <t>SKÅNE LÄN</t>
        </is>
      </c>
      <c r="E286" t="inlineStr">
        <is>
          <t>HÄSSLEHOLM</t>
        </is>
      </c>
      <c r="G286" t="n">
        <v>1.2</v>
      </c>
      <c r="H286" t="n">
        <v>0</v>
      </c>
      <c r="I286" t="n">
        <v>0</v>
      </c>
      <c r="J286" t="n">
        <v>0</v>
      </c>
      <c r="K286" t="n">
        <v>0</v>
      </c>
      <c r="L286" t="n">
        <v>0</v>
      </c>
      <c r="M286" t="n">
        <v>0</v>
      </c>
      <c r="N286" t="n">
        <v>0</v>
      </c>
      <c r="O286" t="n">
        <v>0</v>
      </c>
      <c r="P286" t="n">
        <v>0</v>
      </c>
      <c r="Q286" t="n">
        <v>0</v>
      </c>
      <c r="R286" s="2" t="inlineStr"/>
    </row>
    <row r="287" ht="15" customHeight="1">
      <c r="A287" t="inlineStr">
        <is>
          <t>A 45769-2018</t>
        </is>
      </c>
      <c r="B287" s="1" t="n">
        <v>43364</v>
      </c>
      <c r="C287" s="1" t="n">
        <v>45190</v>
      </c>
      <c r="D287" t="inlineStr">
        <is>
          <t>SKÅNE LÄN</t>
        </is>
      </c>
      <c r="E287" t="inlineStr">
        <is>
          <t>SIMRISHAMN</t>
        </is>
      </c>
      <c r="G287" t="n">
        <v>6.4</v>
      </c>
      <c r="H287" t="n">
        <v>0</v>
      </c>
      <c r="I287" t="n">
        <v>0</v>
      </c>
      <c r="J287" t="n">
        <v>0</v>
      </c>
      <c r="K287" t="n">
        <v>0</v>
      </c>
      <c r="L287" t="n">
        <v>0</v>
      </c>
      <c r="M287" t="n">
        <v>0</v>
      </c>
      <c r="N287" t="n">
        <v>0</v>
      </c>
      <c r="O287" t="n">
        <v>0</v>
      </c>
      <c r="P287" t="n">
        <v>0</v>
      </c>
      <c r="Q287" t="n">
        <v>0</v>
      </c>
      <c r="R287" s="2" t="inlineStr"/>
    </row>
    <row r="288" ht="15" customHeight="1">
      <c r="A288" t="inlineStr">
        <is>
          <t>A 46574-2018</t>
        </is>
      </c>
      <c r="B288" s="1" t="n">
        <v>43364</v>
      </c>
      <c r="C288" s="1" t="n">
        <v>45190</v>
      </c>
      <c r="D288" t="inlineStr">
        <is>
          <t>SKÅNE LÄN</t>
        </is>
      </c>
      <c r="E288" t="inlineStr">
        <is>
          <t>HÄSSLEHOLM</t>
        </is>
      </c>
      <c r="G288" t="n">
        <v>3.2</v>
      </c>
      <c r="H288" t="n">
        <v>0</v>
      </c>
      <c r="I288" t="n">
        <v>0</v>
      </c>
      <c r="J288" t="n">
        <v>0</v>
      </c>
      <c r="K288" t="n">
        <v>0</v>
      </c>
      <c r="L288" t="n">
        <v>0</v>
      </c>
      <c r="M288" t="n">
        <v>0</v>
      </c>
      <c r="N288" t="n">
        <v>0</v>
      </c>
      <c r="O288" t="n">
        <v>0</v>
      </c>
      <c r="P288" t="n">
        <v>0</v>
      </c>
      <c r="Q288" t="n">
        <v>0</v>
      </c>
      <c r="R288" s="2" t="inlineStr"/>
    </row>
    <row r="289" ht="15" customHeight="1">
      <c r="A289" t="inlineStr">
        <is>
          <t>A 45712-2018</t>
        </is>
      </c>
      <c r="B289" s="1" t="n">
        <v>43364</v>
      </c>
      <c r="C289" s="1" t="n">
        <v>45190</v>
      </c>
      <c r="D289" t="inlineStr">
        <is>
          <t>SKÅNE LÄN</t>
        </is>
      </c>
      <c r="E289" t="inlineStr">
        <is>
          <t>SJÖBO</t>
        </is>
      </c>
      <c r="G289" t="n">
        <v>6.1</v>
      </c>
      <c r="H289" t="n">
        <v>0</v>
      </c>
      <c r="I289" t="n">
        <v>0</v>
      </c>
      <c r="J289" t="n">
        <v>0</v>
      </c>
      <c r="K289" t="n">
        <v>0</v>
      </c>
      <c r="L289" t="n">
        <v>0</v>
      </c>
      <c r="M289" t="n">
        <v>0</v>
      </c>
      <c r="N289" t="n">
        <v>0</v>
      </c>
      <c r="O289" t="n">
        <v>0</v>
      </c>
      <c r="P289" t="n">
        <v>0</v>
      </c>
      <c r="Q289" t="n">
        <v>0</v>
      </c>
      <c r="R289" s="2" t="inlineStr"/>
    </row>
    <row r="290" ht="15" customHeight="1">
      <c r="A290" t="inlineStr">
        <is>
          <t>A 46716-2018</t>
        </is>
      </c>
      <c r="B290" s="1" t="n">
        <v>43366</v>
      </c>
      <c r="C290" s="1" t="n">
        <v>45190</v>
      </c>
      <c r="D290" t="inlineStr">
        <is>
          <t>SKÅNE LÄN</t>
        </is>
      </c>
      <c r="E290" t="inlineStr">
        <is>
          <t>KRISTIANSTAD</t>
        </is>
      </c>
      <c r="G290" t="n">
        <v>3</v>
      </c>
      <c r="H290" t="n">
        <v>0</v>
      </c>
      <c r="I290" t="n">
        <v>0</v>
      </c>
      <c r="J290" t="n">
        <v>0</v>
      </c>
      <c r="K290" t="n">
        <v>0</v>
      </c>
      <c r="L290" t="n">
        <v>0</v>
      </c>
      <c r="M290" t="n">
        <v>0</v>
      </c>
      <c r="N290" t="n">
        <v>0</v>
      </c>
      <c r="O290" t="n">
        <v>0</v>
      </c>
      <c r="P290" t="n">
        <v>0</v>
      </c>
      <c r="Q290" t="n">
        <v>0</v>
      </c>
      <c r="R290" s="2" t="inlineStr"/>
    </row>
    <row r="291" ht="15" customHeight="1">
      <c r="A291" t="inlineStr">
        <is>
          <t>A 46883-2018</t>
        </is>
      </c>
      <c r="B291" s="1" t="n">
        <v>43367</v>
      </c>
      <c r="C291" s="1" t="n">
        <v>45190</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47330-2018</t>
        </is>
      </c>
      <c r="B292" s="1" t="n">
        <v>43367</v>
      </c>
      <c r="C292" s="1" t="n">
        <v>45190</v>
      </c>
      <c r="D292" t="inlineStr">
        <is>
          <t>SKÅNE LÄN</t>
        </is>
      </c>
      <c r="E292" t="inlineStr">
        <is>
          <t>ÖSTRA GÖINGE</t>
        </is>
      </c>
      <c r="G292" t="n">
        <v>0.9</v>
      </c>
      <c r="H292" t="n">
        <v>0</v>
      </c>
      <c r="I292" t="n">
        <v>0</v>
      </c>
      <c r="J292" t="n">
        <v>0</v>
      </c>
      <c r="K292" t="n">
        <v>0</v>
      </c>
      <c r="L292" t="n">
        <v>0</v>
      </c>
      <c r="M292" t="n">
        <v>0</v>
      </c>
      <c r="N292" t="n">
        <v>0</v>
      </c>
      <c r="O292" t="n">
        <v>0</v>
      </c>
      <c r="P292" t="n">
        <v>0</v>
      </c>
      <c r="Q292" t="n">
        <v>0</v>
      </c>
      <c r="R292" s="2" t="inlineStr"/>
    </row>
    <row r="293" ht="15" customHeight="1">
      <c r="A293" t="inlineStr">
        <is>
          <t>A 47262-2018</t>
        </is>
      </c>
      <c r="B293" s="1" t="n">
        <v>43368</v>
      </c>
      <c r="C293" s="1" t="n">
        <v>45190</v>
      </c>
      <c r="D293" t="inlineStr">
        <is>
          <t>SKÅNE LÄN</t>
        </is>
      </c>
      <c r="E293" t="inlineStr">
        <is>
          <t>OSBY</t>
        </is>
      </c>
      <c r="G293" t="n">
        <v>1.7</v>
      </c>
      <c r="H293" t="n">
        <v>0</v>
      </c>
      <c r="I293" t="n">
        <v>0</v>
      </c>
      <c r="J293" t="n">
        <v>0</v>
      </c>
      <c r="K293" t="n">
        <v>0</v>
      </c>
      <c r="L293" t="n">
        <v>0</v>
      </c>
      <c r="M293" t="n">
        <v>0</v>
      </c>
      <c r="N293" t="n">
        <v>0</v>
      </c>
      <c r="O293" t="n">
        <v>0</v>
      </c>
      <c r="P293" t="n">
        <v>0</v>
      </c>
      <c r="Q293" t="n">
        <v>0</v>
      </c>
      <c r="R293" s="2" t="inlineStr"/>
    </row>
    <row r="294" ht="15" customHeight="1">
      <c r="A294" t="inlineStr">
        <is>
          <t>A 46668-2018</t>
        </is>
      </c>
      <c r="B294" s="1" t="n">
        <v>43368</v>
      </c>
      <c r="C294" s="1" t="n">
        <v>45190</v>
      </c>
      <c r="D294" t="inlineStr">
        <is>
          <t>SKÅNE LÄN</t>
        </is>
      </c>
      <c r="E294" t="inlineStr">
        <is>
          <t>PERSTORP</t>
        </is>
      </c>
      <c r="F294" t="inlineStr">
        <is>
          <t>Övriga Aktiebolag</t>
        </is>
      </c>
      <c r="G294" t="n">
        <v>0.5</v>
      </c>
      <c r="H294" t="n">
        <v>0</v>
      </c>
      <c r="I294" t="n">
        <v>0</v>
      </c>
      <c r="J294" t="n">
        <v>0</v>
      </c>
      <c r="K294" t="n">
        <v>0</v>
      </c>
      <c r="L294" t="n">
        <v>0</v>
      </c>
      <c r="M294" t="n">
        <v>0</v>
      </c>
      <c r="N294" t="n">
        <v>0</v>
      </c>
      <c r="O294" t="n">
        <v>0</v>
      </c>
      <c r="P294" t="n">
        <v>0</v>
      </c>
      <c r="Q294" t="n">
        <v>0</v>
      </c>
      <c r="R294" s="2" t="inlineStr"/>
    </row>
    <row r="295" ht="15" customHeight="1">
      <c r="A295" t="inlineStr">
        <is>
          <t>A 47706-2018</t>
        </is>
      </c>
      <c r="B295" s="1" t="n">
        <v>43369</v>
      </c>
      <c r="C295" s="1" t="n">
        <v>45190</v>
      </c>
      <c r="D295" t="inlineStr">
        <is>
          <t>SKÅNE LÄN</t>
        </is>
      </c>
      <c r="E295" t="inlineStr">
        <is>
          <t>ÄNGELHOLM</t>
        </is>
      </c>
      <c r="G295" t="n">
        <v>1.8</v>
      </c>
      <c r="H295" t="n">
        <v>0</v>
      </c>
      <c r="I295" t="n">
        <v>0</v>
      </c>
      <c r="J295" t="n">
        <v>0</v>
      </c>
      <c r="K295" t="n">
        <v>0</v>
      </c>
      <c r="L295" t="n">
        <v>0</v>
      </c>
      <c r="M295" t="n">
        <v>0</v>
      </c>
      <c r="N295" t="n">
        <v>0</v>
      </c>
      <c r="O295" t="n">
        <v>0</v>
      </c>
      <c r="P295" t="n">
        <v>0</v>
      </c>
      <c r="Q295" t="n">
        <v>0</v>
      </c>
      <c r="R295" s="2" t="inlineStr"/>
    </row>
    <row r="296" ht="15" customHeight="1">
      <c r="A296" t="inlineStr">
        <is>
          <t>A 48405-2018</t>
        </is>
      </c>
      <c r="B296" s="1" t="n">
        <v>43370</v>
      </c>
      <c r="C296" s="1" t="n">
        <v>45190</v>
      </c>
      <c r="D296" t="inlineStr">
        <is>
          <t>SKÅNE LÄN</t>
        </is>
      </c>
      <c r="E296" t="inlineStr">
        <is>
          <t>ÖSTRA GÖINGE</t>
        </is>
      </c>
      <c r="G296" t="n">
        <v>1.8</v>
      </c>
      <c r="H296" t="n">
        <v>0</v>
      </c>
      <c r="I296" t="n">
        <v>0</v>
      </c>
      <c r="J296" t="n">
        <v>0</v>
      </c>
      <c r="K296" t="n">
        <v>0</v>
      </c>
      <c r="L296" t="n">
        <v>0</v>
      </c>
      <c r="M296" t="n">
        <v>0</v>
      </c>
      <c r="N296" t="n">
        <v>0</v>
      </c>
      <c r="O296" t="n">
        <v>0</v>
      </c>
      <c r="P296" t="n">
        <v>0</v>
      </c>
      <c r="Q296" t="n">
        <v>0</v>
      </c>
      <c r="R296" s="2" t="inlineStr"/>
    </row>
    <row r="297" ht="15" customHeight="1">
      <c r="A297" t="inlineStr">
        <is>
          <t>A 48039-2018</t>
        </is>
      </c>
      <c r="B297" s="1" t="n">
        <v>43370</v>
      </c>
      <c r="C297" s="1" t="n">
        <v>45190</v>
      </c>
      <c r="D297" t="inlineStr">
        <is>
          <t>SKÅNE LÄN</t>
        </is>
      </c>
      <c r="E297" t="inlineStr">
        <is>
          <t>ÄNGELHOLM</t>
        </is>
      </c>
      <c r="G297" t="n">
        <v>1.4</v>
      </c>
      <c r="H297" t="n">
        <v>0</v>
      </c>
      <c r="I297" t="n">
        <v>0</v>
      </c>
      <c r="J297" t="n">
        <v>0</v>
      </c>
      <c r="K297" t="n">
        <v>0</v>
      </c>
      <c r="L297" t="n">
        <v>0</v>
      </c>
      <c r="M297" t="n">
        <v>0</v>
      </c>
      <c r="N297" t="n">
        <v>0</v>
      </c>
      <c r="O297" t="n">
        <v>0</v>
      </c>
      <c r="P297" t="n">
        <v>0</v>
      </c>
      <c r="Q297" t="n">
        <v>0</v>
      </c>
      <c r="R297" s="2" t="inlineStr"/>
    </row>
    <row r="298" ht="15" customHeight="1">
      <c r="A298" t="inlineStr">
        <is>
          <t>A 47741-2018</t>
        </is>
      </c>
      <c r="B298" s="1" t="n">
        <v>43370</v>
      </c>
      <c r="C298" s="1" t="n">
        <v>45190</v>
      </c>
      <c r="D298" t="inlineStr">
        <is>
          <t>SKÅNE LÄN</t>
        </is>
      </c>
      <c r="E298" t="inlineStr">
        <is>
          <t>BJUV</t>
        </is>
      </c>
      <c r="G298" t="n">
        <v>1</v>
      </c>
      <c r="H298" t="n">
        <v>0</v>
      </c>
      <c r="I298" t="n">
        <v>0</v>
      </c>
      <c r="J298" t="n">
        <v>0</v>
      </c>
      <c r="K298" t="n">
        <v>0</v>
      </c>
      <c r="L298" t="n">
        <v>0</v>
      </c>
      <c r="M298" t="n">
        <v>0</v>
      </c>
      <c r="N298" t="n">
        <v>0</v>
      </c>
      <c r="O298" t="n">
        <v>0</v>
      </c>
      <c r="P298" t="n">
        <v>0</v>
      </c>
      <c r="Q298" t="n">
        <v>0</v>
      </c>
      <c r="R298" s="2" t="inlineStr"/>
    </row>
    <row r="299" ht="15" customHeight="1">
      <c r="A299" t="inlineStr">
        <is>
          <t>A 48395-2018</t>
        </is>
      </c>
      <c r="B299" s="1" t="n">
        <v>43370</v>
      </c>
      <c r="C299" s="1" t="n">
        <v>45190</v>
      </c>
      <c r="D299" t="inlineStr">
        <is>
          <t>SKÅNE LÄN</t>
        </is>
      </c>
      <c r="E299" t="inlineStr">
        <is>
          <t>ÖSTRA GÖINGE</t>
        </is>
      </c>
      <c r="G299" t="n">
        <v>10.4</v>
      </c>
      <c r="H299" t="n">
        <v>0</v>
      </c>
      <c r="I299" t="n">
        <v>0</v>
      </c>
      <c r="J299" t="n">
        <v>0</v>
      </c>
      <c r="K299" t="n">
        <v>0</v>
      </c>
      <c r="L299" t="n">
        <v>0</v>
      </c>
      <c r="M299" t="n">
        <v>0</v>
      </c>
      <c r="N299" t="n">
        <v>0</v>
      </c>
      <c r="O299" t="n">
        <v>0</v>
      </c>
      <c r="P299" t="n">
        <v>0</v>
      </c>
      <c r="Q299" t="n">
        <v>0</v>
      </c>
      <c r="R299" s="2" t="inlineStr"/>
    </row>
    <row r="300" ht="15" customHeight="1">
      <c r="A300" t="inlineStr">
        <is>
          <t>A 48384-2018</t>
        </is>
      </c>
      <c r="B300" s="1" t="n">
        <v>43370</v>
      </c>
      <c r="C300" s="1" t="n">
        <v>45190</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48886-2018</t>
        </is>
      </c>
      <c r="B301" s="1" t="n">
        <v>43371</v>
      </c>
      <c r="C301" s="1" t="n">
        <v>45190</v>
      </c>
      <c r="D301" t="inlineStr">
        <is>
          <t>SKÅNE LÄN</t>
        </is>
      </c>
      <c r="E301" t="inlineStr">
        <is>
          <t>ÖSTRA GÖINGE</t>
        </is>
      </c>
      <c r="G301" t="n">
        <v>8.5</v>
      </c>
      <c r="H301" t="n">
        <v>0</v>
      </c>
      <c r="I301" t="n">
        <v>0</v>
      </c>
      <c r="J301" t="n">
        <v>0</v>
      </c>
      <c r="K301" t="n">
        <v>0</v>
      </c>
      <c r="L301" t="n">
        <v>0</v>
      </c>
      <c r="M301" t="n">
        <v>0</v>
      </c>
      <c r="N301" t="n">
        <v>0</v>
      </c>
      <c r="O301" t="n">
        <v>0</v>
      </c>
      <c r="P301" t="n">
        <v>0</v>
      </c>
      <c r="Q301" t="n">
        <v>0</v>
      </c>
      <c r="R301" s="2" t="inlineStr"/>
    </row>
    <row r="302" ht="15" customHeight="1">
      <c r="A302" t="inlineStr">
        <is>
          <t>A 48066-2018</t>
        </is>
      </c>
      <c r="B302" s="1" t="n">
        <v>43371</v>
      </c>
      <c r="C302" s="1" t="n">
        <v>45190</v>
      </c>
      <c r="D302" t="inlineStr">
        <is>
          <t>SKÅNE LÄN</t>
        </is>
      </c>
      <c r="E302" t="inlineStr">
        <is>
          <t>KRISTIANSTAD</t>
        </is>
      </c>
      <c r="G302" t="n">
        <v>2.9</v>
      </c>
      <c r="H302" t="n">
        <v>0</v>
      </c>
      <c r="I302" t="n">
        <v>0</v>
      </c>
      <c r="J302" t="n">
        <v>0</v>
      </c>
      <c r="K302" t="n">
        <v>0</v>
      </c>
      <c r="L302" t="n">
        <v>0</v>
      </c>
      <c r="M302" t="n">
        <v>0</v>
      </c>
      <c r="N302" t="n">
        <v>0</v>
      </c>
      <c r="O302" t="n">
        <v>0</v>
      </c>
      <c r="P302" t="n">
        <v>0</v>
      </c>
      <c r="Q302" t="n">
        <v>0</v>
      </c>
      <c r="R302" s="2" t="inlineStr"/>
    </row>
    <row r="303" ht="15" customHeight="1">
      <c r="A303" t="inlineStr">
        <is>
          <t>A 48550-2018</t>
        </is>
      </c>
      <c r="B303" s="1" t="n">
        <v>43374</v>
      </c>
      <c r="C303" s="1" t="n">
        <v>45190</v>
      </c>
      <c r="D303" t="inlineStr">
        <is>
          <t>SKÅNE LÄN</t>
        </is>
      </c>
      <c r="E303" t="inlineStr">
        <is>
          <t>HÄSSLEHOLM</t>
        </is>
      </c>
      <c r="G303" t="n">
        <v>6</v>
      </c>
      <c r="H303" t="n">
        <v>0</v>
      </c>
      <c r="I303" t="n">
        <v>0</v>
      </c>
      <c r="J303" t="n">
        <v>0</v>
      </c>
      <c r="K303" t="n">
        <v>0</v>
      </c>
      <c r="L303" t="n">
        <v>0</v>
      </c>
      <c r="M303" t="n">
        <v>0</v>
      </c>
      <c r="N303" t="n">
        <v>0</v>
      </c>
      <c r="O303" t="n">
        <v>0</v>
      </c>
      <c r="P303" t="n">
        <v>0</v>
      </c>
      <c r="Q303" t="n">
        <v>0</v>
      </c>
      <c r="R303" s="2" t="inlineStr"/>
    </row>
    <row r="304" ht="15" customHeight="1">
      <c r="A304" t="inlineStr">
        <is>
          <t>A 48560-2018</t>
        </is>
      </c>
      <c r="B304" s="1" t="n">
        <v>43374</v>
      </c>
      <c r="C304" s="1" t="n">
        <v>45190</v>
      </c>
      <c r="D304" t="inlineStr">
        <is>
          <t>SKÅNE LÄN</t>
        </is>
      </c>
      <c r="E304" t="inlineStr">
        <is>
          <t>HÄSSLEHOLM</t>
        </is>
      </c>
      <c r="G304" t="n">
        <v>0.8</v>
      </c>
      <c r="H304" t="n">
        <v>0</v>
      </c>
      <c r="I304" t="n">
        <v>0</v>
      </c>
      <c r="J304" t="n">
        <v>0</v>
      </c>
      <c r="K304" t="n">
        <v>0</v>
      </c>
      <c r="L304" t="n">
        <v>0</v>
      </c>
      <c r="M304" t="n">
        <v>0</v>
      </c>
      <c r="N304" t="n">
        <v>0</v>
      </c>
      <c r="O304" t="n">
        <v>0</v>
      </c>
      <c r="P304" t="n">
        <v>0</v>
      </c>
      <c r="Q304" t="n">
        <v>0</v>
      </c>
      <c r="R304" s="2" t="inlineStr"/>
    </row>
    <row r="305" ht="15" customHeight="1">
      <c r="A305" t="inlineStr">
        <is>
          <t>A 48686-2018</t>
        </is>
      </c>
      <c r="B305" s="1" t="n">
        <v>43374</v>
      </c>
      <c r="C305" s="1" t="n">
        <v>45190</v>
      </c>
      <c r="D305" t="inlineStr">
        <is>
          <t>SKÅNE LÄN</t>
        </is>
      </c>
      <c r="E305" t="inlineStr">
        <is>
          <t>BROMÖLLA</t>
        </is>
      </c>
      <c r="G305" t="n">
        <v>5</v>
      </c>
      <c r="H305" t="n">
        <v>0</v>
      </c>
      <c r="I305" t="n">
        <v>0</v>
      </c>
      <c r="J305" t="n">
        <v>0</v>
      </c>
      <c r="K305" t="n">
        <v>0</v>
      </c>
      <c r="L305" t="n">
        <v>0</v>
      </c>
      <c r="M305" t="n">
        <v>0</v>
      </c>
      <c r="N305" t="n">
        <v>0</v>
      </c>
      <c r="O305" t="n">
        <v>0</v>
      </c>
      <c r="P305" t="n">
        <v>0</v>
      </c>
      <c r="Q305" t="n">
        <v>0</v>
      </c>
      <c r="R305" s="2" t="inlineStr"/>
    </row>
    <row r="306" ht="15" customHeight="1">
      <c r="A306" t="inlineStr">
        <is>
          <t>A 49500-2018</t>
        </is>
      </c>
      <c r="B306" s="1" t="n">
        <v>43374</v>
      </c>
      <c r="C306" s="1" t="n">
        <v>45190</v>
      </c>
      <c r="D306" t="inlineStr">
        <is>
          <t>SKÅNE LÄN</t>
        </is>
      </c>
      <c r="E306" t="inlineStr">
        <is>
          <t>HÄSSLEHOLM</t>
        </is>
      </c>
      <c r="G306" t="n">
        <v>1.6</v>
      </c>
      <c r="H306" t="n">
        <v>0</v>
      </c>
      <c r="I306" t="n">
        <v>0</v>
      </c>
      <c r="J306" t="n">
        <v>0</v>
      </c>
      <c r="K306" t="n">
        <v>0</v>
      </c>
      <c r="L306" t="n">
        <v>0</v>
      </c>
      <c r="M306" t="n">
        <v>0</v>
      </c>
      <c r="N306" t="n">
        <v>0</v>
      </c>
      <c r="O306" t="n">
        <v>0</v>
      </c>
      <c r="P306" t="n">
        <v>0</v>
      </c>
      <c r="Q306" t="n">
        <v>0</v>
      </c>
      <c r="R306" s="2" t="inlineStr"/>
    </row>
    <row r="307" ht="15" customHeight="1">
      <c r="A307" t="inlineStr">
        <is>
          <t>A 48995-2018</t>
        </is>
      </c>
      <c r="B307" s="1" t="n">
        <v>43375</v>
      </c>
      <c r="C307" s="1" t="n">
        <v>45190</v>
      </c>
      <c r="D307" t="inlineStr">
        <is>
          <t>SKÅNE LÄN</t>
        </is>
      </c>
      <c r="E307" t="inlineStr">
        <is>
          <t>KLIPPAN</t>
        </is>
      </c>
      <c r="G307" t="n">
        <v>1.4</v>
      </c>
      <c r="H307" t="n">
        <v>0</v>
      </c>
      <c r="I307" t="n">
        <v>0</v>
      </c>
      <c r="J307" t="n">
        <v>0</v>
      </c>
      <c r="K307" t="n">
        <v>0</v>
      </c>
      <c r="L307" t="n">
        <v>0</v>
      </c>
      <c r="M307" t="n">
        <v>0</v>
      </c>
      <c r="N307" t="n">
        <v>0</v>
      </c>
      <c r="O307" t="n">
        <v>0</v>
      </c>
      <c r="P307" t="n">
        <v>0</v>
      </c>
      <c r="Q307" t="n">
        <v>0</v>
      </c>
      <c r="R307" s="2" t="inlineStr"/>
    </row>
    <row r="308" ht="15" customHeight="1">
      <c r="A308" t="inlineStr">
        <is>
          <t>A 50599-2018</t>
        </is>
      </c>
      <c r="B308" s="1" t="n">
        <v>43376</v>
      </c>
      <c r="C308" s="1" t="n">
        <v>45190</v>
      </c>
      <c r="D308" t="inlineStr">
        <is>
          <t>SKÅNE LÄN</t>
        </is>
      </c>
      <c r="E308" t="inlineStr">
        <is>
          <t>ESLÖV</t>
        </is>
      </c>
      <c r="G308" t="n">
        <v>1.5</v>
      </c>
      <c r="H308" t="n">
        <v>0</v>
      </c>
      <c r="I308" t="n">
        <v>0</v>
      </c>
      <c r="J308" t="n">
        <v>0</v>
      </c>
      <c r="K308" t="n">
        <v>0</v>
      </c>
      <c r="L308" t="n">
        <v>0</v>
      </c>
      <c r="M308" t="n">
        <v>0</v>
      </c>
      <c r="N308" t="n">
        <v>0</v>
      </c>
      <c r="O308" t="n">
        <v>0</v>
      </c>
      <c r="P308" t="n">
        <v>0</v>
      </c>
      <c r="Q308" t="n">
        <v>0</v>
      </c>
      <c r="R308" s="2" t="inlineStr"/>
    </row>
    <row r="309" ht="15" customHeight="1">
      <c r="A309" t="inlineStr">
        <is>
          <t>A 50548-2018</t>
        </is>
      </c>
      <c r="B309" s="1" t="n">
        <v>43376</v>
      </c>
      <c r="C309" s="1" t="n">
        <v>45190</v>
      </c>
      <c r="D309" t="inlineStr">
        <is>
          <t>SKÅNE LÄN</t>
        </is>
      </c>
      <c r="E309" t="inlineStr">
        <is>
          <t>SVALÖV</t>
        </is>
      </c>
      <c r="G309" t="n">
        <v>8.699999999999999</v>
      </c>
      <c r="H309" t="n">
        <v>0</v>
      </c>
      <c r="I309" t="n">
        <v>0</v>
      </c>
      <c r="J309" t="n">
        <v>0</v>
      </c>
      <c r="K309" t="n">
        <v>0</v>
      </c>
      <c r="L309" t="n">
        <v>0</v>
      </c>
      <c r="M309" t="n">
        <v>0</v>
      </c>
      <c r="N309" t="n">
        <v>0</v>
      </c>
      <c r="O309" t="n">
        <v>0</v>
      </c>
      <c r="P309" t="n">
        <v>0</v>
      </c>
      <c r="Q309" t="n">
        <v>0</v>
      </c>
      <c r="R309" s="2" t="inlineStr"/>
    </row>
    <row r="310" ht="15" customHeight="1">
      <c r="A310" t="inlineStr">
        <is>
          <t>A 50545-2018</t>
        </is>
      </c>
      <c r="B310" s="1" t="n">
        <v>43376</v>
      </c>
      <c r="C310" s="1" t="n">
        <v>45190</v>
      </c>
      <c r="D310" t="inlineStr">
        <is>
          <t>SKÅNE LÄN</t>
        </is>
      </c>
      <c r="E310" t="inlineStr">
        <is>
          <t>KRISTIANSTAD</t>
        </is>
      </c>
      <c r="G310" t="n">
        <v>1.5</v>
      </c>
      <c r="H310" t="n">
        <v>0</v>
      </c>
      <c r="I310" t="n">
        <v>0</v>
      </c>
      <c r="J310" t="n">
        <v>0</v>
      </c>
      <c r="K310" t="n">
        <v>0</v>
      </c>
      <c r="L310" t="n">
        <v>0</v>
      </c>
      <c r="M310" t="n">
        <v>0</v>
      </c>
      <c r="N310" t="n">
        <v>0</v>
      </c>
      <c r="O310" t="n">
        <v>0</v>
      </c>
      <c r="P310" t="n">
        <v>0</v>
      </c>
      <c r="Q310" t="n">
        <v>0</v>
      </c>
      <c r="R310" s="2" t="inlineStr"/>
    </row>
    <row r="311" ht="15" customHeight="1">
      <c r="A311" t="inlineStr">
        <is>
          <t>A 50532-2018</t>
        </is>
      </c>
      <c r="B311" s="1" t="n">
        <v>43377</v>
      </c>
      <c r="C311" s="1" t="n">
        <v>45190</v>
      </c>
      <c r="D311" t="inlineStr">
        <is>
          <t>SKÅNE LÄN</t>
        </is>
      </c>
      <c r="E311" t="inlineStr">
        <is>
          <t>HÄSSLEHOLM</t>
        </is>
      </c>
      <c r="G311" t="n">
        <v>2.1</v>
      </c>
      <c r="H311" t="n">
        <v>0</v>
      </c>
      <c r="I311" t="n">
        <v>0</v>
      </c>
      <c r="J311" t="n">
        <v>0</v>
      </c>
      <c r="K311" t="n">
        <v>0</v>
      </c>
      <c r="L311" t="n">
        <v>0</v>
      </c>
      <c r="M311" t="n">
        <v>0</v>
      </c>
      <c r="N311" t="n">
        <v>0</v>
      </c>
      <c r="O311" t="n">
        <v>0</v>
      </c>
      <c r="P311" t="n">
        <v>0</v>
      </c>
      <c r="Q311" t="n">
        <v>0</v>
      </c>
      <c r="R311" s="2" t="inlineStr"/>
    </row>
    <row r="312" ht="15" customHeight="1">
      <c r="A312" t="inlineStr">
        <is>
          <t>A 51168-2018</t>
        </is>
      </c>
      <c r="B312" s="1" t="n">
        <v>43377</v>
      </c>
      <c r="C312" s="1" t="n">
        <v>45190</v>
      </c>
      <c r="D312" t="inlineStr">
        <is>
          <t>SKÅNE LÄN</t>
        </is>
      </c>
      <c r="E312" t="inlineStr">
        <is>
          <t>ÖSTRA GÖINGE</t>
        </is>
      </c>
      <c r="G312" t="n">
        <v>4.1</v>
      </c>
      <c r="H312" t="n">
        <v>0</v>
      </c>
      <c r="I312" t="n">
        <v>0</v>
      </c>
      <c r="J312" t="n">
        <v>0</v>
      </c>
      <c r="K312" t="n">
        <v>0</v>
      </c>
      <c r="L312" t="n">
        <v>0</v>
      </c>
      <c r="M312" t="n">
        <v>0</v>
      </c>
      <c r="N312" t="n">
        <v>0</v>
      </c>
      <c r="O312" t="n">
        <v>0</v>
      </c>
      <c r="P312" t="n">
        <v>0</v>
      </c>
      <c r="Q312" t="n">
        <v>0</v>
      </c>
      <c r="R312" s="2" t="inlineStr"/>
    </row>
    <row r="313" ht="15" customHeight="1">
      <c r="A313" t="inlineStr">
        <is>
          <t>A 51146-2018</t>
        </is>
      </c>
      <c r="B313" s="1" t="n">
        <v>43378</v>
      </c>
      <c r="C313" s="1" t="n">
        <v>45190</v>
      </c>
      <c r="D313" t="inlineStr">
        <is>
          <t>SKÅNE LÄN</t>
        </is>
      </c>
      <c r="E313" t="inlineStr">
        <is>
          <t>PERSTORP</t>
        </is>
      </c>
      <c r="F313" t="inlineStr">
        <is>
          <t>Övriga Aktiebolag</t>
        </is>
      </c>
      <c r="G313" t="n">
        <v>0.9</v>
      </c>
      <c r="H313" t="n">
        <v>0</v>
      </c>
      <c r="I313" t="n">
        <v>0</v>
      </c>
      <c r="J313" t="n">
        <v>0</v>
      </c>
      <c r="K313" t="n">
        <v>0</v>
      </c>
      <c r="L313" t="n">
        <v>0</v>
      </c>
      <c r="M313" t="n">
        <v>0</v>
      </c>
      <c r="N313" t="n">
        <v>0</v>
      </c>
      <c r="O313" t="n">
        <v>0</v>
      </c>
      <c r="P313" t="n">
        <v>0</v>
      </c>
      <c r="Q313" t="n">
        <v>0</v>
      </c>
      <c r="R313" s="2" t="inlineStr"/>
    </row>
    <row r="314" ht="15" customHeight="1">
      <c r="A314" t="inlineStr">
        <is>
          <t>A 50721-2018</t>
        </is>
      </c>
      <c r="B314" s="1" t="n">
        <v>43381</v>
      </c>
      <c r="C314" s="1" t="n">
        <v>45190</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50734-2018</t>
        </is>
      </c>
      <c r="B315" s="1" t="n">
        <v>43381</v>
      </c>
      <c r="C315" s="1" t="n">
        <v>45190</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51459-2018</t>
        </is>
      </c>
      <c r="B316" s="1" t="n">
        <v>43381</v>
      </c>
      <c r="C316" s="1" t="n">
        <v>45190</v>
      </c>
      <c r="D316" t="inlineStr">
        <is>
          <t>SKÅNE LÄN</t>
        </is>
      </c>
      <c r="E316" t="inlineStr">
        <is>
          <t>OSBY</t>
        </is>
      </c>
      <c r="G316" t="n">
        <v>2.2</v>
      </c>
      <c r="H316" t="n">
        <v>0</v>
      </c>
      <c r="I316" t="n">
        <v>0</v>
      </c>
      <c r="J316" t="n">
        <v>0</v>
      </c>
      <c r="K316" t="n">
        <v>0</v>
      </c>
      <c r="L316" t="n">
        <v>0</v>
      </c>
      <c r="M316" t="n">
        <v>0</v>
      </c>
      <c r="N316" t="n">
        <v>0</v>
      </c>
      <c r="O316" t="n">
        <v>0</v>
      </c>
      <c r="P316" t="n">
        <v>0</v>
      </c>
      <c r="Q316" t="n">
        <v>0</v>
      </c>
      <c r="R316" s="2" t="inlineStr"/>
    </row>
    <row r="317" ht="15" customHeight="1">
      <c r="A317" t="inlineStr">
        <is>
          <t>A 50729-2018</t>
        </is>
      </c>
      <c r="B317" s="1" t="n">
        <v>43381</v>
      </c>
      <c r="C317" s="1" t="n">
        <v>45190</v>
      </c>
      <c r="D317" t="inlineStr">
        <is>
          <t>SKÅNE LÄN</t>
        </is>
      </c>
      <c r="E317" t="inlineStr">
        <is>
          <t>HÄSSLEHOLM</t>
        </is>
      </c>
      <c r="G317" t="n">
        <v>0.2</v>
      </c>
      <c r="H317" t="n">
        <v>0</v>
      </c>
      <c r="I317" t="n">
        <v>0</v>
      </c>
      <c r="J317" t="n">
        <v>0</v>
      </c>
      <c r="K317" t="n">
        <v>0</v>
      </c>
      <c r="L317" t="n">
        <v>0</v>
      </c>
      <c r="M317" t="n">
        <v>0</v>
      </c>
      <c r="N317" t="n">
        <v>0</v>
      </c>
      <c r="O317" t="n">
        <v>0</v>
      </c>
      <c r="P317" t="n">
        <v>0</v>
      </c>
      <c r="Q317" t="n">
        <v>0</v>
      </c>
      <c r="R317" s="2" t="inlineStr"/>
    </row>
    <row r="318" ht="15" customHeight="1">
      <c r="A318" t="inlineStr">
        <is>
          <t>A 50723-2018</t>
        </is>
      </c>
      <c r="B318" s="1" t="n">
        <v>43381</v>
      </c>
      <c r="C318" s="1" t="n">
        <v>45190</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51471-2018</t>
        </is>
      </c>
      <c r="B319" s="1" t="n">
        <v>43381</v>
      </c>
      <c r="C319" s="1" t="n">
        <v>45190</v>
      </c>
      <c r="D319" t="inlineStr">
        <is>
          <t>SKÅNE LÄN</t>
        </is>
      </c>
      <c r="E319" t="inlineStr">
        <is>
          <t>OSBY</t>
        </is>
      </c>
      <c r="G319" t="n">
        <v>2.1</v>
      </c>
      <c r="H319" t="n">
        <v>0</v>
      </c>
      <c r="I319" t="n">
        <v>0</v>
      </c>
      <c r="J319" t="n">
        <v>0</v>
      </c>
      <c r="K319" t="n">
        <v>0</v>
      </c>
      <c r="L319" t="n">
        <v>0</v>
      </c>
      <c r="M319" t="n">
        <v>0</v>
      </c>
      <c r="N319" t="n">
        <v>0</v>
      </c>
      <c r="O319" t="n">
        <v>0</v>
      </c>
      <c r="P319" t="n">
        <v>0</v>
      </c>
      <c r="Q319" t="n">
        <v>0</v>
      </c>
      <c r="R319" s="2" t="inlineStr"/>
    </row>
    <row r="320" ht="15" customHeight="1">
      <c r="A320" t="inlineStr">
        <is>
          <t>A 50725-2018</t>
        </is>
      </c>
      <c r="B320" s="1" t="n">
        <v>43381</v>
      </c>
      <c r="C320" s="1" t="n">
        <v>45190</v>
      </c>
      <c r="D320" t="inlineStr">
        <is>
          <t>SKÅNE LÄN</t>
        </is>
      </c>
      <c r="E320" t="inlineStr">
        <is>
          <t>HÄSSLEHOLM</t>
        </is>
      </c>
      <c r="G320" t="n">
        <v>1.5</v>
      </c>
      <c r="H320" t="n">
        <v>0</v>
      </c>
      <c r="I320" t="n">
        <v>0</v>
      </c>
      <c r="J320" t="n">
        <v>0</v>
      </c>
      <c r="K320" t="n">
        <v>0</v>
      </c>
      <c r="L320" t="n">
        <v>0</v>
      </c>
      <c r="M320" t="n">
        <v>0</v>
      </c>
      <c r="N320" t="n">
        <v>0</v>
      </c>
      <c r="O320" t="n">
        <v>0</v>
      </c>
      <c r="P320" t="n">
        <v>0</v>
      </c>
      <c r="Q320" t="n">
        <v>0</v>
      </c>
      <c r="R320" s="2" t="inlineStr"/>
    </row>
    <row r="321" ht="15" customHeight="1">
      <c r="A321" t="inlineStr">
        <is>
          <t>A 51473-2018</t>
        </is>
      </c>
      <c r="B321" s="1" t="n">
        <v>43382</v>
      </c>
      <c r="C321" s="1" t="n">
        <v>45190</v>
      </c>
      <c r="D321" t="inlineStr">
        <is>
          <t>SKÅNE LÄN</t>
        </is>
      </c>
      <c r="E321" t="inlineStr">
        <is>
          <t>ÖSTRA GÖINGE</t>
        </is>
      </c>
      <c r="G321" t="n">
        <v>5.3</v>
      </c>
      <c r="H321" t="n">
        <v>0</v>
      </c>
      <c r="I321" t="n">
        <v>0</v>
      </c>
      <c r="J321" t="n">
        <v>0</v>
      </c>
      <c r="K321" t="n">
        <v>0</v>
      </c>
      <c r="L321" t="n">
        <v>0</v>
      </c>
      <c r="M321" t="n">
        <v>0</v>
      </c>
      <c r="N321" t="n">
        <v>0</v>
      </c>
      <c r="O321" t="n">
        <v>0</v>
      </c>
      <c r="P321" t="n">
        <v>0</v>
      </c>
      <c r="Q321" t="n">
        <v>0</v>
      </c>
      <c r="R321" s="2" t="inlineStr"/>
    </row>
    <row r="322" ht="15" customHeight="1">
      <c r="A322" t="inlineStr">
        <is>
          <t>A 52220-2018</t>
        </is>
      </c>
      <c r="B322" s="1" t="n">
        <v>43382</v>
      </c>
      <c r="C322" s="1" t="n">
        <v>45190</v>
      </c>
      <c r="D322" t="inlineStr">
        <is>
          <t>SKÅNE LÄN</t>
        </is>
      </c>
      <c r="E322" t="inlineStr">
        <is>
          <t>HÄSSLEHOLM</t>
        </is>
      </c>
      <c r="G322" t="n">
        <v>2.5</v>
      </c>
      <c r="H322" t="n">
        <v>0</v>
      </c>
      <c r="I322" t="n">
        <v>0</v>
      </c>
      <c r="J322" t="n">
        <v>0</v>
      </c>
      <c r="K322" t="n">
        <v>0</v>
      </c>
      <c r="L322" t="n">
        <v>0</v>
      </c>
      <c r="M322" t="n">
        <v>0</v>
      </c>
      <c r="N322" t="n">
        <v>0</v>
      </c>
      <c r="O322" t="n">
        <v>0</v>
      </c>
      <c r="P322" t="n">
        <v>0</v>
      </c>
      <c r="Q322" t="n">
        <v>0</v>
      </c>
      <c r="R322" s="2" t="inlineStr"/>
    </row>
    <row r="323" ht="15" customHeight="1">
      <c r="A323" t="inlineStr">
        <is>
          <t>A 52653-2018</t>
        </is>
      </c>
      <c r="B323" s="1" t="n">
        <v>43383</v>
      </c>
      <c r="C323" s="1" t="n">
        <v>45190</v>
      </c>
      <c r="D323" t="inlineStr">
        <is>
          <t>SKÅNE LÄN</t>
        </is>
      </c>
      <c r="E323" t="inlineStr">
        <is>
          <t>ÖSTRA GÖINGE</t>
        </is>
      </c>
      <c r="G323" t="n">
        <v>2</v>
      </c>
      <c r="H323" t="n">
        <v>0</v>
      </c>
      <c r="I323" t="n">
        <v>0</v>
      </c>
      <c r="J323" t="n">
        <v>0</v>
      </c>
      <c r="K323" t="n">
        <v>0</v>
      </c>
      <c r="L323" t="n">
        <v>0</v>
      </c>
      <c r="M323" t="n">
        <v>0</v>
      </c>
      <c r="N323" t="n">
        <v>0</v>
      </c>
      <c r="O323" t="n">
        <v>0</v>
      </c>
      <c r="P323" t="n">
        <v>0</v>
      </c>
      <c r="Q323" t="n">
        <v>0</v>
      </c>
      <c r="R323" s="2" t="inlineStr"/>
    </row>
    <row r="324" ht="15" customHeight="1">
      <c r="A324" t="inlineStr">
        <is>
          <t>A 52892-2018</t>
        </is>
      </c>
      <c r="B324" s="1" t="n">
        <v>43384</v>
      </c>
      <c r="C324" s="1" t="n">
        <v>45190</v>
      </c>
      <c r="D324" t="inlineStr">
        <is>
          <t>SKÅNE LÄN</t>
        </is>
      </c>
      <c r="E324" t="inlineStr">
        <is>
          <t>HÄSSLEHOLM</t>
        </is>
      </c>
      <c r="G324" t="n">
        <v>9</v>
      </c>
      <c r="H324" t="n">
        <v>0</v>
      </c>
      <c r="I324" t="n">
        <v>0</v>
      </c>
      <c r="J324" t="n">
        <v>0</v>
      </c>
      <c r="K324" t="n">
        <v>0</v>
      </c>
      <c r="L324" t="n">
        <v>0</v>
      </c>
      <c r="M324" t="n">
        <v>0</v>
      </c>
      <c r="N324" t="n">
        <v>0</v>
      </c>
      <c r="O324" t="n">
        <v>0</v>
      </c>
      <c r="P324" t="n">
        <v>0</v>
      </c>
      <c r="Q324" t="n">
        <v>0</v>
      </c>
      <c r="R324" s="2" t="inlineStr"/>
    </row>
    <row r="325" ht="15" customHeight="1">
      <c r="A325" t="inlineStr">
        <is>
          <t>A 53602-2018</t>
        </is>
      </c>
      <c r="B325" s="1" t="n">
        <v>43388</v>
      </c>
      <c r="C325" s="1" t="n">
        <v>45190</v>
      </c>
      <c r="D325" t="inlineStr">
        <is>
          <t>SKÅNE LÄN</t>
        </is>
      </c>
      <c r="E325" t="inlineStr">
        <is>
          <t>ÖSTRA GÖINGE</t>
        </is>
      </c>
      <c r="G325" t="n">
        <v>1</v>
      </c>
      <c r="H325" t="n">
        <v>0</v>
      </c>
      <c r="I325" t="n">
        <v>0</v>
      </c>
      <c r="J325" t="n">
        <v>0</v>
      </c>
      <c r="K325" t="n">
        <v>0</v>
      </c>
      <c r="L325" t="n">
        <v>0</v>
      </c>
      <c r="M325" t="n">
        <v>0</v>
      </c>
      <c r="N325" t="n">
        <v>0</v>
      </c>
      <c r="O325" t="n">
        <v>0</v>
      </c>
      <c r="P325" t="n">
        <v>0</v>
      </c>
      <c r="Q325" t="n">
        <v>0</v>
      </c>
      <c r="R325" s="2" t="inlineStr"/>
    </row>
    <row r="326" ht="15" customHeight="1">
      <c r="A326" t="inlineStr">
        <is>
          <t>A 52488-2018</t>
        </is>
      </c>
      <c r="B326" s="1" t="n">
        <v>43388</v>
      </c>
      <c r="C326" s="1" t="n">
        <v>45190</v>
      </c>
      <c r="D326" t="inlineStr">
        <is>
          <t>SKÅNE LÄN</t>
        </is>
      </c>
      <c r="E326" t="inlineStr">
        <is>
          <t>KRISTIANSTAD</t>
        </is>
      </c>
      <c r="G326" t="n">
        <v>12</v>
      </c>
      <c r="H326" t="n">
        <v>0</v>
      </c>
      <c r="I326" t="n">
        <v>0</v>
      </c>
      <c r="J326" t="n">
        <v>0</v>
      </c>
      <c r="K326" t="n">
        <v>0</v>
      </c>
      <c r="L326" t="n">
        <v>0</v>
      </c>
      <c r="M326" t="n">
        <v>0</v>
      </c>
      <c r="N326" t="n">
        <v>0</v>
      </c>
      <c r="O326" t="n">
        <v>0</v>
      </c>
      <c r="P326" t="n">
        <v>0</v>
      </c>
      <c r="Q326" t="n">
        <v>0</v>
      </c>
      <c r="R326" s="2" t="inlineStr"/>
    </row>
    <row r="327" ht="15" customHeight="1">
      <c r="A327" t="inlineStr">
        <is>
          <t>A 53600-2018</t>
        </is>
      </c>
      <c r="B327" s="1" t="n">
        <v>43388</v>
      </c>
      <c r="C327" s="1" t="n">
        <v>45190</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52271-2018</t>
        </is>
      </c>
      <c r="B328" s="1" t="n">
        <v>43388</v>
      </c>
      <c r="C328" s="1" t="n">
        <v>45190</v>
      </c>
      <c r="D328" t="inlineStr">
        <is>
          <t>SKÅNE LÄN</t>
        </is>
      </c>
      <c r="E328" t="inlineStr">
        <is>
          <t>SIMRISHAMN</t>
        </is>
      </c>
      <c r="G328" t="n">
        <v>0.9</v>
      </c>
      <c r="H328" t="n">
        <v>0</v>
      </c>
      <c r="I328" t="n">
        <v>0</v>
      </c>
      <c r="J328" t="n">
        <v>0</v>
      </c>
      <c r="K328" t="n">
        <v>0</v>
      </c>
      <c r="L328" t="n">
        <v>0</v>
      </c>
      <c r="M328" t="n">
        <v>0</v>
      </c>
      <c r="N328" t="n">
        <v>0</v>
      </c>
      <c r="O328" t="n">
        <v>0</v>
      </c>
      <c r="P328" t="n">
        <v>0</v>
      </c>
      <c r="Q328" t="n">
        <v>0</v>
      </c>
      <c r="R328" s="2" t="inlineStr"/>
    </row>
    <row r="329" ht="15" customHeight="1">
      <c r="A329" t="inlineStr">
        <is>
          <t>A 54545-2018</t>
        </is>
      </c>
      <c r="B329" s="1" t="n">
        <v>43389</v>
      </c>
      <c r="C329" s="1" t="n">
        <v>45190</v>
      </c>
      <c r="D329" t="inlineStr">
        <is>
          <t>SKÅNE LÄN</t>
        </is>
      </c>
      <c r="E329" t="inlineStr">
        <is>
          <t>ÖSTRA GÖINGE</t>
        </is>
      </c>
      <c r="G329" t="n">
        <v>2.6</v>
      </c>
      <c r="H329" t="n">
        <v>0</v>
      </c>
      <c r="I329" t="n">
        <v>0</v>
      </c>
      <c r="J329" t="n">
        <v>0</v>
      </c>
      <c r="K329" t="n">
        <v>0</v>
      </c>
      <c r="L329" t="n">
        <v>0</v>
      </c>
      <c r="M329" t="n">
        <v>0</v>
      </c>
      <c r="N329" t="n">
        <v>0</v>
      </c>
      <c r="O329" t="n">
        <v>0</v>
      </c>
      <c r="P329" t="n">
        <v>0</v>
      </c>
      <c r="Q329" t="n">
        <v>0</v>
      </c>
      <c r="R329" s="2" t="inlineStr"/>
    </row>
    <row r="330" ht="15" customHeight="1">
      <c r="A330" t="inlineStr">
        <is>
          <t>A 54349-2018</t>
        </is>
      </c>
      <c r="B330" s="1" t="n">
        <v>43389</v>
      </c>
      <c r="C330" s="1" t="n">
        <v>45190</v>
      </c>
      <c r="D330" t="inlineStr">
        <is>
          <t>SKÅNE LÄN</t>
        </is>
      </c>
      <c r="E330" t="inlineStr">
        <is>
          <t>ÖSTRA GÖINGE</t>
        </is>
      </c>
      <c r="G330" t="n">
        <v>1.2</v>
      </c>
      <c r="H330" t="n">
        <v>0</v>
      </c>
      <c r="I330" t="n">
        <v>0</v>
      </c>
      <c r="J330" t="n">
        <v>0</v>
      </c>
      <c r="K330" t="n">
        <v>0</v>
      </c>
      <c r="L330" t="n">
        <v>0</v>
      </c>
      <c r="M330" t="n">
        <v>0</v>
      </c>
      <c r="N330" t="n">
        <v>0</v>
      </c>
      <c r="O330" t="n">
        <v>0</v>
      </c>
      <c r="P330" t="n">
        <v>0</v>
      </c>
      <c r="Q330" t="n">
        <v>0</v>
      </c>
      <c r="R330" s="2" t="inlineStr"/>
    </row>
    <row r="331" ht="15" customHeight="1">
      <c r="A331" t="inlineStr">
        <is>
          <t>A 54539-2018</t>
        </is>
      </c>
      <c r="B331" s="1" t="n">
        <v>43389</v>
      </c>
      <c r="C331" s="1" t="n">
        <v>45190</v>
      </c>
      <c r="D331" t="inlineStr">
        <is>
          <t>SKÅNE LÄN</t>
        </is>
      </c>
      <c r="E331" t="inlineStr">
        <is>
          <t>ÖSTRA GÖINGE</t>
        </is>
      </c>
      <c r="G331" t="n">
        <v>5.1</v>
      </c>
      <c r="H331" t="n">
        <v>0</v>
      </c>
      <c r="I331" t="n">
        <v>0</v>
      </c>
      <c r="J331" t="n">
        <v>0</v>
      </c>
      <c r="K331" t="n">
        <v>0</v>
      </c>
      <c r="L331" t="n">
        <v>0</v>
      </c>
      <c r="M331" t="n">
        <v>0</v>
      </c>
      <c r="N331" t="n">
        <v>0</v>
      </c>
      <c r="O331" t="n">
        <v>0</v>
      </c>
      <c r="P331" t="n">
        <v>0</v>
      </c>
      <c r="Q331" t="n">
        <v>0</v>
      </c>
      <c r="R331" s="2" t="inlineStr"/>
    </row>
    <row r="332" ht="15" customHeight="1">
      <c r="A332" t="inlineStr">
        <is>
          <t>A 54966-2018</t>
        </is>
      </c>
      <c r="B332" s="1" t="n">
        <v>43396</v>
      </c>
      <c r="C332" s="1" t="n">
        <v>45190</v>
      </c>
      <c r="D332" t="inlineStr">
        <is>
          <t>SKÅNE LÄN</t>
        </is>
      </c>
      <c r="E332" t="inlineStr">
        <is>
          <t>ÖSTRA GÖINGE</t>
        </is>
      </c>
      <c r="G332" t="n">
        <v>0.5</v>
      </c>
      <c r="H332" t="n">
        <v>0</v>
      </c>
      <c r="I332" t="n">
        <v>0</v>
      </c>
      <c r="J332" t="n">
        <v>0</v>
      </c>
      <c r="K332" t="n">
        <v>0</v>
      </c>
      <c r="L332" t="n">
        <v>0</v>
      </c>
      <c r="M332" t="n">
        <v>0</v>
      </c>
      <c r="N332" t="n">
        <v>0</v>
      </c>
      <c r="O332" t="n">
        <v>0</v>
      </c>
      <c r="P332" t="n">
        <v>0</v>
      </c>
      <c r="Q332" t="n">
        <v>0</v>
      </c>
      <c r="R332" s="2" t="inlineStr"/>
    </row>
    <row r="333" ht="15" customHeight="1">
      <c r="A333" t="inlineStr">
        <is>
          <t>A 54965-2018</t>
        </is>
      </c>
      <c r="B333" s="1" t="n">
        <v>43396</v>
      </c>
      <c r="C333" s="1" t="n">
        <v>45190</v>
      </c>
      <c r="D333" t="inlineStr">
        <is>
          <t>SKÅNE LÄN</t>
        </is>
      </c>
      <c r="E333" t="inlineStr">
        <is>
          <t>ÖSTRA GÖINGE</t>
        </is>
      </c>
      <c r="G333" t="n">
        <v>0.5</v>
      </c>
      <c r="H333" t="n">
        <v>0</v>
      </c>
      <c r="I333" t="n">
        <v>0</v>
      </c>
      <c r="J333" t="n">
        <v>0</v>
      </c>
      <c r="K333" t="n">
        <v>0</v>
      </c>
      <c r="L333" t="n">
        <v>0</v>
      </c>
      <c r="M333" t="n">
        <v>0</v>
      </c>
      <c r="N333" t="n">
        <v>0</v>
      </c>
      <c r="O333" t="n">
        <v>0</v>
      </c>
      <c r="P333" t="n">
        <v>0</v>
      </c>
      <c r="Q333" t="n">
        <v>0</v>
      </c>
      <c r="R333" s="2" t="inlineStr"/>
    </row>
    <row r="334" ht="15" customHeight="1">
      <c r="A334" t="inlineStr">
        <is>
          <t>A 57156-2018</t>
        </is>
      </c>
      <c r="B334" s="1" t="n">
        <v>43396</v>
      </c>
      <c r="C334" s="1" t="n">
        <v>45190</v>
      </c>
      <c r="D334" t="inlineStr">
        <is>
          <t>SKÅNE LÄN</t>
        </is>
      </c>
      <c r="E334" t="inlineStr">
        <is>
          <t>SVALÖV</t>
        </is>
      </c>
      <c r="G334" t="n">
        <v>0.9</v>
      </c>
      <c r="H334" t="n">
        <v>0</v>
      </c>
      <c r="I334" t="n">
        <v>0</v>
      </c>
      <c r="J334" t="n">
        <v>0</v>
      </c>
      <c r="K334" t="n">
        <v>0</v>
      </c>
      <c r="L334" t="n">
        <v>0</v>
      </c>
      <c r="M334" t="n">
        <v>0</v>
      </c>
      <c r="N334" t="n">
        <v>0</v>
      </c>
      <c r="O334" t="n">
        <v>0</v>
      </c>
      <c r="P334" t="n">
        <v>0</v>
      </c>
      <c r="Q334" t="n">
        <v>0</v>
      </c>
      <c r="R334" s="2" t="inlineStr"/>
    </row>
    <row r="335" ht="15" customHeight="1">
      <c r="A335" t="inlineStr">
        <is>
          <t>A 57726-2018</t>
        </is>
      </c>
      <c r="B335" s="1" t="n">
        <v>43397</v>
      </c>
      <c r="C335" s="1" t="n">
        <v>45190</v>
      </c>
      <c r="D335" t="inlineStr">
        <is>
          <t>SKÅNE LÄN</t>
        </is>
      </c>
      <c r="E335" t="inlineStr">
        <is>
          <t>HÄSSLEHOLM</t>
        </is>
      </c>
      <c r="G335" t="n">
        <v>3.2</v>
      </c>
      <c r="H335" t="n">
        <v>0</v>
      </c>
      <c r="I335" t="n">
        <v>0</v>
      </c>
      <c r="J335" t="n">
        <v>0</v>
      </c>
      <c r="K335" t="n">
        <v>0</v>
      </c>
      <c r="L335" t="n">
        <v>0</v>
      </c>
      <c r="M335" t="n">
        <v>0</v>
      </c>
      <c r="N335" t="n">
        <v>0</v>
      </c>
      <c r="O335" t="n">
        <v>0</v>
      </c>
      <c r="P335" t="n">
        <v>0</v>
      </c>
      <c r="Q335" t="n">
        <v>0</v>
      </c>
      <c r="R335" s="2" t="inlineStr"/>
    </row>
    <row r="336" ht="15" customHeight="1">
      <c r="A336" t="inlineStr">
        <is>
          <t>A 55296-2018</t>
        </is>
      </c>
      <c r="B336" s="1" t="n">
        <v>43397</v>
      </c>
      <c r="C336" s="1" t="n">
        <v>45190</v>
      </c>
      <c r="D336" t="inlineStr">
        <is>
          <t>SKÅNE LÄN</t>
        </is>
      </c>
      <c r="E336" t="inlineStr">
        <is>
          <t>KRISTIANSTAD</t>
        </is>
      </c>
      <c r="G336" t="n">
        <v>3.5</v>
      </c>
      <c r="H336" t="n">
        <v>0</v>
      </c>
      <c r="I336" t="n">
        <v>0</v>
      </c>
      <c r="J336" t="n">
        <v>0</v>
      </c>
      <c r="K336" t="n">
        <v>0</v>
      </c>
      <c r="L336" t="n">
        <v>0</v>
      </c>
      <c r="M336" t="n">
        <v>0</v>
      </c>
      <c r="N336" t="n">
        <v>0</v>
      </c>
      <c r="O336" t="n">
        <v>0</v>
      </c>
      <c r="P336" t="n">
        <v>0</v>
      </c>
      <c r="Q336" t="n">
        <v>0</v>
      </c>
      <c r="R336" s="2" t="inlineStr"/>
    </row>
    <row r="337" ht="15" customHeight="1">
      <c r="A337" t="inlineStr">
        <is>
          <t>A 55327-2018</t>
        </is>
      </c>
      <c r="B337" s="1" t="n">
        <v>43397</v>
      </c>
      <c r="C337" s="1" t="n">
        <v>45190</v>
      </c>
      <c r="D337" t="inlineStr">
        <is>
          <t>SKÅNE LÄN</t>
        </is>
      </c>
      <c r="E337" t="inlineStr">
        <is>
          <t>KRISTIANSTAD</t>
        </is>
      </c>
      <c r="G337" t="n">
        <v>2.5</v>
      </c>
      <c r="H337" t="n">
        <v>0</v>
      </c>
      <c r="I337" t="n">
        <v>0</v>
      </c>
      <c r="J337" t="n">
        <v>0</v>
      </c>
      <c r="K337" t="n">
        <v>0</v>
      </c>
      <c r="L337" t="n">
        <v>0</v>
      </c>
      <c r="M337" t="n">
        <v>0</v>
      </c>
      <c r="N337" t="n">
        <v>0</v>
      </c>
      <c r="O337" t="n">
        <v>0</v>
      </c>
      <c r="P337" t="n">
        <v>0</v>
      </c>
      <c r="Q337" t="n">
        <v>0</v>
      </c>
      <c r="R337" s="2" t="inlineStr"/>
    </row>
    <row r="338" ht="15" customHeight="1">
      <c r="A338" t="inlineStr">
        <is>
          <t>A 57443-2018</t>
        </is>
      </c>
      <c r="B338" s="1" t="n">
        <v>43397</v>
      </c>
      <c r="C338" s="1" t="n">
        <v>45190</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55308-2018</t>
        </is>
      </c>
      <c r="B339" s="1" t="n">
        <v>43397</v>
      </c>
      <c r="C339" s="1" t="n">
        <v>45190</v>
      </c>
      <c r="D339" t="inlineStr">
        <is>
          <t>SKÅNE LÄN</t>
        </is>
      </c>
      <c r="E339" t="inlineStr">
        <is>
          <t>KRISTIANSTAD</t>
        </is>
      </c>
      <c r="G339" t="n">
        <v>4.7</v>
      </c>
      <c r="H339" t="n">
        <v>0</v>
      </c>
      <c r="I339" t="n">
        <v>0</v>
      </c>
      <c r="J339" t="n">
        <v>0</v>
      </c>
      <c r="K339" t="n">
        <v>0</v>
      </c>
      <c r="L339" t="n">
        <v>0</v>
      </c>
      <c r="M339" t="n">
        <v>0</v>
      </c>
      <c r="N339" t="n">
        <v>0</v>
      </c>
      <c r="O339" t="n">
        <v>0</v>
      </c>
      <c r="P339" t="n">
        <v>0</v>
      </c>
      <c r="Q339" t="n">
        <v>0</v>
      </c>
      <c r="R339" s="2" t="inlineStr"/>
    </row>
    <row r="340" ht="15" customHeight="1">
      <c r="A340" t="inlineStr">
        <is>
          <t>A 55332-2018</t>
        </is>
      </c>
      <c r="B340" s="1" t="n">
        <v>43397</v>
      </c>
      <c r="C340" s="1" t="n">
        <v>45190</v>
      </c>
      <c r="D340" t="inlineStr">
        <is>
          <t>SKÅNE LÄN</t>
        </is>
      </c>
      <c r="E340" t="inlineStr">
        <is>
          <t>KRISTIANSTAD</t>
        </is>
      </c>
      <c r="G340" t="n">
        <v>1.3</v>
      </c>
      <c r="H340" t="n">
        <v>0</v>
      </c>
      <c r="I340" t="n">
        <v>0</v>
      </c>
      <c r="J340" t="n">
        <v>0</v>
      </c>
      <c r="K340" t="n">
        <v>0</v>
      </c>
      <c r="L340" t="n">
        <v>0</v>
      </c>
      <c r="M340" t="n">
        <v>0</v>
      </c>
      <c r="N340" t="n">
        <v>0</v>
      </c>
      <c r="O340" t="n">
        <v>0</v>
      </c>
      <c r="P340" t="n">
        <v>0</v>
      </c>
      <c r="Q340" t="n">
        <v>0</v>
      </c>
      <c r="R340" s="2" t="inlineStr"/>
    </row>
    <row r="341" ht="15" customHeight="1">
      <c r="A341" t="inlineStr">
        <is>
          <t>A 57497-2018</t>
        </is>
      </c>
      <c r="B341" s="1" t="n">
        <v>43397</v>
      </c>
      <c r="C341" s="1" t="n">
        <v>45190</v>
      </c>
      <c r="D341" t="inlineStr">
        <is>
          <t>SKÅNE LÄN</t>
        </is>
      </c>
      <c r="E341" t="inlineStr">
        <is>
          <t>HÄSSLEHOLM</t>
        </is>
      </c>
      <c r="G341" t="n">
        <v>2.8</v>
      </c>
      <c r="H341" t="n">
        <v>0</v>
      </c>
      <c r="I341" t="n">
        <v>0</v>
      </c>
      <c r="J341" t="n">
        <v>0</v>
      </c>
      <c r="K341" t="n">
        <v>0</v>
      </c>
      <c r="L341" t="n">
        <v>0</v>
      </c>
      <c r="M341" t="n">
        <v>0</v>
      </c>
      <c r="N341" t="n">
        <v>0</v>
      </c>
      <c r="O341" t="n">
        <v>0</v>
      </c>
      <c r="P341" t="n">
        <v>0</v>
      </c>
      <c r="Q341" t="n">
        <v>0</v>
      </c>
      <c r="R341" s="2" t="inlineStr"/>
    </row>
    <row r="342" ht="15" customHeight="1">
      <c r="A342" t="inlineStr">
        <is>
          <t>A 55878-2018</t>
        </is>
      </c>
      <c r="B342" s="1" t="n">
        <v>43398</v>
      </c>
      <c r="C342" s="1" t="n">
        <v>45190</v>
      </c>
      <c r="D342" t="inlineStr">
        <is>
          <t>SKÅNE LÄN</t>
        </is>
      </c>
      <c r="E342" t="inlineStr">
        <is>
          <t>HÄSSLEHOLM</t>
        </is>
      </c>
      <c r="G342" t="n">
        <v>2</v>
      </c>
      <c r="H342" t="n">
        <v>0</v>
      </c>
      <c r="I342" t="n">
        <v>0</v>
      </c>
      <c r="J342" t="n">
        <v>0</v>
      </c>
      <c r="K342" t="n">
        <v>0</v>
      </c>
      <c r="L342" t="n">
        <v>0</v>
      </c>
      <c r="M342" t="n">
        <v>0</v>
      </c>
      <c r="N342" t="n">
        <v>0</v>
      </c>
      <c r="O342" t="n">
        <v>0</v>
      </c>
      <c r="P342" t="n">
        <v>0</v>
      </c>
      <c r="Q342" t="n">
        <v>0</v>
      </c>
      <c r="R342" s="2" t="inlineStr"/>
    </row>
    <row r="343" ht="15" customHeight="1">
      <c r="A343" t="inlineStr">
        <is>
          <t>A 58250-2018</t>
        </is>
      </c>
      <c r="B343" s="1" t="n">
        <v>43398</v>
      </c>
      <c r="C343" s="1" t="n">
        <v>45190</v>
      </c>
      <c r="D343" t="inlineStr">
        <is>
          <t>SKÅNE LÄN</t>
        </is>
      </c>
      <c r="E343" t="inlineStr">
        <is>
          <t>HÄSSLEHOLM</t>
        </is>
      </c>
      <c r="G343" t="n">
        <v>0.5</v>
      </c>
      <c r="H343" t="n">
        <v>0</v>
      </c>
      <c r="I343" t="n">
        <v>0</v>
      </c>
      <c r="J343" t="n">
        <v>0</v>
      </c>
      <c r="K343" t="n">
        <v>0</v>
      </c>
      <c r="L343" t="n">
        <v>0</v>
      </c>
      <c r="M343" t="n">
        <v>0</v>
      </c>
      <c r="N343" t="n">
        <v>0</v>
      </c>
      <c r="O343" t="n">
        <v>0</v>
      </c>
      <c r="P343" t="n">
        <v>0</v>
      </c>
      <c r="Q343" t="n">
        <v>0</v>
      </c>
      <c r="R343" s="2" t="inlineStr"/>
    </row>
    <row r="344" ht="15" customHeight="1">
      <c r="A344" t="inlineStr">
        <is>
          <t>A 58249-2018</t>
        </is>
      </c>
      <c r="B344" s="1" t="n">
        <v>43398</v>
      </c>
      <c r="C344" s="1" t="n">
        <v>45190</v>
      </c>
      <c r="D344" t="inlineStr">
        <is>
          <t>SKÅNE LÄN</t>
        </is>
      </c>
      <c r="E344" t="inlineStr">
        <is>
          <t>HÄSSLEHOLM</t>
        </is>
      </c>
      <c r="G344" t="n">
        <v>1.2</v>
      </c>
      <c r="H344" t="n">
        <v>0</v>
      </c>
      <c r="I344" t="n">
        <v>0</v>
      </c>
      <c r="J344" t="n">
        <v>0</v>
      </c>
      <c r="K344" t="n">
        <v>0</v>
      </c>
      <c r="L344" t="n">
        <v>0</v>
      </c>
      <c r="M344" t="n">
        <v>0</v>
      </c>
      <c r="N344" t="n">
        <v>0</v>
      </c>
      <c r="O344" t="n">
        <v>0</v>
      </c>
      <c r="P344" t="n">
        <v>0</v>
      </c>
      <c r="Q344" t="n">
        <v>0</v>
      </c>
      <c r="R344" s="2" t="inlineStr"/>
    </row>
    <row r="345" ht="15" customHeight="1">
      <c r="A345" t="inlineStr">
        <is>
          <t>A 55977-2018</t>
        </is>
      </c>
      <c r="B345" s="1" t="n">
        <v>43398</v>
      </c>
      <c r="C345" s="1" t="n">
        <v>45190</v>
      </c>
      <c r="D345" t="inlineStr">
        <is>
          <t>SKÅNE LÄN</t>
        </is>
      </c>
      <c r="E345" t="inlineStr">
        <is>
          <t>KRISTIANSTAD</t>
        </is>
      </c>
      <c r="G345" t="n">
        <v>1.5</v>
      </c>
      <c r="H345" t="n">
        <v>0</v>
      </c>
      <c r="I345" t="n">
        <v>0</v>
      </c>
      <c r="J345" t="n">
        <v>0</v>
      </c>
      <c r="K345" t="n">
        <v>0</v>
      </c>
      <c r="L345" t="n">
        <v>0</v>
      </c>
      <c r="M345" t="n">
        <v>0</v>
      </c>
      <c r="N345" t="n">
        <v>0</v>
      </c>
      <c r="O345" t="n">
        <v>0</v>
      </c>
      <c r="P345" t="n">
        <v>0</v>
      </c>
      <c r="Q345" t="n">
        <v>0</v>
      </c>
      <c r="R345" s="2" t="inlineStr"/>
    </row>
    <row r="346" ht="15" customHeight="1">
      <c r="A346" t="inlineStr">
        <is>
          <t>A 57935-2018</t>
        </is>
      </c>
      <c r="B346" s="1" t="n">
        <v>43398</v>
      </c>
      <c r="C346" s="1" t="n">
        <v>45190</v>
      </c>
      <c r="D346" t="inlineStr">
        <is>
          <t>SKÅNE LÄN</t>
        </is>
      </c>
      <c r="E346" t="inlineStr">
        <is>
          <t>HÄSSLEHOLM</t>
        </is>
      </c>
      <c r="G346" t="n">
        <v>1.1</v>
      </c>
      <c r="H346" t="n">
        <v>0</v>
      </c>
      <c r="I346" t="n">
        <v>0</v>
      </c>
      <c r="J346" t="n">
        <v>0</v>
      </c>
      <c r="K346" t="n">
        <v>0</v>
      </c>
      <c r="L346" t="n">
        <v>0</v>
      </c>
      <c r="M346" t="n">
        <v>0</v>
      </c>
      <c r="N346" t="n">
        <v>0</v>
      </c>
      <c r="O346" t="n">
        <v>0</v>
      </c>
      <c r="P346" t="n">
        <v>0</v>
      </c>
      <c r="Q346" t="n">
        <v>0</v>
      </c>
      <c r="R346" s="2" t="inlineStr"/>
    </row>
    <row r="347" ht="15" customHeight="1">
      <c r="A347" t="inlineStr">
        <is>
          <t>A 55965-2018</t>
        </is>
      </c>
      <c r="B347" s="1" t="n">
        <v>43398</v>
      </c>
      <c r="C347" s="1" t="n">
        <v>45190</v>
      </c>
      <c r="D347" t="inlineStr">
        <is>
          <t>SKÅNE LÄN</t>
        </is>
      </c>
      <c r="E347" t="inlineStr">
        <is>
          <t>HÄSSLEHOLM</t>
        </is>
      </c>
      <c r="G347" t="n">
        <v>4.4</v>
      </c>
      <c r="H347" t="n">
        <v>0</v>
      </c>
      <c r="I347" t="n">
        <v>0</v>
      </c>
      <c r="J347" t="n">
        <v>0</v>
      </c>
      <c r="K347" t="n">
        <v>0</v>
      </c>
      <c r="L347" t="n">
        <v>0</v>
      </c>
      <c r="M347" t="n">
        <v>0</v>
      </c>
      <c r="N347" t="n">
        <v>0</v>
      </c>
      <c r="O347" t="n">
        <v>0</v>
      </c>
      <c r="P347" t="n">
        <v>0</v>
      </c>
      <c r="Q347" t="n">
        <v>0</v>
      </c>
      <c r="R347" s="2" t="inlineStr"/>
    </row>
    <row r="348" ht="15" customHeight="1">
      <c r="A348" t="inlineStr">
        <is>
          <t>A 56432-2018</t>
        </is>
      </c>
      <c r="B348" s="1" t="n">
        <v>43399</v>
      </c>
      <c r="C348" s="1" t="n">
        <v>45190</v>
      </c>
      <c r="D348" t="inlineStr">
        <is>
          <t>SKÅNE LÄN</t>
        </is>
      </c>
      <c r="E348" t="inlineStr">
        <is>
          <t>HÄSSLEHOLM</t>
        </is>
      </c>
      <c r="G348" t="n">
        <v>2.7</v>
      </c>
      <c r="H348" t="n">
        <v>0</v>
      </c>
      <c r="I348" t="n">
        <v>0</v>
      </c>
      <c r="J348" t="n">
        <v>0</v>
      </c>
      <c r="K348" t="n">
        <v>0</v>
      </c>
      <c r="L348" t="n">
        <v>0</v>
      </c>
      <c r="M348" t="n">
        <v>0</v>
      </c>
      <c r="N348" t="n">
        <v>0</v>
      </c>
      <c r="O348" t="n">
        <v>0</v>
      </c>
      <c r="P348" t="n">
        <v>0</v>
      </c>
      <c r="Q348" t="n">
        <v>0</v>
      </c>
      <c r="R348" s="2" t="inlineStr"/>
    </row>
    <row r="349" ht="15" customHeight="1">
      <c r="A349" t="inlineStr">
        <is>
          <t>A 56859-2018</t>
        </is>
      </c>
      <c r="B349" s="1" t="n">
        <v>43403</v>
      </c>
      <c r="C349" s="1" t="n">
        <v>45190</v>
      </c>
      <c r="D349" t="inlineStr">
        <is>
          <t>SKÅNE LÄN</t>
        </is>
      </c>
      <c r="E349" t="inlineStr">
        <is>
          <t>ESLÖV</t>
        </is>
      </c>
      <c r="G349" t="n">
        <v>2.7</v>
      </c>
      <c r="H349" t="n">
        <v>0</v>
      </c>
      <c r="I349" t="n">
        <v>0</v>
      </c>
      <c r="J349" t="n">
        <v>0</v>
      </c>
      <c r="K349" t="n">
        <v>0</v>
      </c>
      <c r="L349" t="n">
        <v>0</v>
      </c>
      <c r="M349" t="n">
        <v>0</v>
      </c>
      <c r="N349" t="n">
        <v>0</v>
      </c>
      <c r="O349" t="n">
        <v>0</v>
      </c>
      <c r="P349" t="n">
        <v>0</v>
      </c>
      <c r="Q349" t="n">
        <v>0</v>
      </c>
      <c r="R349" s="2" t="inlineStr"/>
    </row>
    <row r="350" ht="15" customHeight="1">
      <c r="A350" t="inlineStr">
        <is>
          <t>A 59835-2018</t>
        </is>
      </c>
      <c r="B350" s="1" t="n">
        <v>43405</v>
      </c>
      <c r="C350" s="1" t="n">
        <v>45190</v>
      </c>
      <c r="D350" t="inlineStr">
        <is>
          <t>SKÅNE LÄN</t>
        </is>
      </c>
      <c r="E350" t="inlineStr">
        <is>
          <t>KRISTIANSTAD</t>
        </is>
      </c>
      <c r="G350" t="n">
        <v>2.2</v>
      </c>
      <c r="H350" t="n">
        <v>0</v>
      </c>
      <c r="I350" t="n">
        <v>0</v>
      </c>
      <c r="J350" t="n">
        <v>0</v>
      </c>
      <c r="K350" t="n">
        <v>0</v>
      </c>
      <c r="L350" t="n">
        <v>0</v>
      </c>
      <c r="M350" t="n">
        <v>0</v>
      </c>
      <c r="N350" t="n">
        <v>0</v>
      </c>
      <c r="O350" t="n">
        <v>0</v>
      </c>
      <c r="P350" t="n">
        <v>0</v>
      </c>
      <c r="Q350" t="n">
        <v>0</v>
      </c>
      <c r="R350" s="2" t="inlineStr"/>
    </row>
    <row r="351" ht="15" customHeight="1">
      <c r="A351" t="inlineStr">
        <is>
          <t>A 60089-2018</t>
        </is>
      </c>
      <c r="B351" s="1" t="n">
        <v>43405</v>
      </c>
      <c r="C351" s="1" t="n">
        <v>45190</v>
      </c>
      <c r="D351" t="inlineStr">
        <is>
          <t>SKÅNE LÄN</t>
        </is>
      </c>
      <c r="E351" t="inlineStr">
        <is>
          <t>KRISTIANSTAD</t>
        </is>
      </c>
      <c r="G351" t="n">
        <v>0.6</v>
      </c>
      <c r="H351" t="n">
        <v>0</v>
      </c>
      <c r="I351" t="n">
        <v>0</v>
      </c>
      <c r="J351" t="n">
        <v>0</v>
      </c>
      <c r="K351" t="n">
        <v>0</v>
      </c>
      <c r="L351" t="n">
        <v>0</v>
      </c>
      <c r="M351" t="n">
        <v>0</v>
      </c>
      <c r="N351" t="n">
        <v>0</v>
      </c>
      <c r="O351" t="n">
        <v>0</v>
      </c>
      <c r="P351" t="n">
        <v>0</v>
      </c>
      <c r="Q351" t="n">
        <v>0</v>
      </c>
      <c r="R351" s="2" t="inlineStr"/>
    </row>
    <row r="352" ht="15" customHeight="1">
      <c r="A352" t="inlineStr">
        <is>
          <t>A 60565-2018</t>
        </is>
      </c>
      <c r="B352" s="1" t="n">
        <v>43406</v>
      </c>
      <c r="C352" s="1" t="n">
        <v>45190</v>
      </c>
      <c r="D352" t="inlineStr">
        <is>
          <t>SKÅNE LÄN</t>
        </is>
      </c>
      <c r="E352" t="inlineStr">
        <is>
          <t>KRISTIANSTAD</t>
        </is>
      </c>
      <c r="G352" t="n">
        <v>2.4</v>
      </c>
      <c r="H352" t="n">
        <v>0</v>
      </c>
      <c r="I352" t="n">
        <v>0</v>
      </c>
      <c r="J352" t="n">
        <v>0</v>
      </c>
      <c r="K352" t="n">
        <v>0</v>
      </c>
      <c r="L352" t="n">
        <v>0</v>
      </c>
      <c r="M352" t="n">
        <v>0</v>
      </c>
      <c r="N352" t="n">
        <v>0</v>
      </c>
      <c r="O352" t="n">
        <v>0</v>
      </c>
      <c r="P352" t="n">
        <v>0</v>
      </c>
      <c r="Q352" t="n">
        <v>0</v>
      </c>
      <c r="R352" s="2" t="inlineStr"/>
    </row>
    <row r="353" ht="15" customHeight="1">
      <c r="A353" t="inlineStr">
        <is>
          <t>A 60502-2018</t>
        </is>
      </c>
      <c r="B353" s="1" t="n">
        <v>43406</v>
      </c>
      <c r="C353" s="1" t="n">
        <v>45190</v>
      </c>
      <c r="D353" t="inlineStr">
        <is>
          <t>SKÅNE LÄN</t>
        </is>
      </c>
      <c r="E353" t="inlineStr">
        <is>
          <t>OSBY</t>
        </is>
      </c>
      <c r="G353" t="n">
        <v>0.5</v>
      </c>
      <c r="H353" t="n">
        <v>0</v>
      </c>
      <c r="I353" t="n">
        <v>0</v>
      </c>
      <c r="J353" t="n">
        <v>0</v>
      </c>
      <c r="K353" t="n">
        <v>0</v>
      </c>
      <c r="L353" t="n">
        <v>0</v>
      </c>
      <c r="M353" t="n">
        <v>0</v>
      </c>
      <c r="N353" t="n">
        <v>0</v>
      </c>
      <c r="O353" t="n">
        <v>0</v>
      </c>
      <c r="P353" t="n">
        <v>0</v>
      </c>
      <c r="Q353" t="n">
        <v>0</v>
      </c>
      <c r="R353" s="2" t="inlineStr"/>
    </row>
    <row r="354" ht="15" customHeight="1">
      <c r="A354" t="inlineStr">
        <is>
          <t>A 60749-2018</t>
        </is>
      </c>
      <c r="B354" s="1" t="n">
        <v>43409</v>
      </c>
      <c r="C354" s="1" t="n">
        <v>45190</v>
      </c>
      <c r="D354" t="inlineStr">
        <is>
          <t>SKÅNE LÄN</t>
        </is>
      </c>
      <c r="E354" t="inlineStr">
        <is>
          <t>KLIPPAN</t>
        </is>
      </c>
      <c r="G354" t="n">
        <v>2.5</v>
      </c>
      <c r="H354" t="n">
        <v>0</v>
      </c>
      <c r="I354" t="n">
        <v>0</v>
      </c>
      <c r="J354" t="n">
        <v>0</v>
      </c>
      <c r="K354" t="n">
        <v>0</v>
      </c>
      <c r="L354" t="n">
        <v>0</v>
      </c>
      <c r="M354" t="n">
        <v>0</v>
      </c>
      <c r="N354" t="n">
        <v>0</v>
      </c>
      <c r="O354" t="n">
        <v>0</v>
      </c>
      <c r="P354" t="n">
        <v>0</v>
      </c>
      <c r="Q354" t="n">
        <v>0</v>
      </c>
      <c r="R354" s="2" t="inlineStr"/>
    </row>
    <row r="355" ht="15" customHeight="1">
      <c r="A355" t="inlineStr">
        <is>
          <t>A 60748-2018</t>
        </is>
      </c>
      <c r="B355" s="1" t="n">
        <v>43409</v>
      </c>
      <c r="C355" s="1" t="n">
        <v>45190</v>
      </c>
      <c r="D355" t="inlineStr">
        <is>
          <t>SKÅNE LÄN</t>
        </is>
      </c>
      <c r="E355" t="inlineStr">
        <is>
          <t>HÄSSLEHOLM</t>
        </is>
      </c>
      <c r="G355" t="n">
        <v>2.5</v>
      </c>
      <c r="H355" t="n">
        <v>0</v>
      </c>
      <c r="I355" t="n">
        <v>0</v>
      </c>
      <c r="J355" t="n">
        <v>0</v>
      </c>
      <c r="K355" t="n">
        <v>0</v>
      </c>
      <c r="L355" t="n">
        <v>0</v>
      </c>
      <c r="M355" t="n">
        <v>0</v>
      </c>
      <c r="N355" t="n">
        <v>0</v>
      </c>
      <c r="O355" t="n">
        <v>0</v>
      </c>
      <c r="P355" t="n">
        <v>0</v>
      </c>
      <c r="Q355" t="n">
        <v>0</v>
      </c>
      <c r="R355" s="2" t="inlineStr"/>
    </row>
    <row r="356" ht="15" customHeight="1">
      <c r="A356" t="inlineStr">
        <is>
          <t>A 60766-2018</t>
        </is>
      </c>
      <c r="B356" s="1" t="n">
        <v>43409</v>
      </c>
      <c r="C356" s="1" t="n">
        <v>45190</v>
      </c>
      <c r="D356" t="inlineStr">
        <is>
          <t>SKÅNE LÄN</t>
        </is>
      </c>
      <c r="E356" t="inlineStr">
        <is>
          <t>KLIPPAN</t>
        </is>
      </c>
      <c r="G356" t="n">
        <v>0.9</v>
      </c>
      <c r="H356" t="n">
        <v>0</v>
      </c>
      <c r="I356" t="n">
        <v>0</v>
      </c>
      <c r="J356" t="n">
        <v>0</v>
      </c>
      <c r="K356" t="n">
        <v>0</v>
      </c>
      <c r="L356" t="n">
        <v>0</v>
      </c>
      <c r="M356" t="n">
        <v>0</v>
      </c>
      <c r="N356" t="n">
        <v>0</v>
      </c>
      <c r="O356" t="n">
        <v>0</v>
      </c>
      <c r="P356" t="n">
        <v>0</v>
      </c>
      <c r="Q356" t="n">
        <v>0</v>
      </c>
      <c r="R356" s="2" t="inlineStr"/>
    </row>
    <row r="357" ht="15" customHeight="1">
      <c r="A357" t="inlineStr">
        <is>
          <t>A 58764-2018</t>
        </is>
      </c>
      <c r="B357" s="1" t="n">
        <v>43410</v>
      </c>
      <c r="C357" s="1" t="n">
        <v>45190</v>
      </c>
      <c r="D357" t="inlineStr">
        <is>
          <t>SKÅNE LÄN</t>
        </is>
      </c>
      <c r="E357" t="inlineStr">
        <is>
          <t>OSBY</t>
        </is>
      </c>
      <c r="G357" t="n">
        <v>8.4</v>
      </c>
      <c r="H357" t="n">
        <v>0</v>
      </c>
      <c r="I357" t="n">
        <v>0</v>
      </c>
      <c r="J357" t="n">
        <v>0</v>
      </c>
      <c r="K357" t="n">
        <v>0</v>
      </c>
      <c r="L357" t="n">
        <v>0</v>
      </c>
      <c r="M357" t="n">
        <v>0</v>
      </c>
      <c r="N357" t="n">
        <v>0</v>
      </c>
      <c r="O357" t="n">
        <v>0</v>
      </c>
      <c r="P357" t="n">
        <v>0</v>
      </c>
      <c r="Q357" t="n">
        <v>0</v>
      </c>
      <c r="R357" s="2" t="inlineStr"/>
    </row>
    <row r="358" ht="15" customHeight="1">
      <c r="A358" t="inlineStr">
        <is>
          <t>A 58966-2018</t>
        </is>
      </c>
      <c r="B358" s="1" t="n">
        <v>43410</v>
      </c>
      <c r="C358" s="1" t="n">
        <v>45190</v>
      </c>
      <c r="D358" t="inlineStr">
        <is>
          <t>SKÅNE LÄN</t>
        </is>
      </c>
      <c r="E358" t="inlineStr">
        <is>
          <t>PERSTORP</t>
        </is>
      </c>
      <c r="G358" t="n">
        <v>11.8</v>
      </c>
      <c r="H358" t="n">
        <v>0</v>
      </c>
      <c r="I358" t="n">
        <v>0</v>
      </c>
      <c r="J358" t="n">
        <v>0</v>
      </c>
      <c r="K358" t="n">
        <v>0</v>
      </c>
      <c r="L358" t="n">
        <v>0</v>
      </c>
      <c r="M358" t="n">
        <v>0</v>
      </c>
      <c r="N358" t="n">
        <v>0</v>
      </c>
      <c r="O358" t="n">
        <v>0</v>
      </c>
      <c r="P358" t="n">
        <v>0</v>
      </c>
      <c r="Q358" t="n">
        <v>0</v>
      </c>
      <c r="R358" s="2" t="inlineStr"/>
    </row>
    <row r="359" ht="15" customHeight="1">
      <c r="A359" t="inlineStr">
        <is>
          <t>A 60850-2018</t>
        </is>
      </c>
      <c r="B359" s="1" t="n">
        <v>43410</v>
      </c>
      <c r="C359" s="1" t="n">
        <v>45190</v>
      </c>
      <c r="D359" t="inlineStr">
        <is>
          <t>SKÅNE LÄN</t>
        </is>
      </c>
      <c r="E359" t="inlineStr">
        <is>
          <t>SJÖBO</t>
        </is>
      </c>
      <c r="G359" t="n">
        <v>3.5</v>
      </c>
      <c r="H359" t="n">
        <v>0</v>
      </c>
      <c r="I359" t="n">
        <v>0</v>
      </c>
      <c r="J359" t="n">
        <v>0</v>
      </c>
      <c r="K359" t="n">
        <v>0</v>
      </c>
      <c r="L359" t="n">
        <v>0</v>
      </c>
      <c r="M359" t="n">
        <v>0</v>
      </c>
      <c r="N359" t="n">
        <v>0</v>
      </c>
      <c r="O359" t="n">
        <v>0</v>
      </c>
      <c r="P359" t="n">
        <v>0</v>
      </c>
      <c r="Q359" t="n">
        <v>0</v>
      </c>
      <c r="R359" s="2" t="inlineStr"/>
    </row>
    <row r="360" ht="15" customHeight="1">
      <c r="A360" t="inlineStr">
        <is>
          <t>A 58955-2018</t>
        </is>
      </c>
      <c r="B360" s="1" t="n">
        <v>43411</v>
      </c>
      <c r="C360" s="1" t="n">
        <v>45190</v>
      </c>
      <c r="D360" t="inlineStr">
        <is>
          <t>SKÅNE LÄN</t>
        </is>
      </c>
      <c r="E360" t="inlineStr">
        <is>
          <t>BROMÖLLA</t>
        </is>
      </c>
      <c r="G360" t="n">
        <v>0.9</v>
      </c>
      <c r="H360" t="n">
        <v>0</v>
      </c>
      <c r="I360" t="n">
        <v>0</v>
      </c>
      <c r="J360" t="n">
        <v>0</v>
      </c>
      <c r="K360" t="n">
        <v>0</v>
      </c>
      <c r="L360" t="n">
        <v>0</v>
      </c>
      <c r="M360" t="n">
        <v>0</v>
      </c>
      <c r="N360" t="n">
        <v>0</v>
      </c>
      <c r="O360" t="n">
        <v>0</v>
      </c>
      <c r="P360" t="n">
        <v>0</v>
      </c>
      <c r="Q360" t="n">
        <v>0</v>
      </c>
      <c r="R360" s="2" t="inlineStr"/>
    </row>
    <row r="361" ht="15" customHeight="1">
      <c r="A361" t="inlineStr">
        <is>
          <t>A 59307-2018</t>
        </is>
      </c>
      <c r="B361" s="1" t="n">
        <v>43411</v>
      </c>
      <c r="C361" s="1" t="n">
        <v>45190</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60242-2018</t>
        </is>
      </c>
      <c r="B362" s="1" t="n">
        <v>43412</v>
      </c>
      <c r="C362" s="1" t="n">
        <v>45190</v>
      </c>
      <c r="D362" t="inlineStr">
        <is>
          <t>SKÅNE LÄN</t>
        </is>
      </c>
      <c r="E362" t="inlineStr">
        <is>
          <t>OSBY</t>
        </is>
      </c>
      <c r="G362" t="n">
        <v>0.8</v>
      </c>
      <c r="H362" t="n">
        <v>0</v>
      </c>
      <c r="I362" t="n">
        <v>0</v>
      </c>
      <c r="J362" t="n">
        <v>0</v>
      </c>
      <c r="K362" t="n">
        <v>0</v>
      </c>
      <c r="L362" t="n">
        <v>0</v>
      </c>
      <c r="M362" t="n">
        <v>0</v>
      </c>
      <c r="N362" t="n">
        <v>0</v>
      </c>
      <c r="O362" t="n">
        <v>0</v>
      </c>
      <c r="P362" t="n">
        <v>0</v>
      </c>
      <c r="Q362" t="n">
        <v>0</v>
      </c>
      <c r="R362" s="2" t="inlineStr"/>
    </row>
    <row r="363" ht="15" customHeight="1">
      <c r="A363" t="inlineStr">
        <is>
          <t>A 60073-2018</t>
        </is>
      </c>
      <c r="B363" s="1" t="n">
        <v>43412</v>
      </c>
      <c r="C363" s="1" t="n">
        <v>45190</v>
      </c>
      <c r="D363" t="inlineStr">
        <is>
          <t>SKÅNE LÄN</t>
        </is>
      </c>
      <c r="E363" t="inlineStr">
        <is>
          <t>OSBY</t>
        </is>
      </c>
      <c r="G363" t="n">
        <v>0.8</v>
      </c>
      <c r="H363" t="n">
        <v>0</v>
      </c>
      <c r="I363" t="n">
        <v>0</v>
      </c>
      <c r="J363" t="n">
        <v>0</v>
      </c>
      <c r="K363" t="n">
        <v>0</v>
      </c>
      <c r="L363" t="n">
        <v>0</v>
      </c>
      <c r="M363" t="n">
        <v>0</v>
      </c>
      <c r="N363" t="n">
        <v>0</v>
      </c>
      <c r="O363" t="n">
        <v>0</v>
      </c>
      <c r="P363" t="n">
        <v>0</v>
      </c>
      <c r="Q363" t="n">
        <v>0</v>
      </c>
      <c r="R363" s="2" t="inlineStr"/>
    </row>
    <row r="364" ht="15" customHeight="1">
      <c r="A364" t="inlineStr">
        <is>
          <t>A 60135-2018</t>
        </is>
      </c>
      <c r="B364" s="1" t="n">
        <v>43412</v>
      </c>
      <c r="C364" s="1" t="n">
        <v>45190</v>
      </c>
      <c r="D364" t="inlineStr">
        <is>
          <t>SKÅNE LÄN</t>
        </is>
      </c>
      <c r="E364" t="inlineStr">
        <is>
          <t>OSBY</t>
        </is>
      </c>
      <c r="G364" t="n">
        <v>0.5</v>
      </c>
      <c r="H364" t="n">
        <v>0</v>
      </c>
      <c r="I364" t="n">
        <v>0</v>
      </c>
      <c r="J364" t="n">
        <v>0</v>
      </c>
      <c r="K364" t="n">
        <v>0</v>
      </c>
      <c r="L364" t="n">
        <v>0</v>
      </c>
      <c r="M364" t="n">
        <v>0</v>
      </c>
      <c r="N364" t="n">
        <v>0</v>
      </c>
      <c r="O364" t="n">
        <v>0</v>
      </c>
      <c r="P364" t="n">
        <v>0</v>
      </c>
      <c r="Q364" t="n">
        <v>0</v>
      </c>
      <c r="R364" s="2" t="inlineStr"/>
    </row>
    <row r="365" ht="15" customHeight="1">
      <c r="A365" t="inlineStr">
        <is>
          <t>A 61515-2018</t>
        </is>
      </c>
      <c r="B365" s="1" t="n">
        <v>43413</v>
      </c>
      <c r="C365" s="1" t="n">
        <v>45190</v>
      </c>
      <c r="D365" t="inlineStr">
        <is>
          <t>SKÅNE LÄN</t>
        </is>
      </c>
      <c r="E365" t="inlineStr">
        <is>
          <t>SVALÖV</t>
        </is>
      </c>
      <c r="G365" t="n">
        <v>1.9</v>
      </c>
      <c r="H365" t="n">
        <v>0</v>
      </c>
      <c r="I365" t="n">
        <v>0</v>
      </c>
      <c r="J365" t="n">
        <v>0</v>
      </c>
      <c r="K365" t="n">
        <v>0</v>
      </c>
      <c r="L365" t="n">
        <v>0</v>
      </c>
      <c r="M365" t="n">
        <v>0</v>
      </c>
      <c r="N365" t="n">
        <v>0</v>
      </c>
      <c r="O365" t="n">
        <v>0</v>
      </c>
      <c r="P365" t="n">
        <v>0</v>
      </c>
      <c r="Q365" t="n">
        <v>0</v>
      </c>
      <c r="R365" s="2" t="inlineStr"/>
    </row>
    <row r="366" ht="15" customHeight="1">
      <c r="A366" t="inlineStr">
        <is>
          <t>A 61934-2018</t>
        </is>
      </c>
      <c r="B366" s="1" t="n">
        <v>43413</v>
      </c>
      <c r="C366" s="1" t="n">
        <v>45190</v>
      </c>
      <c r="D366" t="inlineStr">
        <is>
          <t>SKÅNE LÄN</t>
        </is>
      </c>
      <c r="E366" t="inlineStr">
        <is>
          <t>SVALÖV</t>
        </is>
      </c>
      <c r="G366" t="n">
        <v>11.4</v>
      </c>
      <c r="H366" t="n">
        <v>0</v>
      </c>
      <c r="I366" t="n">
        <v>0</v>
      </c>
      <c r="J366" t="n">
        <v>0</v>
      </c>
      <c r="K366" t="n">
        <v>0</v>
      </c>
      <c r="L366" t="n">
        <v>0</v>
      </c>
      <c r="M366" t="n">
        <v>0</v>
      </c>
      <c r="N366" t="n">
        <v>0</v>
      </c>
      <c r="O366" t="n">
        <v>0</v>
      </c>
      <c r="P366" t="n">
        <v>0</v>
      </c>
      <c r="Q366" t="n">
        <v>0</v>
      </c>
      <c r="R366" s="2" t="inlineStr"/>
    </row>
    <row r="367" ht="15" customHeight="1">
      <c r="A367" t="inlineStr">
        <is>
          <t>A 62293-2018</t>
        </is>
      </c>
      <c r="B367" s="1" t="n">
        <v>43413</v>
      </c>
      <c r="C367" s="1" t="n">
        <v>45190</v>
      </c>
      <c r="D367" t="inlineStr">
        <is>
          <t>SKÅNE LÄN</t>
        </is>
      </c>
      <c r="E367" t="inlineStr">
        <is>
          <t>SVALÖV</t>
        </is>
      </c>
      <c r="G367" t="n">
        <v>3.9</v>
      </c>
      <c r="H367" t="n">
        <v>0</v>
      </c>
      <c r="I367" t="n">
        <v>0</v>
      </c>
      <c r="J367" t="n">
        <v>0</v>
      </c>
      <c r="K367" t="n">
        <v>0</v>
      </c>
      <c r="L367" t="n">
        <v>0</v>
      </c>
      <c r="M367" t="n">
        <v>0</v>
      </c>
      <c r="N367" t="n">
        <v>0</v>
      </c>
      <c r="O367" t="n">
        <v>0</v>
      </c>
      <c r="P367" t="n">
        <v>0</v>
      </c>
      <c r="Q367" t="n">
        <v>0</v>
      </c>
      <c r="R367" s="2" t="inlineStr"/>
    </row>
    <row r="368" ht="15" customHeight="1">
      <c r="A368" t="inlineStr">
        <is>
          <t>A 62615-2018</t>
        </is>
      </c>
      <c r="B368" s="1" t="n">
        <v>43413</v>
      </c>
      <c r="C368" s="1" t="n">
        <v>45190</v>
      </c>
      <c r="D368" t="inlineStr">
        <is>
          <t>SKÅNE LÄN</t>
        </is>
      </c>
      <c r="E368" t="inlineStr">
        <is>
          <t>ESLÖV</t>
        </is>
      </c>
      <c r="G368" t="n">
        <v>2.6</v>
      </c>
      <c r="H368" t="n">
        <v>0</v>
      </c>
      <c r="I368" t="n">
        <v>0</v>
      </c>
      <c r="J368" t="n">
        <v>0</v>
      </c>
      <c r="K368" t="n">
        <v>0</v>
      </c>
      <c r="L368" t="n">
        <v>0</v>
      </c>
      <c r="M368" t="n">
        <v>0</v>
      </c>
      <c r="N368" t="n">
        <v>0</v>
      </c>
      <c r="O368" t="n">
        <v>0</v>
      </c>
      <c r="P368" t="n">
        <v>0</v>
      </c>
      <c r="Q368" t="n">
        <v>0</v>
      </c>
      <c r="R368" s="2" t="inlineStr"/>
    </row>
    <row r="369" ht="15" customHeight="1">
      <c r="A369" t="inlineStr">
        <is>
          <t>A 62854-2018</t>
        </is>
      </c>
      <c r="B369" s="1" t="n">
        <v>43413</v>
      </c>
      <c r="C369" s="1" t="n">
        <v>45190</v>
      </c>
      <c r="D369" t="inlineStr">
        <is>
          <t>SKÅNE LÄN</t>
        </is>
      </c>
      <c r="E369" t="inlineStr">
        <is>
          <t>ESLÖV</t>
        </is>
      </c>
      <c r="G369" t="n">
        <v>9.1</v>
      </c>
      <c r="H369" t="n">
        <v>0</v>
      </c>
      <c r="I369" t="n">
        <v>0</v>
      </c>
      <c r="J369" t="n">
        <v>0</v>
      </c>
      <c r="K369" t="n">
        <v>0</v>
      </c>
      <c r="L369" t="n">
        <v>0</v>
      </c>
      <c r="M369" t="n">
        <v>0</v>
      </c>
      <c r="N369" t="n">
        <v>0</v>
      </c>
      <c r="O369" t="n">
        <v>0</v>
      </c>
      <c r="P369" t="n">
        <v>0</v>
      </c>
      <c r="Q369" t="n">
        <v>0</v>
      </c>
      <c r="R369" s="2" t="inlineStr"/>
    </row>
    <row r="370" ht="15" customHeight="1">
      <c r="A370" t="inlineStr">
        <is>
          <t>A 58992-2018</t>
        </is>
      </c>
      <c r="B370" s="1" t="n">
        <v>43413</v>
      </c>
      <c r="C370" s="1" t="n">
        <v>45190</v>
      </c>
      <c r="D370" t="inlineStr">
        <is>
          <t>SKÅNE LÄN</t>
        </is>
      </c>
      <c r="E370" t="inlineStr">
        <is>
          <t>OSBY</t>
        </is>
      </c>
      <c r="G370" t="n">
        <v>0.5</v>
      </c>
      <c r="H370" t="n">
        <v>0</v>
      </c>
      <c r="I370" t="n">
        <v>0</v>
      </c>
      <c r="J370" t="n">
        <v>0</v>
      </c>
      <c r="K370" t="n">
        <v>0</v>
      </c>
      <c r="L370" t="n">
        <v>0</v>
      </c>
      <c r="M370" t="n">
        <v>0</v>
      </c>
      <c r="N370" t="n">
        <v>0</v>
      </c>
      <c r="O370" t="n">
        <v>0</v>
      </c>
      <c r="P370" t="n">
        <v>0</v>
      </c>
      <c r="Q370" t="n">
        <v>0</v>
      </c>
      <c r="R370" s="2" t="inlineStr"/>
    </row>
    <row r="371" ht="15" customHeight="1">
      <c r="A371" t="inlineStr">
        <is>
          <t>A 62313-2018</t>
        </is>
      </c>
      <c r="B371" s="1" t="n">
        <v>43413</v>
      </c>
      <c r="C371" s="1" t="n">
        <v>45190</v>
      </c>
      <c r="D371" t="inlineStr">
        <is>
          <t>SKÅNE LÄN</t>
        </is>
      </c>
      <c r="E371" t="inlineStr">
        <is>
          <t>ESLÖV</t>
        </is>
      </c>
      <c r="G371" t="n">
        <v>1.5</v>
      </c>
      <c r="H371" t="n">
        <v>0</v>
      </c>
      <c r="I371" t="n">
        <v>0</v>
      </c>
      <c r="J371" t="n">
        <v>0</v>
      </c>
      <c r="K371" t="n">
        <v>0</v>
      </c>
      <c r="L371" t="n">
        <v>0</v>
      </c>
      <c r="M371" t="n">
        <v>0</v>
      </c>
      <c r="N371" t="n">
        <v>0</v>
      </c>
      <c r="O371" t="n">
        <v>0</v>
      </c>
      <c r="P371" t="n">
        <v>0</v>
      </c>
      <c r="Q371" t="n">
        <v>0</v>
      </c>
      <c r="R371" s="2" t="inlineStr"/>
    </row>
    <row r="372" ht="15" customHeight="1">
      <c r="A372" t="inlineStr">
        <is>
          <t>A 62841-2018</t>
        </is>
      </c>
      <c r="B372" s="1" t="n">
        <v>43413</v>
      </c>
      <c r="C372" s="1" t="n">
        <v>45190</v>
      </c>
      <c r="D372" t="inlineStr">
        <is>
          <t>SKÅNE LÄN</t>
        </is>
      </c>
      <c r="E372" t="inlineStr">
        <is>
          <t>ESLÖV</t>
        </is>
      </c>
      <c r="G372" t="n">
        <v>2.1</v>
      </c>
      <c r="H372" t="n">
        <v>0</v>
      </c>
      <c r="I372" t="n">
        <v>0</v>
      </c>
      <c r="J372" t="n">
        <v>0</v>
      </c>
      <c r="K372" t="n">
        <v>0</v>
      </c>
      <c r="L372" t="n">
        <v>0</v>
      </c>
      <c r="M372" t="n">
        <v>0</v>
      </c>
      <c r="N372" t="n">
        <v>0</v>
      </c>
      <c r="O372" t="n">
        <v>0</v>
      </c>
      <c r="P372" t="n">
        <v>0</v>
      </c>
      <c r="Q372" t="n">
        <v>0</v>
      </c>
      <c r="R372" s="2" t="inlineStr"/>
    </row>
    <row r="373" ht="15" customHeight="1">
      <c r="A373" t="inlineStr">
        <is>
          <t>A 62881-2018</t>
        </is>
      </c>
      <c r="B373" s="1" t="n">
        <v>43413</v>
      </c>
      <c r="C373" s="1" t="n">
        <v>45190</v>
      </c>
      <c r="D373" t="inlineStr">
        <is>
          <t>SKÅNE LÄN</t>
        </is>
      </c>
      <c r="E373" t="inlineStr">
        <is>
          <t>ESLÖV</t>
        </is>
      </c>
      <c r="G373" t="n">
        <v>3.4</v>
      </c>
      <c r="H373" t="n">
        <v>0</v>
      </c>
      <c r="I373" t="n">
        <v>0</v>
      </c>
      <c r="J373" t="n">
        <v>0</v>
      </c>
      <c r="K373" t="n">
        <v>0</v>
      </c>
      <c r="L373" t="n">
        <v>0</v>
      </c>
      <c r="M373" t="n">
        <v>0</v>
      </c>
      <c r="N373" t="n">
        <v>0</v>
      </c>
      <c r="O373" t="n">
        <v>0</v>
      </c>
      <c r="P373" t="n">
        <v>0</v>
      </c>
      <c r="Q373" t="n">
        <v>0</v>
      </c>
      <c r="R373" s="2" t="inlineStr"/>
    </row>
    <row r="374" ht="15" customHeight="1">
      <c r="A374" t="inlineStr">
        <is>
          <t>A 61914-2018</t>
        </is>
      </c>
      <c r="B374" s="1" t="n">
        <v>43413</v>
      </c>
      <c r="C374" s="1" t="n">
        <v>45190</v>
      </c>
      <c r="D374" t="inlineStr">
        <is>
          <t>SKÅNE LÄN</t>
        </is>
      </c>
      <c r="E374" t="inlineStr">
        <is>
          <t>SVALÖV</t>
        </is>
      </c>
      <c r="G374" t="n">
        <v>28.2</v>
      </c>
      <c r="H374" t="n">
        <v>0</v>
      </c>
      <c r="I374" t="n">
        <v>0</v>
      </c>
      <c r="J374" t="n">
        <v>0</v>
      </c>
      <c r="K374" t="n">
        <v>0</v>
      </c>
      <c r="L374" t="n">
        <v>0</v>
      </c>
      <c r="M374" t="n">
        <v>0</v>
      </c>
      <c r="N374" t="n">
        <v>0</v>
      </c>
      <c r="O374" t="n">
        <v>0</v>
      </c>
      <c r="P374" t="n">
        <v>0</v>
      </c>
      <c r="Q374" t="n">
        <v>0</v>
      </c>
      <c r="R374" s="2" t="inlineStr"/>
    </row>
    <row r="375" ht="15" customHeight="1">
      <c r="A375" t="inlineStr">
        <is>
          <t>A 62290-2018</t>
        </is>
      </c>
      <c r="B375" s="1" t="n">
        <v>43413</v>
      </c>
      <c r="C375" s="1" t="n">
        <v>45190</v>
      </c>
      <c r="D375" t="inlineStr">
        <is>
          <t>SKÅNE LÄN</t>
        </is>
      </c>
      <c r="E375" t="inlineStr">
        <is>
          <t>SVALÖV</t>
        </is>
      </c>
      <c r="G375" t="n">
        <v>0.7</v>
      </c>
      <c r="H375" t="n">
        <v>0</v>
      </c>
      <c r="I375" t="n">
        <v>0</v>
      </c>
      <c r="J375" t="n">
        <v>0</v>
      </c>
      <c r="K375" t="n">
        <v>0</v>
      </c>
      <c r="L375" t="n">
        <v>0</v>
      </c>
      <c r="M375" t="n">
        <v>0</v>
      </c>
      <c r="N375" t="n">
        <v>0</v>
      </c>
      <c r="O375" t="n">
        <v>0</v>
      </c>
      <c r="P375" t="n">
        <v>0</v>
      </c>
      <c r="Q375" t="n">
        <v>0</v>
      </c>
      <c r="R375" s="2" t="inlineStr"/>
    </row>
    <row r="376" ht="15" customHeight="1">
      <c r="A376" t="inlineStr">
        <is>
          <t>A 62676-2018</t>
        </is>
      </c>
      <c r="B376" s="1" t="n">
        <v>43413</v>
      </c>
      <c r="C376" s="1" t="n">
        <v>45190</v>
      </c>
      <c r="D376" t="inlineStr">
        <is>
          <t>SKÅNE LÄN</t>
        </is>
      </c>
      <c r="E376" t="inlineStr">
        <is>
          <t>KRISTIANSTAD</t>
        </is>
      </c>
      <c r="G376" t="n">
        <v>2.3</v>
      </c>
      <c r="H376" t="n">
        <v>0</v>
      </c>
      <c r="I376" t="n">
        <v>0</v>
      </c>
      <c r="J376" t="n">
        <v>0</v>
      </c>
      <c r="K376" t="n">
        <v>0</v>
      </c>
      <c r="L376" t="n">
        <v>0</v>
      </c>
      <c r="M376" t="n">
        <v>0</v>
      </c>
      <c r="N376" t="n">
        <v>0</v>
      </c>
      <c r="O376" t="n">
        <v>0</v>
      </c>
      <c r="P376" t="n">
        <v>0</v>
      </c>
      <c r="Q376" t="n">
        <v>0</v>
      </c>
      <c r="R376" s="2" t="inlineStr"/>
    </row>
    <row r="377" ht="15" customHeight="1">
      <c r="A377" t="inlineStr">
        <is>
          <t>A 62849-2018</t>
        </is>
      </c>
      <c r="B377" s="1" t="n">
        <v>43413</v>
      </c>
      <c r="C377" s="1" t="n">
        <v>45190</v>
      </c>
      <c r="D377" t="inlineStr">
        <is>
          <t>SKÅNE LÄN</t>
        </is>
      </c>
      <c r="E377" t="inlineStr">
        <is>
          <t>ESLÖV</t>
        </is>
      </c>
      <c r="G377" t="n">
        <v>5.5</v>
      </c>
      <c r="H377" t="n">
        <v>0</v>
      </c>
      <c r="I377" t="n">
        <v>0</v>
      </c>
      <c r="J377" t="n">
        <v>0</v>
      </c>
      <c r="K377" t="n">
        <v>0</v>
      </c>
      <c r="L377" t="n">
        <v>0</v>
      </c>
      <c r="M377" t="n">
        <v>0</v>
      </c>
      <c r="N377" t="n">
        <v>0</v>
      </c>
      <c r="O377" t="n">
        <v>0</v>
      </c>
      <c r="P377" t="n">
        <v>0</v>
      </c>
      <c r="Q377" t="n">
        <v>0</v>
      </c>
      <c r="R377" s="2" t="inlineStr"/>
    </row>
    <row r="378" ht="15" customHeight="1">
      <c r="A378" t="inlineStr">
        <is>
          <t>A 61447-2018</t>
        </is>
      </c>
      <c r="B378" s="1" t="n">
        <v>43413</v>
      </c>
      <c r="C378" s="1" t="n">
        <v>45190</v>
      </c>
      <c r="D378" t="inlineStr">
        <is>
          <t>SKÅNE LÄN</t>
        </is>
      </c>
      <c r="E378" t="inlineStr">
        <is>
          <t>SVALÖV</t>
        </is>
      </c>
      <c r="G378" t="n">
        <v>13.3</v>
      </c>
      <c r="H378" t="n">
        <v>0</v>
      </c>
      <c r="I378" t="n">
        <v>0</v>
      </c>
      <c r="J378" t="n">
        <v>0</v>
      </c>
      <c r="K378" t="n">
        <v>0</v>
      </c>
      <c r="L378" t="n">
        <v>0</v>
      </c>
      <c r="M378" t="n">
        <v>0</v>
      </c>
      <c r="N378" t="n">
        <v>0</v>
      </c>
      <c r="O378" t="n">
        <v>0</v>
      </c>
      <c r="P378" t="n">
        <v>0</v>
      </c>
      <c r="Q378" t="n">
        <v>0</v>
      </c>
      <c r="R378" s="2" t="inlineStr"/>
    </row>
    <row r="379" ht="15" customHeight="1">
      <c r="A379" t="inlineStr">
        <is>
          <t>A 62141-2018</t>
        </is>
      </c>
      <c r="B379" s="1" t="n">
        <v>43413</v>
      </c>
      <c r="C379" s="1" t="n">
        <v>45190</v>
      </c>
      <c r="D379" t="inlineStr">
        <is>
          <t>SKÅNE LÄN</t>
        </is>
      </c>
      <c r="E379" t="inlineStr">
        <is>
          <t>SVALÖV</t>
        </is>
      </c>
      <c r="G379" t="n">
        <v>10.1</v>
      </c>
      <c r="H379" t="n">
        <v>0</v>
      </c>
      <c r="I379" t="n">
        <v>0</v>
      </c>
      <c r="J379" t="n">
        <v>0</v>
      </c>
      <c r="K379" t="n">
        <v>0</v>
      </c>
      <c r="L379" t="n">
        <v>0</v>
      </c>
      <c r="M379" t="n">
        <v>0</v>
      </c>
      <c r="N379" t="n">
        <v>0</v>
      </c>
      <c r="O379" t="n">
        <v>0</v>
      </c>
      <c r="P379" t="n">
        <v>0</v>
      </c>
      <c r="Q379" t="n">
        <v>0</v>
      </c>
      <c r="R379" s="2" t="inlineStr"/>
    </row>
    <row r="380" ht="15" customHeight="1">
      <c r="A380" t="inlineStr">
        <is>
          <t>A 62816-2018</t>
        </is>
      </c>
      <c r="B380" s="1" t="n">
        <v>43413</v>
      </c>
      <c r="C380" s="1" t="n">
        <v>45190</v>
      </c>
      <c r="D380" t="inlineStr">
        <is>
          <t>SKÅNE LÄN</t>
        </is>
      </c>
      <c r="E380" t="inlineStr">
        <is>
          <t>ESLÖV</t>
        </is>
      </c>
      <c r="G380" t="n">
        <v>5.9</v>
      </c>
      <c r="H380" t="n">
        <v>0</v>
      </c>
      <c r="I380" t="n">
        <v>0</v>
      </c>
      <c r="J380" t="n">
        <v>0</v>
      </c>
      <c r="K380" t="n">
        <v>0</v>
      </c>
      <c r="L380" t="n">
        <v>0</v>
      </c>
      <c r="M380" t="n">
        <v>0</v>
      </c>
      <c r="N380" t="n">
        <v>0</v>
      </c>
      <c r="O380" t="n">
        <v>0</v>
      </c>
      <c r="P380" t="n">
        <v>0</v>
      </c>
      <c r="Q380" t="n">
        <v>0</v>
      </c>
      <c r="R380" s="2" t="inlineStr"/>
    </row>
    <row r="381" ht="15" customHeight="1">
      <c r="A381" t="inlineStr">
        <is>
          <t>A 63298-2018</t>
        </is>
      </c>
      <c r="B381" s="1" t="n">
        <v>43416</v>
      </c>
      <c r="C381" s="1" t="n">
        <v>45190</v>
      </c>
      <c r="D381" t="inlineStr">
        <is>
          <t>SKÅNE LÄN</t>
        </is>
      </c>
      <c r="E381" t="inlineStr">
        <is>
          <t>KRISTIANSTAD</t>
        </is>
      </c>
      <c r="G381" t="n">
        <v>0.5</v>
      </c>
      <c r="H381" t="n">
        <v>0</v>
      </c>
      <c r="I381" t="n">
        <v>0</v>
      </c>
      <c r="J381" t="n">
        <v>0</v>
      </c>
      <c r="K381" t="n">
        <v>0</v>
      </c>
      <c r="L381" t="n">
        <v>0</v>
      </c>
      <c r="M381" t="n">
        <v>0</v>
      </c>
      <c r="N381" t="n">
        <v>0</v>
      </c>
      <c r="O381" t="n">
        <v>0</v>
      </c>
      <c r="P381" t="n">
        <v>0</v>
      </c>
      <c r="Q381" t="n">
        <v>0</v>
      </c>
      <c r="R381" s="2" t="inlineStr"/>
    </row>
    <row r="382" ht="15" customHeight="1">
      <c r="A382" t="inlineStr">
        <is>
          <t>A 62365-2018</t>
        </is>
      </c>
      <c r="B382" s="1" t="n">
        <v>43416</v>
      </c>
      <c r="C382" s="1" t="n">
        <v>45190</v>
      </c>
      <c r="D382" t="inlineStr">
        <is>
          <t>SKÅNE LÄN</t>
        </is>
      </c>
      <c r="E382" t="inlineStr">
        <is>
          <t>KRISTIANSTAD</t>
        </is>
      </c>
      <c r="G382" t="n">
        <v>1</v>
      </c>
      <c r="H382" t="n">
        <v>0</v>
      </c>
      <c r="I382" t="n">
        <v>0</v>
      </c>
      <c r="J382" t="n">
        <v>0</v>
      </c>
      <c r="K382" t="n">
        <v>0</v>
      </c>
      <c r="L382" t="n">
        <v>0</v>
      </c>
      <c r="M382" t="n">
        <v>0</v>
      </c>
      <c r="N382" t="n">
        <v>0</v>
      </c>
      <c r="O382" t="n">
        <v>0</v>
      </c>
      <c r="P382" t="n">
        <v>0</v>
      </c>
      <c r="Q382" t="n">
        <v>0</v>
      </c>
      <c r="R382" s="2" t="inlineStr"/>
    </row>
    <row r="383" ht="15" customHeight="1">
      <c r="A383" t="inlineStr">
        <is>
          <t>A 62371-2018</t>
        </is>
      </c>
      <c r="B383" s="1" t="n">
        <v>43416</v>
      </c>
      <c r="C383" s="1" t="n">
        <v>45190</v>
      </c>
      <c r="D383" t="inlineStr">
        <is>
          <t>SKÅNE LÄN</t>
        </is>
      </c>
      <c r="E383" t="inlineStr">
        <is>
          <t>HÄSSLEHOLM</t>
        </is>
      </c>
      <c r="G383" t="n">
        <v>4.1</v>
      </c>
      <c r="H383" t="n">
        <v>0</v>
      </c>
      <c r="I383" t="n">
        <v>0</v>
      </c>
      <c r="J383" t="n">
        <v>0</v>
      </c>
      <c r="K383" t="n">
        <v>0</v>
      </c>
      <c r="L383" t="n">
        <v>0</v>
      </c>
      <c r="M383" t="n">
        <v>0</v>
      </c>
      <c r="N383" t="n">
        <v>0</v>
      </c>
      <c r="O383" t="n">
        <v>0</v>
      </c>
      <c r="P383" t="n">
        <v>0</v>
      </c>
      <c r="Q383" t="n">
        <v>0</v>
      </c>
      <c r="R383" s="2" t="inlineStr"/>
    </row>
    <row r="384" ht="15" customHeight="1">
      <c r="A384" t="inlineStr">
        <is>
          <t>A 63297-2018</t>
        </is>
      </c>
      <c r="B384" s="1" t="n">
        <v>43416</v>
      </c>
      <c r="C384" s="1" t="n">
        <v>45190</v>
      </c>
      <c r="D384" t="inlineStr">
        <is>
          <t>SKÅNE LÄN</t>
        </is>
      </c>
      <c r="E384" t="inlineStr">
        <is>
          <t>YSTAD</t>
        </is>
      </c>
      <c r="G384" t="n">
        <v>1.6</v>
      </c>
      <c r="H384" t="n">
        <v>0</v>
      </c>
      <c r="I384" t="n">
        <v>0</v>
      </c>
      <c r="J384" t="n">
        <v>0</v>
      </c>
      <c r="K384" t="n">
        <v>0</v>
      </c>
      <c r="L384" t="n">
        <v>0</v>
      </c>
      <c r="M384" t="n">
        <v>0</v>
      </c>
      <c r="N384" t="n">
        <v>0</v>
      </c>
      <c r="O384" t="n">
        <v>0</v>
      </c>
      <c r="P384" t="n">
        <v>0</v>
      </c>
      <c r="Q384" t="n">
        <v>0</v>
      </c>
      <c r="R384" s="2" t="inlineStr"/>
    </row>
    <row r="385" ht="15" customHeight="1">
      <c r="A385" t="inlineStr">
        <is>
          <t>A 63431-2018</t>
        </is>
      </c>
      <c r="B385" s="1" t="n">
        <v>43416</v>
      </c>
      <c r="C385" s="1" t="n">
        <v>45190</v>
      </c>
      <c r="D385" t="inlineStr">
        <is>
          <t>SKÅNE LÄN</t>
        </is>
      </c>
      <c r="E385" t="inlineStr">
        <is>
          <t>KRISTIANSTAD</t>
        </is>
      </c>
      <c r="G385" t="n">
        <v>1.1</v>
      </c>
      <c r="H385" t="n">
        <v>0</v>
      </c>
      <c r="I385" t="n">
        <v>0</v>
      </c>
      <c r="J385" t="n">
        <v>0</v>
      </c>
      <c r="K385" t="n">
        <v>0</v>
      </c>
      <c r="L385" t="n">
        <v>0</v>
      </c>
      <c r="M385" t="n">
        <v>0</v>
      </c>
      <c r="N385" t="n">
        <v>0</v>
      </c>
      <c r="O385" t="n">
        <v>0</v>
      </c>
      <c r="P385" t="n">
        <v>0</v>
      </c>
      <c r="Q385" t="n">
        <v>0</v>
      </c>
      <c r="R385" s="2" t="inlineStr"/>
    </row>
    <row r="386" ht="15" customHeight="1">
      <c r="A386" t="inlineStr">
        <is>
          <t>A 59248-2018</t>
        </is>
      </c>
      <c r="B386" s="1" t="n">
        <v>43417</v>
      </c>
      <c r="C386" s="1" t="n">
        <v>45190</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59242-2018</t>
        </is>
      </c>
      <c r="B387" s="1" t="n">
        <v>43417</v>
      </c>
      <c r="C387" s="1" t="n">
        <v>45190</v>
      </c>
      <c r="D387" t="inlineStr">
        <is>
          <t>SKÅNE LÄN</t>
        </is>
      </c>
      <c r="E387" t="inlineStr">
        <is>
          <t>ÖSTRA GÖINGE</t>
        </is>
      </c>
      <c r="G387" t="n">
        <v>0.7</v>
      </c>
      <c r="H387" t="n">
        <v>0</v>
      </c>
      <c r="I387" t="n">
        <v>0</v>
      </c>
      <c r="J387" t="n">
        <v>0</v>
      </c>
      <c r="K387" t="n">
        <v>0</v>
      </c>
      <c r="L387" t="n">
        <v>0</v>
      </c>
      <c r="M387" t="n">
        <v>0</v>
      </c>
      <c r="N387" t="n">
        <v>0</v>
      </c>
      <c r="O387" t="n">
        <v>0</v>
      </c>
      <c r="P387" t="n">
        <v>0</v>
      </c>
      <c r="Q387" t="n">
        <v>0</v>
      </c>
      <c r="R387" s="2" t="inlineStr"/>
    </row>
    <row r="388" ht="15" customHeight="1">
      <c r="A388" t="inlineStr">
        <is>
          <t>A 59254-2018</t>
        </is>
      </c>
      <c r="B388" s="1" t="n">
        <v>43417</v>
      </c>
      <c r="C388" s="1" t="n">
        <v>45190</v>
      </c>
      <c r="D388" t="inlineStr">
        <is>
          <t>SKÅNE LÄN</t>
        </is>
      </c>
      <c r="E388" t="inlineStr">
        <is>
          <t>ÖSTRA GÖINGE</t>
        </is>
      </c>
      <c r="G388" t="n">
        <v>0.6</v>
      </c>
      <c r="H388" t="n">
        <v>0</v>
      </c>
      <c r="I388" t="n">
        <v>0</v>
      </c>
      <c r="J388" t="n">
        <v>0</v>
      </c>
      <c r="K388" t="n">
        <v>0</v>
      </c>
      <c r="L388" t="n">
        <v>0</v>
      </c>
      <c r="M388" t="n">
        <v>0</v>
      </c>
      <c r="N388" t="n">
        <v>0</v>
      </c>
      <c r="O388" t="n">
        <v>0</v>
      </c>
      <c r="P388" t="n">
        <v>0</v>
      </c>
      <c r="Q388" t="n">
        <v>0</v>
      </c>
      <c r="R388" s="2" t="inlineStr"/>
    </row>
    <row r="389" ht="15" customHeight="1">
      <c r="A389" t="inlineStr">
        <is>
          <t>A 61983-2018</t>
        </is>
      </c>
      <c r="B389" s="1" t="n">
        <v>43417</v>
      </c>
      <c r="C389" s="1" t="n">
        <v>45190</v>
      </c>
      <c r="D389" t="inlineStr">
        <is>
          <t>SKÅNE LÄN</t>
        </is>
      </c>
      <c r="E389" t="inlineStr">
        <is>
          <t>KRISTIANSTAD</t>
        </is>
      </c>
      <c r="G389" t="n">
        <v>1.3</v>
      </c>
      <c r="H389" t="n">
        <v>0</v>
      </c>
      <c r="I389" t="n">
        <v>0</v>
      </c>
      <c r="J389" t="n">
        <v>0</v>
      </c>
      <c r="K389" t="n">
        <v>0</v>
      </c>
      <c r="L389" t="n">
        <v>0</v>
      </c>
      <c r="M389" t="n">
        <v>0</v>
      </c>
      <c r="N389" t="n">
        <v>0</v>
      </c>
      <c r="O389" t="n">
        <v>0</v>
      </c>
      <c r="P389" t="n">
        <v>0</v>
      </c>
      <c r="Q389" t="n">
        <v>0</v>
      </c>
      <c r="R389" s="2" t="inlineStr"/>
    </row>
    <row r="390" ht="15" customHeight="1">
      <c r="A390" t="inlineStr">
        <is>
          <t>A 63093-2018</t>
        </is>
      </c>
      <c r="B390" s="1" t="n">
        <v>43418</v>
      </c>
      <c r="C390" s="1" t="n">
        <v>45190</v>
      </c>
      <c r="D390" t="inlineStr">
        <is>
          <t>SKÅNE LÄN</t>
        </is>
      </c>
      <c r="E390" t="inlineStr">
        <is>
          <t>LUND</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59886-2018</t>
        </is>
      </c>
      <c r="B391" s="1" t="n">
        <v>43419</v>
      </c>
      <c r="C391" s="1" t="n">
        <v>45190</v>
      </c>
      <c r="D391" t="inlineStr">
        <is>
          <t>SKÅNE LÄN</t>
        </is>
      </c>
      <c r="E391" t="inlineStr">
        <is>
          <t>OSBY</t>
        </is>
      </c>
      <c r="G391" t="n">
        <v>1.3</v>
      </c>
      <c r="H391" t="n">
        <v>0</v>
      </c>
      <c r="I391" t="n">
        <v>0</v>
      </c>
      <c r="J391" t="n">
        <v>0</v>
      </c>
      <c r="K391" t="n">
        <v>0</v>
      </c>
      <c r="L391" t="n">
        <v>0</v>
      </c>
      <c r="M391" t="n">
        <v>0</v>
      </c>
      <c r="N391" t="n">
        <v>0</v>
      </c>
      <c r="O391" t="n">
        <v>0</v>
      </c>
      <c r="P391" t="n">
        <v>0</v>
      </c>
      <c r="Q391" t="n">
        <v>0</v>
      </c>
      <c r="R391" s="2" t="inlineStr"/>
    </row>
    <row r="392" ht="15" customHeight="1">
      <c r="A392" t="inlineStr">
        <is>
          <t>A 64488-2018</t>
        </is>
      </c>
      <c r="B392" s="1" t="n">
        <v>43419</v>
      </c>
      <c r="C392" s="1" t="n">
        <v>45190</v>
      </c>
      <c r="D392" t="inlineStr">
        <is>
          <t>SKÅNE LÄN</t>
        </is>
      </c>
      <c r="E392" t="inlineStr">
        <is>
          <t>SVALÖV</t>
        </is>
      </c>
      <c r="G392" t="n">
        <v>7.9</v>
      </c>
      <c r="H392" t="n">
        <v>0</v>
      </c>
      <c r="I392" t="n">
        <v>0</v>
      </c>
      <c r="J392" t="n">
        <v>0</v>
      </c>
      <c r="K392" t="n">
        <v>0</v>
      </c>
      <c r="L392" t="n">
        <v>0</v>
      </c>
      <c r="M392" t="n">
        <v>0</v>
      </c>
      <c r="N392" t="n">
        <v>0</v>
      </c>
      <c r="O392" t="n">
        <v>0</v>
      </c>
      <c r="P392" t="n">
        <v>0</v>
      </c>
      <c r="Q392" t="n">
        <v>0</v>
      </c>
      <c r="R392" s="2" t="inlineStr"/>
    </row>
    <row r="393" ht="15" customHeight="1">
      <c r="A393" t="inlineStr">
        <is>
          <t>A 64147-2018</t>
        </is>
      </c>
      <c r="B393" s="1" t="n">
        <v>43419</v>
      </c>
      <c r="C393" s="1" t="n">
        <v>45190</v>
      </c>
      <c r="D393" t="inlineStr">
        <is>
          <t>SKÅNE LÄN</t>
        </is>
      </c>
      <c r="E393" t="inlineStr">
        <is>
          <t>KRISTIANSTAD</t>
        </is>
      </c>
      <c r="G393" t="n">
        <v>0.8</v>
      </c>
      <c r="H393" t="n">
        <v>0</v>
      </c>
      <c r="I393" t="n">
        <v>0</v>
      </c>
      <c r="J393" t="n">
        <v>0</v>
      </c>
      <c r="K393" t="n">
        <v>0</v>
      </c>
      <c r="L393" t="n">
        <v>0</v>
      </c>
      <c r="M393" t="n">
        <v>0</v>
      </c>
      <c r="N393" t="n">
        <v>0</v>
      </c>
      <c r="O393" t="n">
        <v>0</v>
      </c>
      <c r="P393" t="n">
        <v>0</v>
      </c>
      <c r="Q393" t="n">
        <v>0</v>
      </c>
      <c r="R393" s="2" t="inlineStr"/>
    </row>
    <row r="394" ht="15" customHeight="1">
      <c r="A394" t="inlineStr">
        <is>
          <t>A 60351-2018</t>
        </is>
      </c>
      <c r="B394" s="1" t="n">
        <v>43420</v>
      </c>
      <c r="C394" s="1" t="n">
        <v>45190</v>
      </c>
      <c r="D394" t="inlineStr">
        <is>
          <t>SKÅNE LÄN</t>
        </is>
      </c>
      <c r="E394" t="inlineStr">
        <is>
          <t>KRISTIANSTAD</t>
        </is>
      </c>
      <c r="G394" t="n">
        <v>5.1</v>
      </c>
      <c r="H394" t="n">
        <v>0</v>
      </c>
      <c r="I394" t="n">
        <v>0</v>
      </c>
      <c r="J394" t="n">
        <v>0</v>
      </c>
      <c r="K394" t="n">
        <v>0</v>
      </c>
      <c r="L394" t="n">
        <v>0</v>
      </c>
      <c r="M394" t="n">
        <v>0</v>
      </c>
      <c r="N394" t="n">
        <v>0</v>
      </c>
      <c r="O394" t="n">
        <v>0</v>
      </c>
      <c r="P394" t="n">
        <v>0</v>
      </c>
      <c r="Q394" t="n">
        <v>0</v>
      </c>
      <c r="R394" s="2" t="inlineStr"/>
    </row>
    <row r="395" ht="15" customHeight="1">
      <c r="A395" t="inlineStr">
        <is>
          <t>A 60385-2018</t>
        </is>
      </c>
      <c r="B395" s="1" t="n">
        <v>43420</v>
      </c>
      <c r="C395" s="1" t="n">
        <v>45190</v>
      </c>
      <c r="D395" t="inlineStr">
        <is>
          <t>SKÅNE LÄN</t>
        </is>
      </c>
      <c r="E395" t="inlineStr">
        <is>
          <t>ÖSTRA GÖINGE</t>
        </is>
      </c>
      <c r="G395" t="n">
        <v>1.5</v>
      </c>
      <c r="H395" t="n">
        <v>0</v>
      </c>
      <c r="I395" t="n">
        <v>0</v>
      </c>
      <c r="J395" t="n">
        <v>0</v>
      </c>
      <c r="K395" t="n">
        <v>0</v>
      </c>
      <c r="L395" t="n">
        <v>0</v>
      </c>
      <c r="M395" t="n">
        <v>0</v>
      </c>
      <c r="N395" t="n">
        <v>0</v>
      </c>
      <c r="O395" t="n">
        <v>0</v>
      </c>
      <c r="P395" t="n">
        <v>0</v>
      </c>
      <c r="Q395" t="n">
        <v>0</v>
      </c>
      <c r="R395" s="2" t="inlineStr"/>
    </row>
    <row r="396" ht="15" customHeight="1">
      <c r="A396" t="inlineStr">
        <is>
          <t>A 60642-2018</t>
        </is>
      </c>
      <c r="B396" s="1" t="n">
        <v>43420</v>
      </c>
      <c r="C396" s="1" t="n">
        <v>45190</v>
      </c>
      <c r="D396" t="inlineStr">
        <is>
          <t>SKÅNE LÄN</t>
        </is>
      </c>
      <c r="E396" t="inlineStr">
        <is>
          <t>OSBY</t>
        </is>
      </c>
      <c r="G396" t="n">
        <v>1.5</v>
      </c>
      <c r="H396" t="n">
        <v>0</v>
      </c>
      <c r="I396" t="n">
        <v>0</v>
      </c>
      <c r="J396" t="n">
        <v>0</v>
      </c>
      <c r="K396" t="n">
        <v>0</v>
      </c>
      <c r="L396" t="n">
        <v>0</v>
      </c>
      <c r="M396" t="n">
        <v>0</v>
      </c>
      <c r="N396" t="n">
        <v>0</v>
      </c>
      <c r="O396" t="n">
        <v>0</v>
      </c>
      <c r="P396" t="n">
        <v>0</v>
      </c>
      <c r="Q396" t="n">
        <v>0</v>
      </c>
      <c r="R396" s="2" t="inlineStr"/>
    </row>
    <row r="397" ht="15" customHeight="1">
      <c r="A397" t="inlineStr">
        <is>
          <t>A 60981-2018</t>
        </is>
      </c>
      <c r="B397" s="1" t="n">
        <v>43423</v>
      </c>
      <c r="C397" s="1" t="n">
        <v>45190</v>
      </c>
      <c r="D397" t="inlineStr">
        <is>
          <t>SKÅNE LÄN</t>
        </is>
      </c>
      <c r="E397" t="inlineStr">
        <is>
          <t>ÖRKELLJUNGA</t>
        </is>
      </c>
      <c r="G397" t="n">
        <v>0.8</v>
      </c>
      <c r="H397" t="n">
        <v>0</v>
      </c>
      <c r="I397" t="n">
        <v>0</v>
      </c>
      <c r="J397" t="n">
        <v>0</v>
      </c>
      <c r="K397" t="n">
        <v>0</v>
      </c>
      <c r="L397" t="n">
        <v>0</v>
      </c>
      <c r="M397" t="n">
        <v>0</v>
      </c>
      <c r="N397" t="n">
        <v>0</v>
      </c>
      <c r="O397" t="n">
        <v>0</v>
      </c>
      <c r="P397" t="n">
        <v>0</v>
      </c>
      <c r="Q397" t="n">
        <v>0</v>
      </c>
      <c r="R397" s="2" t="inlineStr"/>
    </row>
    <row r="398" ht="15" customHeight="1">
      <c r="A398" t="inlineStr">
        <is>
          <t>A 61037-2018</t>
        </is>
      </c>
      <c r="B398" s="1" t="n">
        <v>43423</v>
      </c>
      <c r="C398" s="1" t="n">
        <v>45190</v>
      </c>
      <c r="D398" t="inlineStr">
        <is>
          <t>SKÅNE LÄN</t>
        </is>
      </c>
      <c r="E398" t="inlineStr">
        <is>
          <t>HÄSSLEHOLM</t>
        </is>
      </c>
      <c r="G398" t="n">
        <v>2.4</v>
      </c>
      <c r="H398" t="n">
        <v>0</v>
      </c>
      <c r="I398" t="n">
        <v>0</v>
      </c>
      <c r="J398" t="n">
        <v>0</v>
      </c>
      <c r="K398" t="n">
        <v>0</v>
      </c>
      <c r="L398" t="n">
        <v>0</v>
      </c>
      <c r="M398" t="n">
        <v>0</v>
      </c>
      <c r="N398" t="n">
        <v>0</v>
      </c>
      <c r="O398" t="n">
        <v>0</v>
      </c>
      <c r="P398" t="n">
        <v>0</v>
      </c>
      <c r="Q398" t="n">
        <v>0</v>
      </c>
      <c r="R398" s="2" t="inlineStr"/>
    </row>
    <row r="399" ht="15" customHeight="1">
      <c r="A399" t="inlineStr">
        <is>
          <t>A 60943-2018</t>
        </is>
      </c>
      <c r="B399" s="1" t="n">
        <v>43423</v>
      </c>
      <c r="C399" s="1" t="n">
        <v>45190</v>
      </c>
      <c r="D399" t="inlineStr">
        <is>
          <t>SKÅNE LÄN</t>
        </is>
      </c>
      <c r="E399" t="inlineStr">
        <is>
          <t>ÖRKELLJUNGA</t>
        </is>
      </c>
      <c r="G399" t="n">
        <v>1.1</v>
      </c>
      <c r="H399" t="n">
        <v>0</v>
      </c>
      <c r="I399" t="n">
        <v>0</v>
      </c>
      <c r="J399" t="n">
        <v>0</v>
      </c>
      <c r="K399" t="n">
        <v>0</v>
      </c>
      <c r="L399" t="n">
        <v>0</v>
      </c>
      <c r="M399" t="n">
        <v>0</v>
      </c>
      <c r="N399" t="n">
        <v>0</v>
      </c>
      <c r="O399" t="n">
        <v>0</v>
      </c>
      <c r="P399" t="n">
        <v>0</v>
      </c>
      <c r="Q399" t="n">
        <v>0</v>
      </c>
      <c r="R399" s="2" t="inlineStr"/>
    </row>
    <row r="400" ht="15" customHeight="1">
      <c r="A400" t="inlineStr">
        <is>
          <t>A 61213-2018</t>
        </is>
      </c>
      <c r="B400" s="1" t="n">
        <v>43423</v>
      </c>
      <c r="C400" s="1" t="n">
        <v>45190</v>
      </c>
      <c r="D400" t="inlineStr">
        <is>
          <t>SKÅNE LÄN</t>
        </is>
      </c>
      <c r="E400" t="inlineStr">
        <is>
          <t>OSBY</t>
        </is>
      </c>
      <c r="G400" t="n">
        <v>9.5</v>
      </c>
      <c r="H400" t="n">
        <v>0</v>
      </c>
      <c r="I400" t="n">
        <v>0</v>
      </c>
      <c r="J400" t="n">
        <v>0</v>
      </c>
      <c r="K400" t="n">
        <v>0</v>
      </c>
      <c r="L400" t="n">
        <v>0</v>
      </c>
      <c r="M400" t="n">
        <v>0</v>
      </c>
      <c r="N400" t="n">
        <v>0</v>
      </c>
      <c r="O400" t="n">
        <v>0</v>
      </c>
      <c r="P400" t="n">
        <v>0</v>
      </c>
      <c r="Q400" t="n">
        <v>0</v>
      </c>
      <c r="R400" s="2" t="inlineStr"/>
    </row>
    <row r="401" ht="15" customHeight="1">
      <c r="A401" t="inlineStr">
        <is>
          <t>A 62157-2018</t>
        </is>
      </c>
      <c r="B401" s="1" t="n">
        <v>43424</v>
      </c>
      <c r="C401" s="1" t="n">
        <v>45190</v>
      </c>
      <c r="D401" t="inlineStr">
        <is>
          <t>SKÅNE LÄN</t>
        </is>
      </c>
      <c r="E401" t="inlineStr">
        <is>
          <t>OSBY</t>
        </is>
      </c>
      <c r="G401" t="n">
        <v>8.9</v>
      </c>
      <c r="H401" t="n">
        <v>0</v>
      </c>
      <c r="I401" t="n">
        <v>0</v>
      </c>
      <c r="J401" t="n">
        <v>0</v>
      </c>
      <c r="K401" t="n">
        <v>0</v>
      </c>
      <c r="L401" t="n">
        <v>0</v>
      </c>
      <c r="M401" t="n">
        <v>0</v>
      </c>
      <c r="N401" t="n">
        <v>0</v>
      </c>
      <c r="O401" t="n">
        <v>0</v>
      </c>
      <c r="P401" t="n">
        <v>0</v>
      </c>
      <c r="Q401" t="n">
        <v>0</v>
      </c>
      <c r="R401" s="2" t="inlineStr"/>
    </row>
    <row r="402" ht="15" customHeight="1">
      <c r="A402" t="inlineStr">
        <is>
          <t>A 65204-2018</t>
        </is>
      </c>
      <c r="B402" s="1" t="n">
        <v>43424</v>
      </c>
      <c r="C402" s="1" t="n">
        <v>45190</v>
      </c>
      <c r="D402" t="inlineStr">
        <is>
          <t>SKÅNE LÄN</t>
        </is>
      </c>
      <c r="E402" t="inlineStr">
        <is>
          <t>ÖSTRA GÖINGE</t>
        </is>
      </c>
      <c r="G402" t="n">
        <v>0.6</v>
      </c>
      <c r="H402" t="n">
        <v>0</v>
      </c>
      <c r="I402" t="n">
        <v>0</v>
      </c>
      <c r="J402" t="n">
        <v>0</v>
      </c>
      <c r="K402" t="n">
        <v>0</v>
      </c>
      <c r="L402" t="n">
        <v>0</v>
      </c>
      <c r="M402" t="n">
        <v>0</v>
      </c>
      <c r="N402" t="n">
        <v>0</v>
      </c>
      <c r="O402" t="n">
        <v>0</v>
      </c>
      <c r="P402" t="n">
        <v>0</v>
      </c>
      <c r="Q402" t="n">
        <v>0</v>
      </c>
      <c r="R402" s="2" t="inlineStr"/>
    </row>
    <row r="403" ht="15" customHeight="1">
      <c r="A403" t="inlineStr">
        <is>
          <t>A 64635-2018</t>
        </is>
      </c>
      <c r="B403" s="1" t="n">
        <v>43424</v>
      </c>
      <c r="C403" s="1" t="n">
        <v>45190</v>
      </c>
      <c r="D403" t="inlineStr">
        <is>
          <t>SKÅNE LÄN</t>
        </is>
      </c>
      <c r="E403" t="inlineStr">
        <is>
          <t>OSBY</t>
        </is>
      </c>
      <c r="G403" t="n">
        <v>1.6</v>
      </c>
      <c r="H403" t="n">
        <v>0</v>
      </c>
      <c r="I403" t="n">
        <v>0</v>
      </c>
      <c r="J403" t="n">
        <v>0</v>
      </c>
      <c r="K403" t="n">
        <v>0</v>
      </c>
      <c r="L403" t="n">
        <v>0</v>
      </c>
      <c r="M403" t="n">
        <v>0</v>
      </c>
      <c r="N403" t="n">
        <v>0</v>
      </c>
      <c r="O403" t="n">
        <v>0</v>
      </c>
      <c r="P403" t="n">
        <v>0</v>
      </c>
      <c r="Q403" t="n">
        <v>0</v>
      </c>
      <c r="R403" s="2" t="inlineStr"/>
    </row>
    <row r="404" ht="15" customHeight="1">
      <c r="A404" t="inlineStr">
        <is>
          <t>A 61455-2018</t>
        </is>
      </c>
      <c r="B404" s="1" t="n">
        <v>43424</v>
      </c>
      <c r="C404" s="1" t="n">
        <v>45190</v>
      </c>
      <c r="D404" t="inlineStr">
        <is>
          <t>SKÅNE LÄN</t>
        </is>
      </c>
      <c r="E404" t="inlineStr">
        <is>
          <t>HÄSSLEHOLM</t>
        </is>
      </c>
      <c r="G404" t="n">
        <v>1.4</v>
      </c>
      <c r="H404" t="n">
        <v>0</v>
      </c>
      <c r="I404" t="n">
        <v>0</v>
      </c>
      <c r="J404" t="n">
        <v>0</v>
      </c>
      <c r="K404" t="n">
        <v>0</v>
      </c>
      <c r="L404" t="n">
        <v>0</v>
      </c>
      <c r="M404" t="n">
        <v>0</v>
      </c>
      <c r="N404" t="n">
        <v>0</v>
      </c>
      <c r="O404" t="n">
        <v>0</v>
      </c>
      <c r="P404" t="n">
        <v>0</v>
      </c>
      <c r="Q404" t="n">
        <v>0</v>
      </c>
      <c r="R404" s="2" t="inlineStr"/>
    </row>
    <row r="405" ht="15" customHeight="1">
      <c r="A405" t="inlineStr">
        <is>
          <t>A 61482-2018</t>
        </is>
      </c>
      <c r="B405" s="1" t="n">
        <v>43424</v>
      </c>
      <c r="C405" s="1" t="n">
        <v>45190</v>
      </c>
      <c r="D405" t="inlineStr">
        <is>
          <t>SKÅNE LÄN</t>
        </is>
      </c>
      <c r="E405" t="inlineStr">
        <is>
          <t>ÖSTRA GÖINGE</t>
        </is>
      </c>
      <c r="G405" t="n">
        <v>4.4</v>
      </c>
      <c r="H405" t="n">
        <v>0</v>
      </c>
      <c r="I405" t="n">
        <v>0</v>
      </c>
      <c r="J405" t="n">
        <v>0</v>
      </c>
      <c r="K405" t="n">
        <v>0</v>
      </c>
      <c r="L405" t="n">
        <v>0</v>
      </c>
      <c r="M405" t="n">
        <v>0</v>
      </c>
      <c r="N405" t="n">
        <v>0</v>
      </c>
      <c r="O405" t="n">
        <v>0</v>
      </c>
      <c r="P405" t="n">
        <v>0</v>
      </c>
      <c r="Q405" t="n">
        <v>0</v>
      </c>
      <c r="R405" s="2" t="inlineStr"/>
    </row>
    <row r="406" ht="15" customHeight="1">
      <c r="A406" t="inlineStr">
        <is>
          <t>A 61552-2018</t>
        </is>
      </c>
      <c r="B406" s="1" t="n">
        <v>43424</v>
      </c>
      <c r="C406" s="1" t="n">
        <v>45190</v>
      </c>
      <c r="D406" t="inlineStr">
        <is>
          <t>SKÅNE LÄN</t>
        </is>
      </c>
      <c r="E406" t="inlineStr">
        <is>
          <t>ÖSTRA GÖINGE</t>
        </is>
      </c>
      <c r="G406" t="n">
        <v>2.1</v>
      </c>
      <c r="H406" t="n">
        <v>0</v>
      </c>
      <c r="I406" t="n">
        <v>0</v>
      </c>
      <c r="J406" t="n">
        <v>0</v>
      </c>
      <c r="K406" t="n">
        <v>0</v>
      </c>
      <c r="L406" t="n">
        <v>0</v>
      </c>
      <c r="M406" t="n">
        <v>0</v>
      </c>
      <c r="N406" t="n">
        <v>0</v>
      </c>
      <c r="O406" t="n">
        <v>0</v>
      </c>
      <c r="P406" t="n">
        <v>0</v>
      </c>
      <c r="Q406" t="n">
        <v>0</v>
      </c>
      <c r="R406" s="2" t="inlineStr"/>
    </row>
    <row r="407" ht="15" customHeight="1">
      <c r="A407" t="inlineStr">
        <is>
          <t>A 61627-2018</t>
        </is>
      </c>
      <c r="B407" s="1" t="n">
        <v>43424</v>
      </c>
      <c r="C407" s="1" t="n">
        <v>45190</v>
      </c>
      <c r="D407" t="inlineStr">
        <is>
          <t>SKÅNE LÄN</t>
        </is>
      </c>
      <c r="E407" t="inlineStr">
        <is>
          <t>ESLÖV</t>
        </is>
      </c>
      <c r="G407" t="n">
        <v>0.3</v>
      </c>
      <c r="H407" t="n">
        <v>0</v>
      </c>
      <c r="I407" t="n">
        <v>0</v>
      </c>
      <c r="J407" t="n">
        <v>0</v>
      </c>
      <c r="K407" t="n">
        <v>0</v>
      </c>
      <c r="L407" t="n">
        <v>0</v>
      </c>
      <c r="M407" t="n">
        <v>0</v>
      </c>
      <c r="N407" t="n">
        <v>0</v>
      </c>
      <c r="O407" t="n">
        <v>0</v>
      </c>
      <c r="P407" t="n">
        <v>0</v>
      </c>
      <c r="Q407" t="n">
        <v>0</v>
      </c>
      <c r="R407" s="2" t="inlineStr"/>
    </row>
    <row r="408" ht="15" customHeight="1">
      <c r="A408" t="inlineStr">
        <is>
          <t>A 61586-2018</t>
        </is>
      </c>
      <c r="B408" s="1" t="n">
        <v>43424</v>
      </c>
      <c r="C408" s="1" t="n">
        <v>45190</v>
      </c>
      <c r="D408" t="inlineStr">
        <is>
          <t>SKÅNE LÄN</t>
        </is>
      </c>
      <c r="E408" t="inlineStr">
        <is>
          <t>HÄSSLEHOLM</t>
        </is>
      </c>
      <c r="G408" t="n">
        <v>11.2</v>
      </c>
      <c r="H408" t="n">
        <v>0</v>
      </c>
      <c r="I408" t="n">
        <v>0</v>
      </c>
      <c r="J408" t="n">
        <v>0</v>
      </c>
      <c r="K408" t="n">
        <v>0</v>
      </c>
      <c r="L408" t="n">
        <v>0</v>
      </c>
      <c r="M408" t="n">
        <v>0</v>
      </c>
      <c r="N408" t="n">
        <v>0</v>
      </c>
      <c r="O408" t="n">
        <v>0</v>
      </c>
      <c r="P408" t="n">
        <v>0</v>
      </c>
      <c r="Q408" t="n">
        <v>0</v>
      </c>
      <c r="R408" s="2" t="inlineStr"/>
    </row>
    <row r="409" ht="15" customHeight="1">
      <c r="A409" t="inlineStr">
        <is>
          <t>A 61625-2018</t>
        </is>
      </c>
      <c r="B409" s="1" t="n">
        <v>43424</v>
      </c>
      <c r="C409" s="1" t="n">
        <v>45190</v>
      </c>
      <c r="D409" t="inlineStr">
        <is>
          <t>SKÅNE LÄN</t>
        </is>
      </c>
      <c r="E409" t="inlineStr">
        <is>
          <t>ESLÖV</t>
        </is>
      </c>
      <c r="G409" t="n">
        <v>1.9</v>
      </c>
      <c r="H409" t="n">
        <v>0</v>
      </c>
      <c r="I409" t="n">
        <v>0</v>
      </c>
      <c r="J409" t="n">
        <v>0</v>
      </c>
      <c r="K409" t="n">
        <v>0</v>
      </c>
      <c r="L409" t="n">
        <v>0</v>
      </c>
      <c r="M409" t="n">
        <v>0</v>
      </c>
      <c r="N409" t="n">
        <v>0</v>
      </c>
      <c r="O409" t="n">
        <v>0</v>
      </c>
      <c r="P409" t="n">
        <v>0</v>
      </c>
      <c r="Q409" t="n">
        <v>0</v>
      </c>
      <c r="R409" s="2" t="inlineStr"/>
    </row>
    <row r="410" ht="15" customHeight="1">
      <c r="A410" t="inlineStr">
        <is>
          <t>A 61809-2018</t>
        </is>
      </c>
      <c r="B410" s="1" t="n">
        <v>43425</v>
      </c>
      <c r="C410" s="1" t="n">
        <v>45190</v>
      </c>
      <c r="D410" t="inlineStr">
        <is>
          <t>SKÅNE LÄN</t>
        </is>
      </c>
      <c r="E410" t="inlineStr">
        <is>
          <t>HÄSSLEHOLM</t>
        </is>
      </c>
      <c r="G410" t="n">
        <v>2.5</v>
      </c>
      <c r="H410" t="n">
        <v>0</v>
      </c>
      <c r="I410" t="n">
        <v>0</v>
      </c>
      <c r="J410" t="n">
        <v>0</v>
      </c>
      <c r="K410" t="n">
        <v>0</v>
      </c>
      <c r="L410" t="n">
        <v>0</v>
      </c>
      <c r="M410" t="n">
        <v>0</v>
      </c>
      <c r="N410" t="n">
        <v>0</v>
      </c>
      <c r="O410" t="n">
        <v>0</v>
      </c>
      <c r="P410" t="n">
        <v>0</v>
      </c>
      <c r="Q410" t="n">
        <v>0</v>
      </c>
      <c r="R410" s="2" t="inlineStr"/>
    </row>
    <row r="411" ht="15" customHeight="1">
      <c r="A411" t="inlineStr">
        <is>
          <t>A 62204-2018</t>
        </is>
      </c>
      <c r="B411" s="1" t="n">
        <v>43425</v>
      </c>
      <c r="C411" s="1" t="n">
        <v>45190</v>
      </c>
      <c r="D411" t="inlineStr">
        <is>
          <t>SKÅNE LÄN</t>
        </is>
      </c>
      <c r="E411" t="inlineStr">
        <is>
          <t>ÖRKELLJUNGA</t>
        </is>
      </c>
      <c r="G411" t="n">
        <v>2.3</v>
      </c>
      <c r="H411" t="n">
        <v>0</v>
      </c>
      <c r="I411" t="n">
        <v>0</v>
      </c>
      <c r="J411" t="n">
        <v>0</v>
      </c>
      <c r="K411" t="n">
        <v>0</v>
      </c>
      <c r="L411" t="n">
        <v>0</v>
      </c>
      <c r="M411" t="n">
        <v>0</v>
      </c>
      <c r="N411" t="n">
        <v>0</v>
      </c>
      <c r="O411" t="n">
        <v>0</v>
      </c>
      <c r="P411" t="n">
        <v>0</v>
      </c>
      <c r="Q411" t="n">
        <v>0</v>
      </c>
      <c r="R411" s="2" t="inlineStr"/>
    </row>
    <row r="412" ht="15" customHeight="1">
      <c r="A412" t="inlineStr">
        <is>
          <t>A 65650-2018</t>
        </is>
      </c>
      <c r="B412" s="1" t="n">
        <v>43425</v>
      </c>
      <c r="C412" s="1" t="n">
        <v>45190</v>
      </c>
      <c r="D412" t="inlineStr">
        <is>
          <t>SKÅNE LÄN</t>
        </is>
      </c>
      <c r="E412" t="inlineStr">
        <is>
          <t>ÖSTRA GÖINGE</t>
        </is>
      </c>
      <c r="G412" t="n">
        <v>2.5</v>
      </c>
      <c r="H412" t="n">
        <v>0</v>
      </c>
      <c r="I412" t="n">
        <v>0</v>
      </c>
      <c r="J412" t="n">
        <v>0</v>
      </c>
      <c r="K412" t="n">
        <v>0</v>
      </c>
      <c r="L412" t="n">
        <v>0</v>
      </c>
      <c r="M412" t="n">
        <v>0</v>
      </c>
      <c r="N412" t="n">
        <v>0</v>
      </c>
      <c r="O412" t="n">
        <v>0</v>
      </c>
      <c r="P412" t="n">
        <v>0</v>
      </c>
      <c r="Q412" t="n">
        <v>0</v>
      </c>
      <c r="R412" s="2" t="inlineStr"/>
    </row>
    <row r="413" ht="15" customHeight="1">
      <c r="A413" t="inlineStr">
        <is>
          <t>A 62181-2018</t>
        </is>
      </c>
      <c r="B413" s="1" t="n">
        <v>43425</v>
      </c>
      <c r="C413" s="1" t="n">
        <v>45190</v>
      </c>
      <c r="D413" t="inlineStr">
        <is>
          <t>SKÅNE LÄN</t>
        </is>
      </c>
      <c r="E413" t="inlineStr">
        <is>
          <t>PERSTORP</t>
        </is>
      </c>
      <c r="G413" t="n">
        <v>0.8</v>
      </c>
      <c r="H413" t="n">
        <v>0</v>
      </c>
      <c r="I413" t="n">
        <v>0</v>
      </c>
      <c r="J413" t="n">
        <v>0</v>
      </c>
      <c r="K413" t="n">
        <v>0</v>
      </c>
      <c r="L413" t="n">
        <v>0</v>
      </c>
      <c r="M413" t="n">
        <v>0</v>
      </c>
      <c r="N413" t="n">
        <v>0</v>
      </c>
      <c r="O413" t="n">
        <v>0</v>
      </c>
      <c r="P413" t="n">
        <v>0</v>
      </c>
      <c r="Q413" t="n">
        <v>0</v>
      </c>
      <c r="R413" s="2" t="inlineStr"/>
    </row>
    <row r="414" ht="15" customHeight="1">
      <c r="A414" t="inlineStr">
        <is>
          <t>A 62944-2018</t>
        </is>
      </c>
      <c r="B414" s="1" t="n">
        <v>43426</v>
      </c>
      <c r="C414" s="1" t="n">
        <v>45190</v>
      </c>
      <c r="D414" t="inlineStr">
        <is>
          <t>SKÅNE LÄN</t>
        </is>
      </c>
      <c r="E414" t="inlineStr">
        <is>
          <t>HÄSSLEHOLM</t>
        </is>
      </c>
      <c r="G414" t="n">
        <v>1.7</v>
      </c>
      <c r="H414" t="n">
        <v>0</v>
      </c>
      <c r="I414" t="n">
        <v>0</v>
      </c>
      <c r="J414" t="n">
        <v>0</v>
      </c>
      <c r="K414" t="n">
        <v>0</v>
      </c>
      <c r="L414" t="n">
        <v>0</v>
      </c>
      <c r="M414" t="n">
        <v>0</v>
      </c>
      <c r="N414" t="n">
        <v>0</v>
      </c>
      <c r="O414" t="n">
        <v>0</v>
      </c>
      <c r="P414" t="n">
        <v>0</v>
      </c>
      <c r="Q414" t="n">
        <v>0</v>
      </c>
      <c r="R414" s="2" t="inlineStr"/>
    </row>
    <row r="415" ht="15" customHeight="1">
      <c r="A415" t="inlineStr">
        <is>
          <t>A 63390-2018</t>
        </is>
      </c>
      <c r="B415" s="1" t="n">
        <v>43427</v>
      </c>
      <c r="C415" s="1" t="n">
        <v>45190</v>
      </c>
      <c r="D415" t="inlineStr">
        <is>
          <t>SKÅNE LÄN</t>
        </is>
      </c>
      <c r="E415" t="inlineStr">
        <is>
          <t>ÖSTRA GÖINGE</t>
        </is>
      </c>
      <c r="G415" t="n">
        <v>2.2</v>
      </c>
      <c r="H415" t="n">
        <v>0</v>
      </c>
      <c r="I415" t="n">
        <v>0</v>
      </c>
      <c r="J415" t="n">
        <v>0</v>
      </c>
      <c r="K415" t="n">
        <v>0</v>
      </c>
      <c r="L415" t="n">
        <v>0</v>
      </c>
      <c r="M415" t="n">
        <v>0</v>
      </c>
      <c r="N415" t="n">
        <v>0</v>
      </c>
      <c r="O415" t="n">
        <v>0</v>
      </c>
      <c r="P415" t="n">
        <v>0</v>
      </c>
      <c r="Q415" t="n">
        <v>0</v>
      </c>
      <c r="R415" s="2" t="inlineStr"/>
    </row>
    <row r="416" ht="15" customHeight="1">
      <c r="A416" t="inlineStr">
        <is>
          <t>A 63396-2018</t>
        </is>
      </c>
      <c r="B416" s="1" t="n">
        <v>43427</v>
      </c>
      <c r="C416" s="1" t="n">
        <v>45190</v>
      </c>
      <c r="D416" t="inlineStr">
        <is>
          <t>SKÅNE LÄN</t>
        </is>
      </c>
      <c r="E416" t="inlineStr">
        <is>
          <t>KRISTIANSTAD</t>
        </is>
      </c>
      <c r="G416" t="n">
        <v>3.8</v>
      </c>
      <c r="H416" t="n">
        <v>0</v>
      </c>
      <c r="I416" t="n">
        <v>0</v>
      </c>
      <c r="J416" t="n">
        <v>0</v>
      </c>
      <c r="K416" t="n">
        <v>0</v>
      </c>
      <c r="L416" t="n">
        <v>0</v>
      </c>
      <c r="M416" t="n">
        <v>0</v>
      </c>
      <c r="N416" t="n">
        <v>0</v>
      </c>
      <c r="O416" t="n">
        <v>0</v>
      </c>
      <c r="P416" t="n">
        <v>0</v>
      </c>
      <c r="Q416" t="n">
        <v>0</v>
      </c>
      <c r="R416" s="2" t="inlineStr"/>
    </row>
    <row r="417" ht="15" customHeight="1">
      <c r="A417" t="inlineStr">
        <is>
          <t>A 66138-2018</t>
        </is>
      </c>
      <c r="B417" s="1" t="n">
        <v>43427</v>
      </c>
      <c r="C417" s="1" t="n">
        <v>45190</v>
      </c>
      <c r="D417" t="inlineStr">
        <is>
          <t>SKÅNE LÄN</t>
        </is>
      </c>
      <c r="E417" t="inlineStr">
        <is>
          <t>SVALÖV</t>
        </is>
      </c>
      <c r="G417" t="n">
        <v>1.1</v>
      </c>
      <c r="H417" t="n">
        <v>0</v>
      </c>
      <c r="I417" t="n">
        <v>0</v>
      </c>
      <c r="J417" t="n">
        <v>0</v>
      </c>
      <c r="K417" t="n">
        <v>0</v>
      </c>
      <c r="L417" t="n">
        <v>0</v>
      </c>
      <c r="M417" t="n">
        <v>0</v>
      </c>
      <c r="N417" t="n">
        <v>0</v>
      </c>
      <c r="O417" t="n">
        <v>0</v>
      </c>
      <c r="P417" t="n">
        <v>0</v>
      </c>
      <c r="Q417" t="n">
        <v>0</v>
      </c>
      <c r="R417" s="2" t="inlineStr"/>
    </row>
    <row r="418" ht="15" customHeight="1">
      <c r="A418" t="inlineStr">
        <is>
          <t>A 66344-2018</t>
        </is>
      </c>
      <c r="B418" s="1" t="n">
        <v>43427</v>
      </c>
      <c r="C418" s="1" t="n">
        <v>45190</v>
      </c>
      <c r="D418" t="inlineStr">
        <is>
          <t>SKÅNE LÄN</t>
        </is>
      </c>
      <c r="E418" t="inlineStr">
        <is>
          <t>ÖSTRA GÖINGE</t>
        </is>
      </c>
      <c r="G418" t="n">
        <v>1.2</v>
      </c>
      <c r="H418" t="n">
        <v>0</v>
      </c>
      <c r="I418" t="n">
        <v>0</v>
      </c>
      <c r="J418" t="n">
        <v>0</v>
      </c>
      <c r="K418" t="n">
        <v>0</v>
      </c>
      <c r="L418" t="n">
        <v>0</v>
      </c>
      <c r="M418" t="n">
        <v>0</v>
      </c>
      <c r="N418" t="n">
        <v>0</v>
      </c>
      <c r="O418" t="n">
        <v>0</v>
      </c>
      <c r="P418" t="n">
        <v>0</v>
      </c>
      <c r="Q418" t="n">
        <v>0</v>
      </c>
      <c r="R418" s="2" t="inlineStr"/>
    </row>
    <row r="419" ht="15" customHeight="1">
      <c r="A419" t="inlineStr">
        <is>
          <t>A 63694-2018</t>
        </is>
      </c>
      <c r="B419" s="1" t="n">
        <v>43428</v>
      </c>
      <c r="C419" s="1" t="n">
        <v>45190</v>
      </c>
      <c r="D419" t="inlineStr">
        <is>
          <t>SKÅNE LÄN</t>
        </is>
      </c>
      <c r="E419" t="inlineStr">
        <is>
          <t>ÖSTRA GÖINGE</t>
        </is>
      </c>
      <c r="G419" t="n">
        <v>0.9</v>
      </c>
      <c r="H419" t="n">
        <v>0</v>
      </c>
      <c r="I419" t="n">
        <v>0</v>
      </c>
      <c r="J419" t="n">
        <v>0</v>
      </c>
      <c r="K419" t="n">
        <v>0</v>
      </c>
      <c r="L419" t="n">
        <v>0</v>
      </c>
      <c r="M419" t="n">
        <v>0</v>
      </c>
      <c r="N419" t="n">
        <v>0</v>
      </c>
      <c r="O419" t="n">
        <v>0</v>
      </c>
      <c r="P419" t="n">
        <v>0</v>
      </c>
      <c r="Q419" t="n">
        <v>0</v>
      </c>
      <c r="R419" s="2" t="inlineStr"/>
    </row>
    <row r="420" ht="15" customHeight="1">
      <c r="A420" t="inlineStr">
        <is>
          <t>A 63699-2018</t>
        </is>
      </c>
      <c r="B420" s="1" t="n">
        <v>43428</v>
      </c>
      <c r="C420" s="1" t="n">
        <v>45190</v>
      </c>
      <c r="D420" t="inlineStr">
        <is>
          <t>SKÅNE LÄN</t>
        </is>
      </c>
      <c r="E420" t="inlineStr">
        <is>
          <t>ÖSTRA GÖINGE</t>
        </is>
      </c>
      <c r="G420" t="n">
        <v>0.7</v>
      </c>
      <c r="H420" t="n">
        <v>0</v>
      </c>
      <c r="I420" t="n">
        <v>0</v>
      </c>
      <c r="J420" t="n">
        <v>0</v>
      </c>
      <c r="K420" t="n">
        <v>0</v>
      </c>
      <c r="L420" t="n">
        <v>0</v>
      </c>
      <c r="M420" t="n">
        <v>0</v>
      </c>
      <c r="N420" t="n">
        <v>0</v>
      </c>
      <c r="O420" t="n">
        <v>0</v>
      </c>
      <c r="P420" t="n">
        <v>0</v>
      </c>
      <c r="Q420" t="n">
        <v>0</v>
      </c>
      <c r="R420" s="2" t="inlineStr"/>
    </row>
    <row r="421" ht="15" customHeight="1">
      <c r="A421" t="inlineStr">
        <is>
          <t>A 63697-2018</t>
        </is>
      </c>
      <c r="B421" s="1" t="n">
        <v>43428</v>
      </c>
      <c r="C421" s="1" t="n">
        <v>45190</v>
      </c>
      <c r="D421" t="inlineStr">
        <is>
          <t>SKÅNE LÄN</t>
        </is>
      </c>
      <c r="E421" t="inlineStr">
        <is>
          <t>ÖSTRA GÖINGE</t>
        </is>
      </c>
      <c r="G421" t="n">
        <v>1.6</v>
      </c>
      <c r="H421" t="n">
        <v>0</v>
      </c>
      <c r="I421" t="n">
        <v>0</v>
      </c>
      <c r="J421" t="n">
        <v>0</v>
      </c>
      <c r="K421" t="n">
        <v>0</v>
      </c>
      <c r="L421" t="n">
        <v>0</v>
      </c>
      <c r="M421" t="n">
        <v>0</v>
      </c>
      <c r="N421" t="n">
        <v>0</v>
      </c>
      <c r="O421" t="n">
        <v>0</v>
      </c>
      <c r="P421" t="n">
        <v>0</v>
      </c>
      <c r="Q421" t="n">
        <v>0</v>
      </c>
      <c r="R421" s="2" t="inlineStr"/>
    </row>
    <row r="422" ht="15" customHeight="1">
      <c r="A422" t="inlineStr">
        <is>
          <t>A 66465-2018</t>
        </is>
      </c>
      <c r="B422" s="1" t="n">
        <v>43430</v>
      </c>
      <c r="C422" s="1" t="n">
        <v>45190</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64770-2018</t>
        </is>
      </c>
      <c r="B423" s="1" t="n">
        <v>43431</v>
      </c>
      <c r="C423" s="1" t="n">
        <v>45190</v>
      </c>
      <c r="D423" t="inlineStr">
        <is>
          <t>SKÅNE LÄN</t>
        </is>
      </c>
      <c r="E423" t="inlineStr">
        <is>
          <t>HÄSSLEHOLM</t>
        </is>
      </c>
      <c r="G423" t="n">
        <v>0.8</v>
      </c>
      <c r="H423" t="n">
        <v>0</v>
      </c>
      <c r="I423" t="n">
        <v>0</v>
      </c>
      <c r="J423" t="n">
        <v>0</v>
      </c>
      <c r="K423" t="n">
        <v>0</v>
      </c>
      <c r="L423" t="n">
        <v>0</v>
      </c>
      <c r="M423" t="n">
        <v>0</v>
      </c>
      <c r="N423" t="n">
        <v>0</v>
      </c>
      <c r="O423" t="n">
        <v>0</v>
      </c>
      <c r="P423" t="n">
        <v>0</v>
      </c>
      <c r="Q423" t="n">
        <v>0</v>
      </c>
      <c r="R423" s="2" t="inlineStr"/>
    </row>
    <row r="424" ht="15" customHeight="1">
      <c r="A424" t="inlineStr">
        <is>
          <t>A 64604-2018</t>
        </is>
      </c>
      <c r="B424" s="1" t="n">
        <v>43431</v>
      </c>
      <c r="C424" s="1" t="n">
        <v>45190</v>
      </c>
      <c r="D424" t="inlineStr">
        <is>
          <t>SKÅNE LÄN</t>
        </is>
      </c>
      <c r="E424" t="inlineStr">
        <is>
          <t>KRISTIANSTAD</t>
        </is>
      </c>
      <c r="G424" t="n">
        <v>1.4</v>
      </c>
      <c r="H424" t="n">
        <v>0</v>
      </c>
      <c r="I424" t="n">
        <v>0</v>
      </c>
      <c r="J424" t="n">
        <v>0</v>
      </c>
      <c r="K424" t="n">
        <v>0</v>
      </c>
      <c r="L424" t="n">
        <v>0</v>
      </c>
      <c r="M424" t="n">
        <v>0</v>
      </c>
      <c r="N424" t="n">
        <v>0</v>
      </c>
      <c r="O424" t="n">
        <v>0</v>
      </c>
      <c r="P424" t="n">
        <v>0</v>
      </c>
      <c r="Q424" t="n">
        <v>0</v>
      </c>
      <c r="R424" s="2" t="inlineStr"/>
    </row>
    <row r="425" ht="15" customHeight="1">
      <c r="A425" t="inlineStr">
        <is>
          <t>A 65289-2018</t>
        </is>
      </c>
      <c r="B425" s="1" t="n">
        <v>43432</v>
      </c>
      <c r="C425" s="1" t="n">
        <v>45190</v>
      </c>
      <c r="D425" t="inlineStr">
        <is>
          <t>SKÅNE LÄN</t>
        </is>
      </c>
      <c r="E425" t="inlineStr">
        <is>
          <t>HÄSSLEHOLM</t>
        </is>
      </c>
      <c r="G425" t="n">
        <v>2.2</v>
      </c>
      <c r="H425" t="n">
        <v>0</v>
      </c>
      <c r="I425" t="n">
        <v>0</v>
      </c>
      <c r="J425" t="n">
        <v>0</v>
      </c>
      <c r="K425" t="n">
        <v>0</v>
      </c>
      <c r="L425" t="n">
        <v>0</v>
      </c>
      <c r="M425" t="n">
        <v>0</v>
      </c>
      <c r="N425" t="n">
        <v>0</v>
      </c>
      <c r="O425" t="n">
        <v>0</v>
      </c>
      <c r="P425" t="n">
        <v>0</v>
      </c>
      <c r="Q425" t="n">
        <v>0</v>
      </c>
      <c r="R425" s="2" t="inlineStr"/>
    </row>
    <row r="426" ht="15" customHeight="1">
      <c r="A426" t="inlineStr">
        <is>
          <t>A 65273-2018</t>
        </is>
      </c>
      <c r="B426" s="1" t="n">
        <v>43432</v>
      </c>
      <c r="C426" s="1" t="n">
        <v>45190</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67500-2018</t>
        </is>
      </c>
      <c r="B427" s="1" t="n">
        <v>43432</v>
      </c>
      <c r="C427" s="1" t="n">
        <v>45190</v>
      </c>
      <c r="D427" t="inlineStr">
        <is>
          <t>SKÅNE LÄN</t>
        </is>
      </c>
      <c r="E427" t="inlineStr">
        <is>
          <t>HÄSSLEHOLM</t>
        </is>
      </c>
      <c r="G427" t="n">
        <v>1.3</v>
      </c>
      <c r="H427" t="n">
        <v>0</v>
      </c>
      <c r="I427" t="n">
        <v>0</v>
      </c>
      <c r="J427" t="n">
        <v>0</v>
      </c>
      <c r="K427" t="n">
        <v>0</v>
      </c>
      <c r="L427" t="n">
        <v>0</v>
      </c>
      <c r="M427" t="n">
        <v>0</v>
      </c>
      <c r="N427" t="n">
        <v>0</v>
      </c>
      <c r="O427" t="n">
        <v>0</v>
      </c>
      <c r="P427" t="n">
        <v>0</v>
      </c>
      <c r="Q427" t="n">
        <v>0</v>
      </c>
      <c r="R427" s="2" t="inlineStr"/>
    </row>
    <row r="428" ht="15" customHeight="1">
      <c r="A428" t="inlineStr">
        <is>
          <t>A 65756-2018</t>
        </is>
      </c>
      <c r="B428" s="1" t="n">
        <v>43433</v>
      </c>
      <c r="C428" s="1" t="n">
        <v>45190</v>
      </c>
      <c r="D428" t="inlineStr">
        <is>
          <t>SKÅNE LÄN</t>
        </is>
      </c>
      <c r="E428" t="inlineStr">
        <is>
          <t>ÄNGELHOLM</t>
        </is>
      </c>
      <c r="G428" t="n">
        <v>1.3</v>
      </c>
      <c r="H428" t="n">
        <v>0</v>
      </c>
      <c r="I428" t="n">
        <v>0</v>
      </c>
      <c r="J428" t="n">
        <v>0</v>
      </c>
      <c r="K428" t="n">
        <v>0</v>
      </c>
      <c r="L428" t="n">
        <v>0</v>
      </c>
      <c r="M428" t="n">
        <v>0</v>
      </c>
      <c r="N428" t="n">
        <v>0</v>
      </c>
      <c r="O428" t="n">
        <v>0</v>
      </c>
      <c r="P428" t="n">
        <v>0</v>
      </c>
      <c r="Q428" t="n">
        <v>0</v>
      </c>
      <c r="R428" s="2" t="inlineStr"/>
    </row>
    <row r="429" ht="15" customHeight="1">
      <c r="A429" t="inlineStr">
        <is>
          <t>A 67473-2018</t>
        </is>
      </c>
      <c r="B429" s="1" t="n">
        <v>43433</v>
      </c>
      <c r="C429" s="1" t="n">
        <v>45190</v>
      </c>
      <c r="D429" t="inlineStr">
        <is>
          <t>SKÅNE LÄN</t>
        </is>
      </c>
      <c r="E429" t="inlineStr">
        <is>
          <t>ÖSTRA GÖINGE</t>
        </is>
      </c>
      <c r="G429" t="n">
        <v>1.5</v>
      </c>
      <c r="H429" t="n">
        <v>0</v>
      </c>
      <c r="I429" t="n">
        <v>0</v>
      </c>
      <c r="J429" t="n">
        <v>0</v>
      </c>
      <c r="K429" t="n">
        <v>0</v>
      </c>
      <c r="L429" t="n">
        <v>0</v>
      </c>
      <c r="M429" t="n">
        <v>0</v>
      </c>
      <c r="N429" t="n">
        <v>0</v>
      </c>
      <c r="O429" t="n">
        <v>0</v>
      </c>
      <c r="P429" t="n">
        <v>0</v>
      </c>
      <c r="Q429" t="n">
        <v>0</v>
      </c>
      <c r="R429" s="2" t="inlineStr"/>
    </row>
    <row r="430" ht="15" customHeight="1">
      <c r="A430" t="inlineStr">
        <is>
          <t>A 67493-2018</t>
        </is>
      </c>
      <c r="B430" s="1" t="n">
        <v>43433</v>
      </c>
      <c r="C430" s="1" t="n">
        <v>45190</v>
      </c>
      <c r="D430" t="inlineStr">
        <is>
          <t>SKÅNE LÄN</t>
        </is>
      </c>
      <c r="E430" t="inlineStr">
        <is>
          <t>ÖSTRA GÖINGE</t>
        </is>
      </c>
      <c r="G430" t="n">
        <v>3.4</v>
      </c>
      <c r="H430" t="n">
        <v>0</v>
      </c>
      <c r="I430" t="n">
        <v>0</v>
      </c>
      <c r="J430" t="n">
        <v>0</v>
      </c>
      <c r="K430" t="n">
        <v>0</v>
      </c>
      <c r="L430" t="n">
        <v>0</v>
      </c>
      <c r="M430" t="n">
        <v>0</v>
      </c>
      <c r="N430" t="n">
        <v>0</v>
      </c>
      <c r="O430" t="n">
        <v>0</v>
      </c>
      <c r="P430" t="n">
        <v>0</v>
      </c>
      <c r="Q430" t="n">
        <v>0</v>
      </c>
      <c r="R430" s="2" t="inlineStr"/>
    </row>
    <row r="431" ht="15" customHeight="1">
      <c r="A431" t="inlineStr">
        <is>
          <t>A 65674-2018</t>
        </is>
      </c>
      <c r="B431" s="1" t="n">
        <v>43433</v>
      </c>
      <c r="C431" s="1" t="n">
        <v>45190</v>
      </c>
      <c r="D431" t="inlineStr">
        <is>
          <t>SKÅNE LÄN</t>
        </is>
      </c>
      <c r="E431" t="inlineStr">
        <is>
          <t>HÄSSLEHOLM</t>
        </is>
      </c>
      <c r="G431" t="n">
        <v>2.8</v>
      </c>
      <c r="H431" t="n">
        <v>0</v>
      </c>
      <c r="I431" t="n">
        <v>0</v>
      </c>
      <c r="J431" t="n">
        <v>0</v>
      </c>
      <c r="K431" t="n">
        <v>0</v>
      </c>
      <c r="L431" t="n">
        <v>0</v>
      </c>
      <c r="M431" t="n">
        <v>0</v>
      </c>
      <c r="N431" t="n">
        <v>0</v>
      </c>
      <c r="O431" t="n">
        <v>0</v>
      </c>
      <c r="P431" t="n">
        <v>0</v>
      </c>
      <c r="Q431" t="n">
        <v>0</v>
      </c>
      <c r="R431" s="2" t="inlineStr"/>
    </row>
    <row r="432" ht="15" customHeight="1">
      <c r="A432" t="inlineStr">
        <is>
          <t>A 65780-2018</t>
        </is>
      </c>
      <c r="B432" s="1" t="n">
        <v>43433</v>
      </c>
      <c r="C432" s="1" t="n">
        <v>45190</v>
      </c>
      <c r="D432" t="inlineStr">
        <is>
          <t>SKÅNE LÄN</t>
        </is>
      </c>
      <c r="E432" t="inlineStr">
        <is>
          <t>OSBY</t>
        </is>
      </c>
      <c r="G432" t="n">
        <v>4</v>
      </c>
      <c r="H432" t="n">
        <v>0</v>
      </c>
      <c r="I432" t="n">
        <v>0</v>
      </c>
      <c r="J432" t="n">
        <v>0</v>
      </c>
      <c r="K432" t="n">
        <v>0</v>
      </c>
      <c r="L432" t="n">
        <v>0</v>
      </c>
      <c r="M432" t="n">
        <v>0</v>
      </c>
      <c r="N432" t="n">
        <v>0</v>
      </c>
      <c r="O432" t="n">
        <v>0</v>
      </c>
      <c r="P432" t="n">
        <v>0</v>
      </c>
      <c r="Q432" t="n">
        <v>0</v>
      </c>
      <c r="R432" s="2" t="inlineStr"/>
    </row>
    <row r="433" ht="15" customHeight="1">
      <c r="A433" t="inlineStr">
        <is>
          <t>A 67482-2018</t>
        </is>
      </c>
      <c r="B433" s="1" t="n">
        <v>43433</v>
      </c>
      <c r="C433" s="1" t="n">
        <v>45190</v>
      </c>
      <c r="D433" t="inlineStr">
        <is>
          <t>SKÅNE LÄN</t>
        </is>
      </c>
      <c r="E433" t="inlineStr">
        <is>
          <t>ÖSTRA GÖINGE</t>
        </is>
      </c>
      <c r="G433" t="n">
        <v>3.1</v>
      </c>
      <c r="H433" t="n">
        <v>0</v>
      </c>
      <c r="I433" t="n">
        <v>0</v>
      </c>
      <c r="J433" t="n">
        <v>0</v>
      </c>
      <c r="K433" t="n">
        <v>0</v>
      </c>
      <c r="L433" t="n">
        <v>0</v>
      </c>
      <c r="M433" t="n">
        <v>0</v>
      </c>
      <c r="N433" t="n">
        <v>0</v>
      </c>
      <c r="O433" t="n">
        <v>0</v>
      </c>
      <c r="P433" t="n">
        <v>0</v>
      </c>
      <c r="Q433" t="n">
        <v>0</v>
      </c>
      <c r="R433" s="2" t="inlineStr"/>
    </row>
    <row r="434" ht="15" customHeight="1">
      <c r="A434" t="inlineStr">
        <is>
          <t>A 65867-2018</t>
        </is>
      </c>
      <c r="B434" s="1" t="n">
        <v>43434</v>
      </c>
      <c r="C434" s="1" t="n">
        <v>45190</v>
      </c>
      <c r="D434" t="inlineStr">
        <is>
          <t>SKÅNE LÄN</t>
        </is>
      </c>
      <c r="E434" t="inlineStr">
        <is>
          <t>HÄSSLEHOLM</t>
        </is>
      </c>
      <c r="G434" t="n">
        <v>0.5</v>
      </c>
      <c r="H434" t="n">
        <v>0</v>
      </c>
      <c r="I434" t="n">
        <v>0</v>
      </c>
      <c r="J434" t="n">
        <v>0</v>
      </c>
      <c r="K434" t="n">
        <v>0</v>
      </c>
      <c r="L434" t="n">
        <v>0</v>
      </c>
      <c r="M434" t="n">
        <v>0</v>
      </c>
      <c r="N434" t="n">
        <v>0</v>
      </c>
      <c r="O434" t="n">
        <v>0</v>
      </c>
      <c r="P434" t="n">
        <v>0</v>
      </c>
      <c r="Q434" t="n">
        <v>0</v>
      </c>
      <c r="R434" s="2" t="inlineStr"/>
    </row>
    <row r="435" ht="15" customHeight="1">
      <c r="A435" t="inlineStr">
        <is>
          <t>A 66099-2018</t>
        </is>
      </c>
      <c r="B435" s="1" t="n">
        <v>43434</v>
      </c>
      <c r="C435" s="1" t="n">
        <v>45190</v>
      </c>
      <c r="D435" t="inlineStr">
        <is>
          <t>SKÅNE LÄN</t>
        </is>
      </c>
      <c r="E435" t="inlineStr">
        <is>
          <t>KRISTIANSTAD</t>
        </is>
      </c>
      <c r="G435" t="n">
        <v>0.5</v>
      </c>
      <c r="H435" t="n">
        <v>0</v>
      </c>
      <c r="I435" t="n">
        <v>0</v>
      </c>
      <c r="J435" t="n">
        <v>0</v>
      </c>
      <c r="K435" t="n">
        <v>0</v>
      </c>
      <c r="L435" t="n">
        <v>0</v>
      </c>
      <c r="M435" t="n">
        <v>0</v>
      </c>
      <c r="N435" t="n">
        <v>0</v>
      </c>
      <c r="O435" t="n">
        <v>0</v>
      </c>
      <c r="P435" t="n">
        <v>0</v>
      </c>
      <c r="Q435" t="n">
        <v>0</v>
      </c>
      <c r="R435" s="2" t="inlineStr"/>
    </row>
    <row r="436" ht="15" customHeight="1">
      <c r="A436" t="inlineStr">
        <is>
          <t>A 67825-2018</t>
        </is>
      </c>
      <c r="B436" s="1" t="n">
        <v>43434</v>
      </c>
      <c r="C436" s="1" t="n">
        <v>45190</v>
      </c>
      <c r="D436" t="inlineStr">
        <is>
          <t>SKÅNE LÄN</t>
        </is>
      </c>
      <c r="E436" t="inlineStr">
        <is>
          <t>ÖSTRA GÖINGE</t>
        </is>
      </c>
      <c r="G436" t="n">
        <v>21.8</v>
      </c>
      <c r="H436" t="n">
        <v>0</v>
      </c>
      <c r="I436" t="n">
        <v>0</v>
      </c>
      <c r="J436" t="n">
        <v>0</v>
      </c>
      <c r="K436" t="n">
        <v>0</v>
      </c>
      <c r="L436" t="n">
        <v>0</v>
      </c>
      <c r="M436" t="n">
        <v>0</v>
      </c>
      <c r="N436" t="n">
        <v>0</v>
      </c>
      <c r="O436" t="n">
        <v>0</v>
      </c>
      <c r="P436" t="n">
        <v>0</v>
      </c>
      <c r="Q436" t="n">
        <v>0</v>
      </c>
      <c r="R436" s="2" t="inlineStr"/>
    </row>
    <row r="437" ht="15" customHeight="1">
      <c r="A437" t="inlineStr">
        <is>
          <t>A 66367-2018</t>
        </is>
      </c>
      <c r="B437" s="1" t="n">
        <v>43436</v>
      </c>
      <c r="C437" s="1" t="n">
        <v>45190</v>
      </c>
      <c r="D437" t="inlineStr">
        <is>
          <t>SKÅNE LÄN</t>
        </is>
      </c>
      <c r="E437" t="inlineStr">
        <is>
          <t>HÄSSLEHOLM</t>
        </is>
      </c>
      <c r="G437" t="n">
        <v>1.2</v>
      </c>
      <c r="H437" t="n">
        <v>0</v>
      </c>
      <c r="I437" t="n">
        <v>0</v>
      </c>
      <c r="J437" t="n">
        <v>0</v>
      </c>
      <c r="K437" t="n">
        <v>0</v>
      </c>
      <c r="L437" t="n">
        <v>0</v>
      </c>
      <c r="M437" t="n">
        <v>0</v>
      </c>
      <c r="N437" t="n">
        <v>0</v>
      </c>
      <c r="O437" t="n">
        <v>0</v>
      </c>
      <c r="P437" t="n">
        <v>0</v>
      </c>
      <c r="Q437" t="n">
        <v>0</v>
      </c>
      <c r="R437" s="2" t="inlineStr"/>
    </row>
    <row r="438" ht="15" customHeight="1">
      <c r="A438" t="inlineStr">
        <is>
          <t>A 66366-2018</t>
        </is>
      </c>
      <c r="B438" s="1" t="n">
        <v>43436</v>
      </c>
      <c r="C438" s="1" t="n">
        <v>45190</v>
      </c>
      <c r="D438" t="inlineStr">
        <is>
          <t>SKÅNE LÄN</t>
        </is>
      </c>
      <c r="E438" t="inlineStr">
        <is>
          <t>HÄSSLEHOLM</t>
        </is>
      </c>
      <c r="G438" t="n">
        <v>5.4</v>
      </c>
      <c r="H438" t="n">
        <v>0</v>
      </c>
      <c r="I438" t="n">
        <v>0</v>
      </c>
      <c r="J438" t="n">
        <v>0</v>
      </c>
      <c r="K438" t="n">
        <v>0</v>
      </c>
      <c r="L438" t="n">
        <v>0</v>
      </c>
      <c r="M438" t="n">
        <v>0</v>
      </c>
      <c r="N438" t="n">
        <v>0</v>
      </c>
      <c r="O438" t="n">
        <v>0</v>
      </c>
      <c r="P438" t="n">
        <v>0</v>
      </c>
      <c r="Q438" t="n">
        <v>0</v>
      </c>
      <c r="R438" s="2" t="inlineStr"/>
    </row>
    <row r="439" ht="15" customHeight="1">
      <c r="A439" t="inlineStr">
        <is>
          <t>A 66508-2018</t>
        </is>
      </c>
      <c r="B439" s="1" t="n">
        <v>43437</v>
      </c>
      <c r="C439" s="1" t="n">
        <v>45190</v>
      </c>
      <c r="D439" t="inlineStr">
        <is>
          <t>SKÅNE LÄN</t>
        </is>
      </c>
      <c r="E439" t="inlineStr">
        <is>
          <t>HÖÖR</t>
        </is>
      </c>
      <c r="G439" t="n">
        <v>2.3</v>
      </c>
      <c r="H439" t="n">
        <v>0</v>
      </c>
      <c r="I439" t="n">
        <v>0</v>
      </c>
      <c r="J439" t="n">
        <v>0</v>
      </c>
      <c r="K439" t="n">
        <v>0</v>
      </c>
      <c r="L439" t="n">
        <v>0</v>
      </c>
      <c r="M439" t="n">
        <v>0</v>
      </c>
      <c r="N439" t="n">
        <v>0</v>
      </c>
      <c r="O439" t="n">
        <v>0</v>
      </c>
      <c r="P439" t="n">
        <v>0</v>
      </c>
      <c r="Q439" t="n">
        <v>0</v>
      </c>
      <c r="R439" s="2" t="inlineStr"/>
    </row>
    <row r="440" ht="15" customHeight="1">
      <c r="A440" t="inlineStr">
        <is>
          <t>A 66562-2018</t>
        </is>
      </c>
      <c r="B440" s="1" t="n">
        <v>43437</v>
      </c>
      <c r="C440" s="1" t="n">
        <v>45190</v>
      </c>
      <c r="D440" t="inlineStr">
        <is>
          <t>SKÅNE LÄN</t>
        </is>
      </c>
      <c r="E440" t="inlineStr">
        <is>
          <t>KLIPPAN</t>
        </is>
      </c>
      <c r="G440" t="n">
        <v>6.2</v>
      </c>
      <c r="H440" t="n">
        <v>0</v>
      </c>
      <c r="I440" t="n">
        <v>0</v>
      </c>
      <c r="J440" t="n">
        <v>0</v>
      </c>
      <c r="K440" t="n">
        <v>0</v>
      </c>
      <c r="L440" t="n">
        <v>0</v>
      </c>
      <c r="M440" t="n">
        <v>0</v>
      </c>
      <c r="N440" t="n">
        <v>0</v>
      </c>
      <c r="O440" t="n">
        <v>0</v>
      </c>
      <c r="P440" t="n">
        <v>0</v>
      </c>
      <c r="Q440" t="n">
        <v>0</v>
      </c>
      <c r="R440" s="2" t="inlineStr"/>
    </row>
    <row r="441" ht="15" customHeight="1">
      <c r="A441" t="inlineStr">
        <is>
          <t>A 66669-2018</t>
        </is>
      </c>
      <c r="B441" s="1" t="n">
        <v>43437</v>
      </c>
      <c r="C441" s="1" t="n">
        <v>45190</v>
      </c>
      <c r="D441" t="inlineStr">
        <is>
          <t>SKÅNE LÄN</t>
        </is>
      </c>
      <c r="E441" t="inlineStr">
        <is>
          <t>HÖRBY</t>
        </is>
      </c>
      <c r="G441" t="n">
        <v>2.8</v>
      </c>
      <c r="H441" t="n">
        <v>0</v>
      </c>
      <c r="I441" t="n">
        <v>0</v>
      </c>
      <c r="J441" t="n">
        <v>0</v>
      </c>
      <c r="K441" t="n">
        <v>0</v>
      </c>
      <c r="L441" t="n">
        <v>0</v>
      </c>
      <c r="M441" t="n">
        <v>0</v>
      </c>
      <c r="N441" t="n">
        <v>0</v>
      </c>
      <c r="O441" t="n">
        <v>0</v>
      </c>
      <c r="P441" t="n">
        <v>0</v>
      </c>
      <c r="Q441" t="n">
        <v>0</v>
      </c>
      <c r="R441" s="2" t="inlineStr"/>
    </row>
    <row r="442" ht="15" customHeight="1">
      <c r="A442" t="inlineStr">
        <is>
          <t>A 66478-2018</t>
        </is>
      </c>
      <c r="B442" s="1" t="n">
        <v>43437</v>
      </c>
      <c r="C442" s="1" t="n">
        <v>45190</v>
      </c>
      <c r="D442" t="inlineStr">
        <is>
          <t>SKÅNE LÄN</t>
        </is>
      </c>
      <c r="E442" t="inlineStr">
        <is>
          <t>KLIPPAN</t>
        </is>
      </c>
      <c r="G442" t="n">
        <v>5.4</v>
      </c>
      <c r="H442" t="n">
        <v>0</v>
      </c>
      <c r="I442" t="n">
        <v>0</v>
      </c>
      <c r="J442" t="n">
        <v>0</v>
      </c>
      <c r="K442" t="n">
        <v>0</v>
      </c>
      <c r="L442" t="n">
        <v>0</v>
      </c>
      <c r="M442" t="n">
        <v>0</v>
      </c>
      <c r="N442" t="n">
        <v>0</v>
      </c>
      <c r="O442" t="n">
        <v>0</v>
      </c>
      <c r="P442" t="n">
        <v>0</v>
      </c>
      <c r="Q442" t="n">
        <v>0</v>
      </c>
      <c r="R442" s="2" t="inlineStr"/>
    </row>
    <row r="443" ht="15" customHeight="1">
      <c r="A443" t="inlineStr">
        <is>
          <t>A 66733-2018</t>
        </is>
      </c>
      <c r="B443" s="1" t="n">
        <v>43437</v>
      </c>
      <c r="C443" s="1" t="n">
        <v>45190</v>
      </c>
      <c r="D443" t="inlineStr">
        <is>
          <t>SKÅNE LÄN</t>
        </is>
      </c>
      <c r="E443" t="inlineStr">
        <is>
          <t>HÖRBY</t>
        </is>
      </c>
      <c r="G443" t="n">
        <v>0.6</v>
      </c>
      <c r="H443" t="n">
        <v>0</v>
      </c>
      <c r="I443" t="n">
        <v>0</v>
      </c>
      <c r="J443" t="n">
        <v>0</v>
      </c>
      <c r="K443" t="n">
        <v>0</v>
      </c>
      <c r="L443" t="n">
        <v>0</v>
      </c>
      <c r="M443" t="n">
        <v>0</v>
      </c>
      <c r="N443" t="n">
        <v>0</v>
      </c>
      <c r="O443" t="n">
        <v>0</v>
      </c>
      <c r="P443" t="n">
        <v>0</v>
      </c>
      <c r="Q443" t="n">
        <v>0</v>
      </c>
      <c r="R443" s="2" t="inlineStr"/>
    </row>
    <row r="444" ht="15" customHeight="1">
      <c r="A444" t="inlineStr">
        <is>
          <t>A 68146-2018</t>
        </is>
      </c>
      <c r="B444" s="1" t="n">
        <v>43437</v>
      </c>
      <c r="C444" s="1" t="n">
        <v>45190</v>
      </c>
      <c r="D444" t="inlineStr">
        <is>
          <t>SKÅNE LÄN</t>
        </is>
      </c>
      <c r="E444" t="inlineStr">
        <is>
          <t>PERSTORP</t>
        </is>
      </c>
      <c r="G444" t="n">
        <v>1.3</v>
      </c>
      <c r="H444" t="n">
        <v>0</v>
      </c>
      <c r="I444" t="n">
        <v>0</v>
      </c>
      <c r="J444" t="n">
        <v>0</v>
      </c>
      <c r="K444" t="n">
        <v>0</v>
      </c>
      <c r="L444" t="n">
        <v>0</v>
      </c>
      <c r="M444" t="n">
        <v>0</v>
      </c>
      <c r="N444" t="n">
        <v>0</v>
      </c>
      <c r="O444" t="n">
        <v>0</v>
      </c>
      <c r="P444" t="n">
        <v>0</v>
      </c>
      <c r="Q444" t="n">
        <v>0</v>
      </c>
      <c r="R444" s="2" t="inlineStr"/>
    </row>
    <row r="445" ht="15" customHeight="1">
      <c r="A445" t="inlineStr">
        <is>
          <t>A 66454-2018</t>
        </is>
      </c>
      <c r="B445" s="1" t="n">
        <v>43437</v>
      </c>
      <c r="C445" s="1" t="n">
        <v>45190</v>
      </c>
      <c r="D445" t="inlineStr">
        <is>
          <t>SKÅNE LÄN</t>
        </is>
      </c>
      <c r="E445" t="inlineStr">
        <is>
          <t>KLIPPAN</t>
        </is>
      </c>
      <c r="G445" t="n">
        <v>0.5</v>
      </c>
      <c r="H445" t="n">
        <v>0</v>
      </c>
      <c r="I445" t="n">
        <v>0</v>
      </c>
      <c r="J445" t="n">
        <v>0</v>
      </c>
      <c r="K445" t="n">
        <v>0</v>
      </c>
      <c r="L445" t="n">
        <v>0</v>
      </c>
      <c r="M445" t="n">
        <v>0</v>
      </c>
      <c r="N445" t="n">
        <v>0</v>
      </c>
      <c r="O445" t="n">
        <v>0</v>
      </c>
      <c r="P445" t="n">
        <v>0</v>
      </c>
      <c r="Q445" t="n">
        <v>0</v>
      </c>
      <c r="R445" s="2" t="inlineStr"/>
    </row>
    <row r="446" ht="15" customHeight="1">
      <c r="A446" t="inlineStr">
        <is>
          <t>A 67145-2018</t>
        </is>
      </c>
      <c r="B446" s="1" t="n">
        <v>43438</v>
      </c>
      <c r="C446" s="1" t="n">
        <v>45190</v>
      </c>
      <c r="D446" t="inlineStr">
        <is>
          <t>SKÅNE LÄN</t>
        </is>
      </c>
      <c r="E446" t="inlineStr">
        <is>
          <t>HÄSSLEHOLM</t>
        </is>
      </c>
      <c r="F446" t="inlineStr">
        <is>
          <t>Kommuner</t>
        </is>
      </c>
      <c r="G446" t="n">
        <v>3.9</v>
      </c>
      <c r="H446" t="n">
        <v>0</v>
      </c>
      <c r="I446" t="n">
        <v>0</v>
      </c>
      <c r="J446" t="n">
        <v>0</v>
      </c>
      <c r="K446" t="n">
        <v>0</v>
      </c>
      <c r="L446" t="n">
        <v>0</v>
      </c>
      <c r="M446" t="n">
        <v>0</v>
      </c>
      <c r="N446" t="n">
        <v>0</v>
      </c>
      <c r="O446" t="n">
        <v>0</v>
      </c>
      <c r="P446" t="n">
        <v>0</v>
      </c>
      <c r="Q446" t="n">
        <v>0</v>
      </c>
      <c r="R446" s="2" t="inlineStr"/>
    </row>
    <row r="447" ht="15" customHeight="1">
      <c r="A447" t="inlineStr">
        <is>
          <t>A 67064-2018</t>
        </is>
      </c>
      <c r="B447" s="1" t="n">
        <v>43438</v>
      </c>
      <c r="C447" s="1" t="n">
        <v>45190</v>
      </c>
      <c r="D447" t="inlineStr">
        <is>
          <t>SKÅNE LÄN</t>
        </is>
      </c>
      <c r="E447" t="inlineStr">
        <is>
          <t>HÄSSLEHOLM</t>
        </is>
      </c>
      <c r="G447" t="n">
        <v>0.5</v>
      </c>
      <c r="H447" t="n">
        <v>0</v>
      </c>
      <c r="I447" t="n">
        <v>0</v>
      </c>
      <c r="J447" t="n">
        <v>0</v>
      </c>
      <c r="K447" t="n">
        <v>0</v>
      </c>
      <c r="L447" t="n">
        <v>0</v>
      </c>
      <c r="M447" t="n">
        <v>0</v>
      </c>
      <c r="N447" t="n">
        <v>0</v>
      </c>
      <c r="O447" t="n">
        <v>0</v>
      </c>
      <c r="P447" t="n">
        <v>0</v>
      </c>
      <c r="Q447" t="n">
        <v>0</v>
      </c>
      <c r="R447" s="2" t="inlineStr"/>
    </row>
    <row r="448" ht="15" customHeight="1">
      <c r="A448" t="inlineStr">
        <is>
          <t>A 67417-2018</t>
        </is>
      </c>
      <c r="B448" s="1" t="n">
        <v>43439</v>
      </c>
      <c r="C448" s="1" t="n">
        <v>45190</v>
      </c>
      <c r="D448" t="inlineStr">
        <is>
          <t>SKÅNE LÄN</t>
        </is>
      </c>
      <c r="E448" t="inlineStr">
        <is>
          <t>HÄSSLEHOLM</t>
        </is>
      </c>
      <c r="G448" t="n">
        <v>3.9</v>
      </c>
      <c r="H448" t="n">
        <v>0</v>
      </c>
      <c r="I448" t="n">
        <v>0</v>
      </c>
      <c r="J448" t="n">
        <v>0</v>
      </c>
      <c r="K448" t="n">
        <v>0</v>
      </c>
      <c r="L448" t="n">
        <v>0</v>
      </c>
      <c r="M448" t="n">
        <v>0</v>
      </c>
      <c r="N448" t="n">
        <v>0</v>
      </c>
      <c r="O448" t="n">
        <v>0</v>
      </c>
      <c r="P448" t="n">
        <v>0</v>
      </c>
      <c r="Q448" t="n">
        <v>0</v>
      </c>
      <c r="R448" s="2" t="inlineStr"/>
    </row>
    <row r="449" ht="15" customHeight="1">
      <c r="A449" t="inlineStr">
        <is>
          <t>A 67503-2018</t>
        </is>
      </c>
      <c r="B449" s="1" t="n">
        <v>43439</v>
      </c>
      <c r="C449" s="1" t="n">
        <v>45190</v>
      </c>
      <c r="D449" t="inlineStr">
        <is>
          <t>SKÅNE LÄN</t>
        </is>
      </c>
      <c r="E449" t="inlineStr">
        <is>
          <t>HÄSSLEHOLM</t>
        </is>
      </c>
      <c r="G449" t="n">
        <v>0.9</v>
      </c>
      <c r="H449" t="n">
        <v>0</v>
      </c>
      <c r="I449" t="n">
        <v>0</v>
      </c>
      <c r="J449" t="n">
        <v>0</v>
      </c>
      <c r="K449" t="n">
        <v>0</v>
      </c>
      <c r="L449" t="n">
        <v>0</v>
      </c>
      <c r="M449" t="n">
        <v>0</v>
      </c>
      <c r="N449" t="n">
        <v>0</v>
      </c>
      <c r="O449" t="n">
        <v>0</v>
      </c>
      <c r="P449" t="n">
        <v>0</v>
      </c>
      <c r="Q449" t="n">
        <v>0</v>
      </c>
      <c r="R449" s="2" t="inlineStr"/>
    </row>
    <row r="450" ht="15" customHeight="1">
      <c r="A450" t="inlineStr">
        <is>
          <t>A 67565-2018</t>
        </is>
      </c>
      <c r="B450" s="1" t="n">
        <v>43439</v>
      </c>
      <c r="C450" s="1" t="n">
        <v>45190</v>
      </c>
      <c r="D450" t="inlineStr">
        <is>
          <t>SKÅNE LÄN</t>
        </is>
      </c>
      <c r="E450" t="inlineStr">
        <is>
          <t>SVEDALA</t>
        </is>
      </c>
      <c r="G450" t="n">
        <v>1.4</v>
      </c>
      <c r="H450" t="n">
        <v>0</v>
      </c>
      <c r="I450" t="n">
        <v>0</v>
      </c>
      <c r="J450" t="n">
        <v>0</v>
      </c>
      <c r="K450" t="n">
        <v>0</v>
      </c>
      <c r="L450" t="n">
        <v>0</v>
      </c>
      <c r="M450" t="n">
        <v>0</v>
      </c>
      <c r="N450" t="n">
        <v>0</v>
      </c>
      <c r="O450" t="n">
        <v>0</v>
      </c>
      <c r="P450" t="n">
        <v>0</v>
      </c>
      <c r="Q450" t="n">
        <v>0</v>
      </c>
      <c r="R450" s="2" t="inlineStr"/>
    </row>
    <row r="451" ht="15" customHeight="1">
      <c r="A451" t="inlineStr">
        <is>
          <t>A 68763-2018</t>
        </is>
      </c>
      <c r="B451" s="1" t="n">
        <v>43439</v>
      </c>
      <c r="C451" s="1" t="n">
        <v>45190</v>
      </c>
      <c r="D451" t="inlineStr">
        <is>
          <t>SKÅNE LÄN</t>
        </is>
      </c>
      <c r="E451" t="inlineStr">
        <is>
          <t>HÄSSLEHOLM</t>
        </is>
      </c>
      <c r="G451" t="n">
        <v>0.2</v>
      </c>
      <c r="H451" t="n">
        <v>0</v>
      </c>
      <c r="I451" t="n">
        <v>0</v>
      </c>
      <c r="J451" t="n">
        <v>0</v>
      </c>
      <c r="K451" t="n">
        <v>0</v>
      </c>
      <c r="L451" t="n">
        <v>0</v>
      </c>
      <c r="M451" t="n">
        <v>0</v>
      </c>
      <c r="N451" t="n">
        <v>0</v>
      </c>
      <c r="O451" t="n">
        <v>0</v>
      </c>
      <c r="P451" t="n">
        <v>0</v>
      </c>
      <c r="Q451" t="n">
        <v>0</v>
      </c>
      <c r="R451" s="2" t="inlineStr"/>
    </row>
    <row r="452" ht="15" customHeight="1">
      <c r="A452" t="inlineStr">
        <is>
          <t>A 67564-2018</t>
        </is>
      </c>
      <c r="B452" s="1" t="n">
        <v>43439</v>
      </c>
      <c r="C452" s="1" t="n">
        <v>45190</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68746-2018</t>
        </is>
      </c>
      <c r="B453" s="1" t="n">
        <v>43439</v>
      </c>
      <c r="C453" s="1" t="n">
        <v>45190</v>
      </c>
      <c r="D453" t="inlineStr">
        <is>
          <t>SKÅNE LÄN</t>
        </is>
      </c>
      <c r="E453" t="inlineStr">
        <is>
          <t>HÄSSLEHOLM</t>
        </is>
      </c>
      <c r="G453" t="n">
        <v>0.6</v>
      </c>
      <c r="H453" t="n">
        <v>0</v>
      </c>
      <c r="I453" t="n">
        <v>0</v>
      </c>
      <c r="J453" t="n">
        <v>0</v>
      </c>
      <c r="K453" t="n">
        <v>0</v>
      </c>
      <c r="L453" t="n">
        <v>0</v>
      </c>
      <c r="M453" t="n">
        <v>0</v>
      </c>
      <c r="N453" t="n">
        <v>0</v>
      </c>
      <c r="O453" t="n">
        <v>0</v>
      </c>
      <c r="P453" t="n">
        <v>0</v>
      </c>
      <c r="Q453" t="n">
        <v>0</v>
      </c>
      <c r="R453" s="2" t="inlineStr"/>
    </row>
    <row r="454" ht="15" customHeight="1">
      <c r="A454" t="inlineStr">
        <is>
          <t>A 67563-2018</t>
        </is>
      </c>
      <c r="B454" s="1" t="n">
        <v>43439</v>
      </c>
      <c r="C454" s="1" t="n">
        <v>45190</v>
      </c>
      <c r="D454" t="inlineStr">
        <is>
          <t>SKÅNE LÄN</t>
        </is>
      </c>
      <c r="E454" t="inlineStr">
        <is>
          <t>LUND</t>
        </is>
      </c>
      <c r="G454" t="n">
        <v>0.5</v>
      </c>
      <c r="H454" t="n">
        <v>0</v>
      </c>
      <c r="I454" t="n">
        <v>0</v>
      </c>
      <c r="J454" t="n">
        <v>0</v>
      </c>
      <c r="K454" t="n">
        <v>0</v>
      </c>
      <c r="L454" t="n">
        <v>0</v>
      </c>
      <c r="M454" t="n">
        <v>0</v>
      </c>
      <c r="N454" t="n">
        <v>0</v>
      </c>
      <c r="O454" t="n">
        <v>0</v>
      </c>
      <c r="P454" t="n">
        <v>0</v>
      </c>
      <c r="Q454" t="n">
        <v>0</v>
      </c>
      <c r="R454" s="2" t="inlineStr"/>
    </row>
    <row r="455" ht="15" customHeight="1">
      <c r="A455" t="inlineStr">
        <is>
          <t>A 68461-2018</t>
        </is>
      </c>
      <c r="B455" s="1" t="n">
        <v>43439</v>
      </c>
      <c r="C455" s="1" t="n">
        <v>45190</v>
      </c>
      <c r="D455" t="inlineStr">
        <is>
          <t>SKÅNE LÄN</t>
        </is>
      </c>
      <c r="E455" t="inlineStr">
        <is>
          <t>HÖÖR</t>
        </is>
      </c>
      <c r="G455" t="n">
        <v>6.8</v>
      </c>
      <c r="H455" t="n">
        <v>0</v>
      </c>
      <c r="I455" t="n">
        <v>0</v>
      </c>
      <c r="J455" t="n">
        <v>0</v>
      </c>
      <c r="K455" t="n">
        <v>0</v>
      </c>
      <c r="L455" t="n">
        <v>0</v>
      </c>
      <c r="M455" t="n">
        <v>0</v>
      </c>
      <c r="N455" t="n">
        <v>0</v>
      </c>
      <c r="O455" t="n">
        <v>0</v>
      </c>
      <c r="P455" t="n">
        <v>0</v>
      </c>
      <c r="Q455" t="n">
        <v>0</v>
      </c>
      <c r="R455" s="2" t="inlineStr"/>
    </row>
    <row r="456" ht="15" customHeight="1">
      <c r="A456" t="inlineStr">
        <is>
          <t>A 67837-2018</t>
        </is>
      </c>
      <c r="B456" s="1" t="n">
        <v>43440</v>
      </c>
      <c r="C456" s="1" t="n">
        <v>45190</v>
      </c>
      <c r="D456" t="inlineStr">
        <is>
          <t>SKÅNE LÄN</t>
        </is>
      </c>
      <c r="E456" t="inlineStr">
        <is>
          <t>HÄSSLEHOLM</t>
        </is>
      </c>
      <c r="G456" t="n">
        <v>1.1</v>
      </c>
      <c r="H456" t="n">
        <v>0</v>
      </c>
      <c r="I456" t="n">
        <v>0</v>
      </c>
      <c r="J456" t="n">
        <v>0</v>
      </c>
      <c r="K456" t="n">
        <v>0</v>
      </c>
      <c r="L456" t="n">
        <v>0</v>
      </c>
      <c r="M456" t="n">
        <v>0</v>
      </c>
      <c r="N456" t="n">
        <v>0</v>
      </c>
      <c r="O456" t="n">
        <v>0</v>
      </c>
      <c r="P456" t="n">
        <v>0</v>
      </c>
      <c r="Q456" t="n">
        <v>0</v>
      </c>
      <c r="R456" s="2" t="inlineStr"/>
    </row>
    <row r="457" ht="15" customHeight="1">
      <c r="A457" t="inlineStr">
        <is>
          <t>A 67850-2018</t>
        </is>
      </c>
      <c r="B457" s="1" t="n">
        <v>43440</v>
      </c>
      <c r="C457" s="1" t="n">
        <v>45190</v>
      </c>
      <c r="D457" t="inlineStr">
        <is>
          <t>SKÅNE LÄN</t>
        </is>
      </c>
      <c r="E457" t="inlineStr">
        <is>
          <t>SVALÖV</t>
        </is>
      </c>
      <c r="G457" t="n">
        <v>6.8</v>
      </c>
      <c r="H457" t="n">
        <v>0</v>
      </c>
      <c r="I457" t="n">
        <v>0</v>
      </c>
      <c r="J457" t="n">
        <v>0</v>
      </c>
      <c r="K457" t="n">
        <v>0</v>
      </c>
      <c r="L457" t="n">
        <v>0</v>
      </c>
      <c r="M457" t="n">
        <v>0</v>
      </c>
      <c r="N457" t="n">
        <v>0</v>
      </c>
      <c r="O457" t="n">
        <v>0</v>
      </c>
      <c r="P457" t="n">
        <v>0</v>
      </c>
      <c r="Q457" t="n">
        <v>0</v>
      </c>
      <c r="R457" s="2" t="inlineStr"/>
    </row>
    <row r="458" ht="15" customHeight="1">
      <c r="A458" t="inlineStr">
        <is>
          <t>A 67990-2018</t>
        </is>
      </c>
      <c r="B458" s="1" t="n">
        <v>43440</v>
      </c>
      <c r="C458" s="1" t="n">
        <v>45190</v>
      </c>
      <c r="D458" t="inlineStr">
        <is>
          <t>SKÅNE LÄN</t>
        </is>
      </c>
      <c r="E458" t="inlineStr">
        <is>
          <t>KRISTIANSTAD</t>
        </is>
      </c>
      <c r="G458" t="n">
        <v>3.4</v>
      </c>
      <c r="H458" t="n">
        <v>0</v>
      </c>
      <c r="I458" t="n">
        <v>0</v>
      </c>
      <c r="J458" t="n">
        <v>0</v>
      </c>
      <c r="K458" t="n">
        <v>0</v>
      </c>
      <c r="L458" t="n">
        <v>0</v>
      </c>
      <c r="M458" t="n">
        <v>0</v>
      </c>
      <c r="N458" t="n">
        <v>0</v>
      </c>
      <c r="O458" t="n">
        <v>0</v>
      </c>
      <c r="P458" t="n">
        <v>0</v>
      </c>
      <c r="Q458" t="n">
        <v>0</v>
      </c>
      <c r="R458" s="2" t="inlineStr"/>
    </row>
    <row r="459" ht="15" customHeight="1">
      <c r="A459" t="inlineStr">
        <is>
          <t>A 67630-2018</t>
        </is>
      </c>
      <c r="B459" s="1" t="n">
        <v>43440</v>
      </c>
      <c r="C459" s="1" t="n">
        <v>45190</v>
      </c>
      <c r="D459" t="inlineStr">
        <is>
          <t>SKÅNE LÄN</t>
        </is>
      </c>
      <c r="E459" t="inlineStr">
        <is>
          <t>HÄSSLEHOLM</t>
        </is>
      </c>
      <c r="G459" t="n">
        <v>5.1</v>
      </c>
      <c r="H459" t="n">
        <v>0</v>
      </c>
      <c r="I459" t="n">
        <v>0</v>
      </c>
      <c r="J459" t="n">
        <v>0</v>
      </c>
      <c r="K459" t="n">
        <v>0</v>
      </c>
      <c r="L459" t="n">
        <v>0</v>
      </c>
      <c r="M459" t="n">
        <v>0</v>
      </c>
      <c r="N459" t="n">
        <v>0</v>
      </c>
      <c r="O459" t="n">
        <v>0</v>
      </c>
      <c r="P459" t="n">
        <v>0</v>
      </c>
      <c r="Q459" t="n">
        <v>0</v>
      </c>
      <c r="R459" s="2" t="inlineStr"/>
    </row>
    <row r="460" ht="15" customHeight="1">
      <c r="A460" t="inlineStr">
        <is>
          <t>A 67912-2018</t>
        </is>
      </c>
      <c r="B460" s="1" t="n">
        <v>43440</v>
      </c>
      <c r="C460" s="1" t="n">
        <v>45190</v>
      </c>
      <c r="D460" t="inlineStr">
        <is>
          <t>SKÅNE LÄN</t>
        </is>
      </c>
      <c r="E460" t="inlineStr">
        <is>
          <t>ÖSTRA GÖINGE</t>
        </is>
      </c>
      <c r="G460" t="n">
        <v>1.5</v>
      </c>
      <c r="H460" t="n">
        <v>0</v>
      </c>
      <c r="I460" t="n">
        <v>0</v>
      </c>
      <c r="J460" t="n">
        <v>0</v>
      </c>
      <c r="K460" t="n">
        <v>0</v>
      </c>
      <c r="L460" t="n">
        <v>0</v>
      </c>
      <c r="M460" t="n">
        <v>0</v>
      </c>
      <c r="N460" t="n">
        <v>0</v>
      </c>
      <c r="O460" t="n">
        <v>0</v>
      </c>
      <c r="P460" t="n">
        <v>0</v>
      </c>
      <c r="Q460" t="n">
        <v>0</v>
      </c>
      <c r="R460" s="2" t="inlineStr"/>
    </row>
    <row r="461" ht="15" customHeight="1">
      <c r="A461" t="inlineStr">
        <is>
          <t>A 67989-2018</t>
        </is>
      </c>
      <c r="B461" s="1" t="n">
        <v>43440</v>
      </c>
      <c r="C461" s="1" t="n">
        <v>45190</v>
      </c>
      <c r="D461" t="inlineStr">
        <is>
          <t>SKÅNE LÄN</t>
        </is>
      </c>
      <c r="E461" t="inlineStr">
        <is>
          <t>KRISTIANSTAD</t>
        </is>
      </c>
      <c r="G461" t="n">
        <v>2.3</v>
      </c>
      <c r="H461" t="n">
        <v>0</v>
      </c>
      <c r="I461" t="n">
        <v>0</v>
      </c>
      <c r="J461" t="n">
        <v>0</v>
      </c>
      <c r="K461" t="n">
        <v>0</v>
      </c>
      <c r="L461" t="n">
        <v>0</v>
      </c>
      <c r="M461" t="n">
        <v>0</v>
      </c>
      <c r="N461" t="n">
        <v>0</v>
      </c>
      <c r="O461" t="n">
        <v>0</v>
      </c>
      <c r="P461" t="n">
        <v>0</v>
      </c>
      <c r="Q461" t="n">
        <v>0</v>
      </c>
      <c r="R461" s="2" t="inlineStr"/>
    </row>
    <row r="462" ht="15" customHeight="1">
      <c r="A462" t="inlineStr">
        <is>
          <t>A 67773-2018</t>
        </is>
      </c>
      <c r="B462" s="1" t="n">
        <v>43440</v>
      </c>
      <c r="C462" s="1" t="n">
        <v>45190</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67840-2018</t>
        </is>
      </c>
      <c r="B463" s="1" t="n">
        <v>43440</v>
      </c>
      <c r="C463" s="1" t="n">
        <v>45190</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67897-2018</t>
        </is>
      </c>
      <c r="B464" s="1" t="n">
        <v>43440</v>
      </c>
      <c r="C464" s="1" t="n">
        <v>45190</v>
      </c>
      <c r="D464" t="inlineStr">
        <is>
          <t>SKÅNE LÄN</t>
        </is>
      </c>
      <c r="E464" t="inlineStr">
        <is>
          <t>ÖSTRA GÖINGE</t>
        </is>
      </c>
      <c r="G464" t="n">
        <v>0.5</v>
      </c>
      <c r="H464" t="n">
        <v>0</v>
      </c>
      <c r="I464" t="n">
        <v>0</v>
      </c>
      <c r="J464" t="n">
        <v>0</v>
      </c>
      <c r="K464" t="n">
        <v>0</v>
      </c>
      <c r="L464" t="n">
        <v>0</v>
      </c>
      <c r="M464" t="n">
        <v>0</v>
      </c>
      <c r="N464" t="n">
        <v>0</v>
      </c>
      <c r="O464" t="n">
        <v>0</v>
      </c>
      <c r="P464" t="n">
        <v>0</v>
      </c>
      <c r="Q464" t="n">
        <v>0</v>
      </c>
      <c r="R464" s="2" t="inlineStr"/>
    </row>
    <row r="465" ht="15" customHeight="1">
      <c r="A465" t="inlineStr">
        <is>
          <t>A 67991-2018</t>
        </is>
      </c>
      <c r="B465" s="1" t="n">
        <v>43440</v>
      </c>
      <c r="C465" s="1" t="n">
        <v>45190</v>
      </c>
      <c r="D465" t="inlineStr">
        <is>
          <t>SKÅNE LÄN</t>
        </is>
      </c>
      <c r="E465" t="inlineStr">
        <is>
          <t>HÄSSLEHOLM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67846-2018</t>
        </is>
      </c>
      <c r="B466" s="1" t="n">
        <v>43440</v>
      </c>
      <c r="C466" s="1" t="n">
        <v>45190</v>
      </c>
      <c r="D466" t="inlineStr">
        <is>
          <t>SKÅNE LÄN</t>
        </is>
      </c>
      <c r="E466" t="inlineStr">
        <is>
          <t>SVALÖV</t>
        </is>
      </c>
      <c r="G466" t="n">
        <v>6.2</v>
      </c>
      <c r="H466" t="n">
        <v>0</v>
      </c>
      <c r="I466" t="n">
        <v>0</v>
      </c>
      <c r="J466" t="n">
        <v>0</v>
      </c>
      <c r="K466" t="n">
        <v>0</v>
      </c>
      <c r="L466" t="n">
        <v>0</v>
      </c>
      <c r="M466" t="n">
        <v>0</v>
      </c>
      <c r="N466" t="n">
        <v>0</v>
      </c>
      <c r="O466" t="n">
        <v>0</v>
      </c>
      <c r="P466" t="n">
        <v>0</v>
      </c>
      <c r="Q466" t="n">
        <v>0</v>
      </c>
      <c r="R466" s="2" t="inlineStr"/>
    </row>
    <row r="467" ht="15" customHeight="1">
      <c r="A467" t="inlineStr">
        <is>
          <t>A 67947-2018</t>
        </is>
      </c>
      <c r="B467" s="1" t="n">
        <v>43440</v>
      </c>
      <c r="C467" s="1" t="n">
        <v>45190</v>
      </c>
      <c r="D467" t="inlineStr">
        <is>
          <t>SKÅNE LÄN</t>
        </is>
      </c>
      <c r="E467" t="inlineStr">
        <is>
          <t>OSBY</t>
        </is>
      </c>
      <c r="G467" t="n">
        <v>1.2</v>
      </c>
      <c r="H467" t="n">
        <v>0</v>
      </c>
      <c r="I467" t="n">
        <v>0</v>
      </c>
      <c r="J467" t="n">
        <v>0</v>
      </c>
      <c r="K467" t="n">
        <v>0</v>
      </c>
      <c r="L467" t="n">
        <v>0</v>
      </c>
      <c r="M467" t="n">
        <v>0</v>
      </c>
      <c r="N467" t="n">
        <v>0</v>
      </c>
      <c r="O467" t="n">
        <v>0</v>
      </c>
      <c r="P467" t="n">
        <v>0</v>
      </c>
      <c r="Q467" t="n">
        <v>0</v>
      </c>
      <c r="R467" s="2" t="inlineStr"/>
    </row>
    <row r="468" ht="15" customHeight="1">
      <c r="A468" t="inlineStr">
        <is>
          <t>A 68118-2018</t>
        </is>
      </c>
      <c r="B468" s="1" t="n">
        <v>43441</v>
      </c>
      <c r="C468" s="1" t="n">
        <v>45190</v>
      </c>
      <c r="D468" t="inlineStr">
        <is>
          <t>SKÅNE LÄN</t>
        </is>
      </c>
      <c r="E468" t="inlineStr">
        <is>
          <t>LUND</t>
        </is>
      </c>
      <c r="G468" t="n">
        <v>0.5</v>
      </c>
      <c r="H468" t="n">
        <v>0</v>
      </c>
      <c r="I468" t="n">
        <v>0</v>
      </c>
      <c r="J468" t="n">
        <v>0</v>
      </c>
      <c r="K468" t="n">
        <v>0</v>
      </c>
      <c r="L468" t="n">
        <v>0</v>
      </c>
      <c r="M468" t="n">
        <v>0</v>
      </c>
      <c r="N468" t="n">
        <v>0</v>
      </c>
      <c r="O468" t="n">
        <v>0</v>
      </c>
      <c r="P468" t="n">
        <v>0</v>
      </c>
      <c r="Q468" t="n">
        <v>0</v>
      </c>
      <c r="R468" s="2" t="inlineStr"/>
    </row>
    <row r="469" ht="15" customHeight="1">
      <c r="A469" t="inlineStr">
        <is>
          <t>A 68947-2018</t>
        </is>
      </c>
      <c r="B469" s="1" t="n">
        <v>43441</v>
      </c>
      <c r="C469" s="1" t="n">
        <v>45190</v>
      </c>
      <c r="D469" t="inlineStr">
        <is>
          <t>SKÅNE LÄN</t>
        </is>
      </c>
      <c r="E469" t="inlineStr">
        <is>
          <t>HÖÖR</t>
        </is>
      </c>
      <c r="G469" t="n">
        <v>1.2</v>
      </c>
      <c r="H469" t="n">
        <v>0</v>
      </c>
      <c r="I469" t="n">
        <v>0</v>
      </c>
      <c r="J469" t="n">
        <v>0</v>
      </c>
      <c r="K469" t="n">
        <v>0</v>
      </c>
      <c r="L469" t="n">
        <v>0</v>
      </c>
      <c r="M469" t="n">
        <v>0</v>
      </c>
      <c r="N469" t="n">
        <v>0</v>
      </c>
      <c r="O469" t="n">
        <v>0</v>
      </c>
      <c r="P469" t="n">
        <v>0</v>
      </c>
      <c r="Q469" t="n">
        <v>0</v>
      </c>
      <c r="R469" s="2" t="inlineStr"/>
    </row>
    <row r="470" ht="15" customHeight="1">
      <c r="A470" t="inlineStr">
        <is>
          <t>A 69152-2018</t>
        </is>
      </c>
      <c r="B470" s="1" t="n">
        <v>43441</v>
      </c>
      <c r="C470" s="1" t="n">
        <v>45190</v>
      </c>
      <c r="D470" t="inlineStr">
        <is>
          <t>SKÅNE LÄN</t>
        </is>
      </c>
      <c r="E470" t="inlineStr">
        <is>
          <t>SIMRISHAMN</t>
        </is>
      </c>
      <c r="G470" t="n">
        <v>0.9</v>
      </c>
      <c r="H470" t="n">
        <v>0</v>
      </c>
      <c r="I470" t="n">
        <v>0</v>
      </c>
      <c r="J470" t="n">
        <v>0</v>
      </c>
      <c r="K470" t="n">
        <v>0</v>
      </c>
      <c r="L470" t="n">
        <v>0</v>
      </c>
      <c r="M470" t="n">
        <v>0</v>
      </c>
      <c r="N470" t="n">
        <v>0</v>
      </c>
      <c r="O470" t="n">
        <v>0</v>
      </c>
      <c r="P470" t="n">
        <v>0</v>
      </c>
      <c r="Q470" t="n">
        <v>0</v>
      </c>
      <c r="R470" s="2" t="inlineStr"/>
    </row>
    <row r="471" ht="15" customHeight="1">
      <c r="A471" t="inlineStr">
        <is>
          <t>A 68059-2018</t>
        </is>
      </c>
      <c r="B471" s="1" t="n">
        <v>43441</v>
      </c>
      <c r="C471" s="1" t="n">
        <v>45190</v>
      </c>
      <c r="D471" t="inlineStr">
        <is>
          <t>SKÅNE LÄN</t>
        </is>
      </c>
      <c r="E471" t="inlineStr">
        <is>
          <t>KRISTIANSTAD</t>
        </is>
      </c>
      <c r="G471" t="n">
        <v>2.8</v>
      </c>
      <c r="H471" t="n">
        <v>0</v>
      </c>
      <c r="I471" t="n">
        <v>0</v>
      </c>
      <c r="J471" t="n">
        <v>0</v>
      </c>
      <c r="K471" t="n">
        <v>0</v>
      </c>
      <c r="L471" t="n">
        <v>0</v>
      </c>
      <c r="M471" t="n">
        <v>0</v>
      </c>
      <c r="N471" t="n">
        <v>0</v>
      </c>
      <c r="O471" t="n">
        <v>0</v>
      </c>
      <c r="P471" t="n">
        <v>0</v>
      </c>
      <c r="Q471" t="n">
        <v>0</v>
      </c>
      <c r="R471" s="2" t="inlineStr"/>
    </row>
    <row r="472" ht="15" customHeight="1">
      <c r="A472" t="inlineStr">
        <is>
          <t>A 68855-2018</t>
        </is>
      </c>
      <c r="B472" s="1" t="n">
        <v>43444</v>
      </c>
      <c r="C472" s="1" t="n">
        <v>45190</v>
      </c>
      <c r="D472" t="inlineStr">
        <is>
          <t>SKÅNE LÄN</t>
        </is>
      </c>
      <c r="E472" t="inlineStr">
        <is>
          <t>ÖSTRA GÖINGE</t>
        </is>
      </c>
      <c r="G472" t="n">
        <v>1</v>
      </c>
      <c r="H472" t="n">
        <v>0</v>
      </c>
      <c r="I472" t="n">
        <v>0</v>
      </c>
      <c r="J472" t="n">
        <v>0</v>
      </c>
      <c r="K472" t="n">
        <v>0</v>
      </c>
      <c r="L472" t="n">
        <v>0</v>
      </c>
      <c r="M472" t="n">
        <v>0</v>
      </c>
      <c r="N472" t="n">
        <v>0</v>
      </c>
      <c r="O472" t="n">
        <v>0</v>
      </c>
      <c r="P472" t="n">
        <v>0</v>
      </c>
      <c r="Q472" t="n">
        <v>0</v>
      </c>
      <c r="R472" s="2" t="inlineStr"/>
    </row>
    <row r="473" ht="15" customHeight="1">
      <c r="A473" t="inlineStr">
        <is>
          <t>A 69647-2018</t>
        </is>
      </c>
      <c r="B473" s="1" t="n">
        <v>43444</v>
      </c>
      <c r="C473" s="1" t="n">
        <v>45190</v>
      </c>
      <c r="D473" t="inlineStr">
        <is>
          <t>SKÅNE LÄN</t>
        </is>
      </c>
      <c r="E473" t="inlineStr">
        <is>
          <t>OSBY</t>
        </is>
      </c>
      <c r="G473" t="n">
        <v>8.300000000000001</v>
      </c>
      <c r="H473" t="n">
        <v>0</v>
      </c>
      <c r="I473" t="n">
        <v>0</v>
      </c>
      <c r="J473" t="n">
        <v>0</v>
      </c>
      <c r="K473" t="n">
        <v>0</v>
      </c>
      <c r="L473" t="n">
        <v>0</v>
      </c>
      <c r="M473" t="n">
        <v>0</v>
      </c>
      <c r="N473" t="n">
        <v>0</v>
      </c>
      <c r="O473" t="n">
        <v>0</v>
      </c>
      <c r="P473" t="n">
        <v>0</v>
      </c>
      <c r="Q473" t="n">
        <v>0</v>
      </c>
      <c r="R473" s="2" t="inlineStr"/>
    </row>
    <row r="474" ht="15" customHeight="1">
      <c r="A474" t="inlineStr">
        <is>
          <t>A 69646-2018</t>
        </is>
      </c>
      <c r="B474" s="1" t="n">
        <v>43444</v>
      </c>
      <c r="C474" s="1" t="n">
        <v>45190</v>
      </c>
      <c r="D474" t="inlineStr">
        <is>
          <t>SKÅNE LÄN</t>
        </is>
      </c>
      <c r="E474" t="inlineStr">
        <is>
          <t>OSBY</t>
        </is>
      </c>
      <c r="G474" t="n">
        <v>3</v>
      </c>
      <c r="H474" t="n">
        <v>0</v>
      </c>
      <c r="I474" t="n">
        <v>0</v>
      </c>
      <c r="J474" t="n">
        <v>0</v>
      </c>
      <c r="K474" t="n">
        <v>0</v>
      </c>
      <c r="L474" t="n">
        <v>0</v>
      </c>
      <c r="M474" t="n">
        <v>0</v>
      </c>
      <c r="N474" t="n">
        <v>0</v>
      </c>
      <c r="O474" t="n">
        <v>0</v>
      </c>
      <c r="P474" t="n">
        <v>0</v>
      </c>
      <c r="Q474" t="n">
        <v>0</v>
      </c>
      <c r="R474" s="2" t="inlineStr"/>
    </row>
    <row r="475" ht="15" customHeight="1">
      <c r="A475" t="inlineStr">
        <is>
          <t>A 69194-2018</t>
        </is>
      </c>
      <c r="B475" s="1" t="n">
        <v>43445</v>
      </c>
      <c r="C475" s="1" t="n">
        <v>45190</v>
      </c>
      <c r="D475" t="inlineStr">
        <is>
          <t>SKÅNE LÄN</t>
        </is>
      </c>
      <c r="E475" t="inlineStr">
        <is>
          <t>ÖRKELLJUNGA</t>
        </is>
      </c>
      <c r="G475" t="n">
        <v>0.6</v>
      </c>
      <c r="H475" t="n">
        <v>0</v>
      </c>
      <c r="I475" t="n">
        <v>0</v>
      </c>
      <c r="J475" t="n">
        <v>0</v>
      </c>
      <c r="K475" t="n">
        <v>0</v>
      </c>
      <c r="L475" t="n">
        <v>0</v>
      </c>
      <c r="M475" t="n">
        <v>0</v>
      </c>
      <c r="N475" t="n">
        <v>0</v>
      </c>
      <c r="O475" t="n">
        <v>0</v>
      </c>
      <c r="P475" t="n">
        <v>0</v>
      </c>
      <c r="Q475" t="n">
        <v>0</v>
      </c>
      <c r="R475" s="2" t="inlineStr"/>
    </row>
    <row r="476" ht="15" customHeight="1">
      <c r="A476" t="inlineStr">
        <is>
          <t>A 70126-2018</t>
        </is>
      </c>
      <c r="B476" s="1" t="n">
        <v>43445</v>
      </c>
      <c r="C476" s="1" t="n">
        <v>45190</v>
      </c>
      <c r="D476" t="inlineStr">
        <is>
          <t>SKÅNE LÄN</t>
        </is>
      </c>
      <c r="E476" t="inlineStr">
        <is>
          <t>HÄSSLEHOLM</t>
        </is>
      </c>
      <c r="G476" t="n">
        <v>7.1</v>
      </c>
      <c r="H476" t="n">
        <v>0</v>
      </c>
      <c r="I476" t="n">
        <v>0</v>
      </c>
      <c r="J476" t="n">
        <v>0</v>
      </c>
      <c r="K476" t="n">
        <v>0</v>
      </c>
      <c r="L476" t="n">
        <v>0</v>
      </c>
      <c r="M476" t="n">
        <v>0</v>
      </c>
      <c r="N476" t="n">
        <v>0</v>
      </c>
      <c r="O476" t="n">
        <v>0</v>
      </c>
      <c r="P476" t="n">
        <v>0</v>
      </c>
      <c r="Q476" t="n">
        <v>0</v>
      </c>
      <c r="R476" s="2" t="inlineStr"/>
    </row>
    <row r="477" ht="15" customHeight="1">
      <c r="A477" t="inlineStr">
        <is>
          <t>A 70148-2018</t>
        </is>
      </c>
      <c r="B477" s="1" t="n">
        <v>43445</v>
      </c>
      <c r="C477" s="1" t="n">
        <v>45190</v>
      </c>
      <c r="D477" t="inlineStr">
        <is>
          <t>SKÅNE LÄN</t>
        </is>
      </c>
      <c r="E477" t="inlineStr">
        <is>
          <t>ÖSTRA GÖINGE</t>
        </is>
      </c>
      <c r="G477" t="n">
        <v>2.7</v>
      </c>
      <c r="H477" t="n">
        <v>0</v>
      </c>
      <c r="I477" t="n">
        <v>0</v>
      </c>
      <c r="J477" t="n">
        <v>0</v>
      </c>
      <c r="K477" t="n">
        <v>0</v>
      </c>
      <c r="L477" t="n">
        <v>0</v>
      </c>
      <c r="M477" t="n">
        <v>0</v>
      </c>
      <c r="N477" t="n">
        <v>0</v>
      </c>
      <c r="O477" t="n">
        <v>0</v>
      </c>
      <c r="P477" t="n">
        <v>0</v>
      </c>
      <c r="Q477" t="n">
        <v>0</v>
      </c>
      <c r="R477" s="2" t="inlineStr"/>
    </row>
    <row r="478" ht="15" customHeight="1">
      <c r="A478" t="inlineStr">
        <is>
          <t>A 69102-2018</t>
        </is>
      </c>
      <c r="B478" s="1" t="n">
        <v>43445</v>
      </c>
      <c r="C478" s="1" t="n">
        <v>45190</v>
      </c>
      <c r="D478" t="inlineStr">
        <is>
          <t>SKÅNE LÄN</t>
        </is>
      </c>
      <c r="E478" t="inlineStr">
        <is>
          <t>KRISTIANSTAD</t>
        </is>
      </c>
      <c r="G478" t="n">
        <v>1.5</v>
      </c>
      <c r="H478" t="n">
        <v>0</v>
      </c>
      <c r="I478" t="n">
        <v>0</v>
      </c>
      <c r="J478" t="n">
        <v>0</v>
      </c>
      <c r="K478" t="n">
        <v>0</v>
      </c>
      <c r="L478" t="n">
        <v>0</v>
      </c>
      <c r="M478" t="n">
        <v>0</v>
      </c>
      <c r="N478" t="n">
        <v>0</v>
      </c>
      <c r="O478" t="n">
        <v>0</v>
      </c>
      <c r="P478" t="n">
        <v>0</v>
      </c>
      <c r="Q478" t="n">
        <v>0</v>
      </c>
      <c r="R478" s="2" t="inlineStr"/>
    </row>
    <row r="479" ht="15" customHeight="1">
      <c r="A479" t="inlineStr">
        <is>
          <t>A 69397-2018</t>
        </is>
      </c>
      <c r="B479" s="1" t="n">
        <v>43446</v>
      </c>
      <c r="C479" s="1" t="n">
        <v>45190</v>
      </c>
      <c r="D479" t="inlineStr">
        <is>
          <t>SKÅNE LÄN</t>
        </is>
      </c>
      <c r="E479" t="inlineStr">
        <is>
          <t>ÖRKELLJUNGA</t>
        </is>
      </c>
      <c r="G479" t="n">
        <v>5.4</v>
      </c>
      <c r="H479" t="n">
        <v>0</v>
      </c>
      <c r="I479" t="n">
        <v>0</v>
      </c>
      <c r="J479" t="n">
        <v>0</v>
      </c>
      <c r="K479" t="n">
        <v>0</v>
      </c>
      <c r="L479" t="n">
        <v>0</v>
      </c>
      <c r="M479" t="n">
        <v>0</v>
      </c>
      <c r="N479" t="n">
        <v>0</v>
      </c>
      <c r="O479" t="n">
        <v>0</v>
      </c>
      <c r="P479" t="n">
        <v>0</v>
      </c>
      <c r="Q479" t="n">
        <v>0</v>
      </c>
      <c r="R479" s="2" t="inlineStr"/>
    </row>
    <row r="480" ht="15" customHeight="1">
      <c r="A480" t="inlineStr">
        <is>
          <t>A 69398-2018</t>
        </is>
      </c>
      <c r="B480" s="1" t="n">
        <v>43446</v>
      </c>
      <c r="C480" s="1" t="n">
        <v>45190</v>
      </c>
      <c r="D480" t="inlineStr">
        <is>
          <t>SKÅNE LÄN</t>
        </is>
      </c>
      <c r="E480" t="inlineStr">
        <is>
          <t>KRISTIANSTAD</t>
        </is>
      </c>
      <c r="G480" t="n">
        <v>1.2</v>
      </c>
      <c r="H480" t="n">
        <v>0</v>
      </c>
      <c r="I480" t="n">
        <v>0</v>
      </c>
      <c r="J480" t="n">
        <v>0</v>
      </c>
      <c r="K480" t="n">
        <v>0</v>
      </c>
      <c r="L480" t="n">
        <v>0</v>
      </c>
      <c r="M480" t="n">
        <v>0</v>
      </c>
      <c r="N480" t="n">
        <v>0</v>
      </c>
      <c r="O480" t="n">
        <v>0</v>
      </c>
      <c r="P480" t="n">
        <v>0</v>
      </c>
      <c r="Q480" t="n">
        <v>0</v>
      </c>
      <c r="R480" s="2" t="inlineStr"/>
    </row>
    <row r="481" ht="15" customHeight="1">
      <c r="A481" t="inlineStr">
        <is>
          <t>A 69249-2018</t>
        </is>
      </c>
      <c r="B481" s="1" t="n">
        <v>43446</v>
      </c>
      <c r="C481" s="1" t="n">
        <v>45190</v>
      </c>
      <c r="D481" t="inlineStr">
        <is>
          <t>SKÅNE LÄN</t>
        </is>
      </c>
      <c r="E481" t="inlineStr">
        <is>
          <t>SIMRISHAMN</t>
        </is>
      </c>
      <c r="F481" t="inlineStr">
        <is>
          <t>Övriga Aktiebolag</t>
        </is>
      </c>
      <c r="G481" t="n">
        <v>6.7</v>
      </c>
      <c r="H481" t="n">
        <v>0</v>
      </c>
      <c r="I481" t="n">
        <v>0</v>
      </c>
      <c r="J481" t="n">
        <v>0</v>
      </c>
      <c r="K481" t="n">
        <v>0</v>
      </c>
      <c r="L481" t="n">
        <v>0</v>
      </c>
      <c r="M481" t="n">
        <v>0</v>
      </c>
      <c r="N481" t="n">
        <v>0</v>
      </c>
      <c r="O481" t="n">
        <v>0</v>
      </c>
      <c r="P481" t="n">
        <v>0</v>
      </c>
      <c r="Q481" t="n">
        <v>0</v>
      </c>
      <c r="R481" s="2" t="inlineStr"/>
    </row>
    <row r="482" ht="15" customHeight="1">
      <c r="A482" t="inlineStr">
        <is>
          <t>A 69712-2018</t>
        </is>
      </c>
      <c r="B482" s="1" t="n">
        <v>43447</v>
      </c>
      <c r="C482" s="1" t="n">
        <v>45190</v>
      </c>
      <c r="D482" t="inlineStr">
        <is>
          <t>SKÅNE LÄN</t>
        </is>
      </c>
      <c r="E482" t="inlineStr">
        <is>
          <t>ÖSTRA GÖINGE</t>
        </is>
      </c>
      <c r="G482" t="n">
        <v>2.4</v>
      </c>
      <c r="H482" t="n">
        <v>0</v>
      </c>
      <c r="I482" t="n">
        <v>0</v>
      </c>
      <c r="J482" t="n">
        <v>0</v>
      </c>
      <c r="K482" t="n">
        <v>0</v>
      </c>
      <c r="L482" t="n">
        <v>0</v>
      </c>
      <c r="M482" t="n">
        <v>0</v>
      </c>
      <c r="N482" t="n">
        <v>0</v>
      </c>
      <c r="O482" t="n">
        <v>0</v>
      </c>
      <c r="P482" t="n">
        <v>0</v>
      </c>
      <c r="Q482" t="n">
        <v>0</v>
      </c>
      <c r="R482" s="2" t="inlineStr"/>
    </row>
    <row r="483" ht="15" customHeight="1">
      <c r="A483" t="inlineStr">
        <is>
          <t>A 69736-2018</t>
        </is>
      </c>
      <c r="B483" s="1" t="n">
        <v>43447</v>
      </c>
      <c r="C483" s="1" t="n">
        <v>45190</v>
      </c>
      <c r="D483" t="inlineStr">
        <is>
          <t>SKÅNE LÄN</t>
        </is>
      </c>
      <c r="E483" t="inlineStr">
        <is>
          <t>ÄNGELHOLM</t>
        </is>
      </c>
      <c r="G483" t="n">
        <v>1.1</v>
      </c>
      <c r="H483" t="n">
        <v>0</v>
      </c>
      <c r="I483" t="n">
        <v>0</v>
      </c>
      <c r="J483" t="n">
        <v>0</v>
      </c>
      <c r="K483" t="n">
        <v>0</v>
      </c>
      <c r="L483" t="n">
        <v>0</v>
      </c>
      <c r="M483" t="n">
        <v>0</v>
      </c>
      <c r="N483" t="n">
        <v>0</v>
      </c>
      <c r="O483" t="n">
        <v>0</v>
      </c>
      <c r="P483" t="n">
        <v>0</v>
      </c>
      <c r="Q483" t="n">
        <v>0</v>
      </c>
      <c r="R483" s="2" t="inlineStr"/>
    </row>
    <row r="484" ht="15" customHeight="1">
      <c r="A484" t="inlineStr">
        <is>
          <t>A 69717-2018</t>
        </is>
      </c>
      <c r="B484" s="1" t="n">
        <v>43447</v>
      </c>
      <c r="C484" s="1" t="n">
        <v>45190</v>
      </c>
      <c r="D484" t="inlineStr">
        <is>
          <t>SKÅNE LÄN</t>
        </is>
      </c>
      <c r="E484" t="inlineStr">
        <is>
          <t>ÖSTRA GÖINGE</t>
        </is>
      </c>
      <c r="G484" t="n">
        <v>0.5</v>
      </c>
      <c r="H484" t="n">
        <v>0</v>
      </c>
      <c r="I484" t="n">
        <v>0</v>
      </c>
      <c r="J484" t="n">
        <v>0</v>
      </c>
      <c r="K484" t="n">
        <v>0</v>
      </c>
      <c r="L484" t="n">
        <v>0</v>
      </c>
      <c r="M484" t="n">
        <v>0</v>
      </c>
      <c r="N484" t="n">
        <v>0</v>
      </c>
      <c r="O484" t="n">
        <v>0</v>
      </c>
      <c r="P484" t="n">
        <v>0</v>
      </c>
      <c r="Q484" t="n">
        <v>0</v>
      </c>
      <c r="R484" s="2" t="inlineStr"/>
    </row>
    <row r="485" ht="15" customHeight="1">
      <c r="A485" t="inlineStr">
        <is>
          <t>A 69725-2018</t>
        </is>
      </c>
      <c r="B485" s="1" t="n">
        <v>43447</v>
      </c>
      <c r="C485" s="1" t="n">
        <v>45190</v>
      </c>
      <c r="D485" t="inlineStr">
        <is>
          <t>SKÅNE LÄN</t>
        </is>
      </c>
      <c r="E485" t="inlineStr">
        <is>
          <t>ÖSTRA GÖINGE</t>
        </is>
      </c>
      <c r="G485" t="n">
        <v>0.7</v>
      </c>
      <c r="H485" t="n">
        <v>0</v>
      </c>
      <c r="I485" t="n">
        <v>0</v>
      </c>
      <c r="J485" t="n">
        <v>0</v>
      </c>
      <c r="K485" t="n">
        <v>0</v>
      </c>
      <c r="L485" t="n">
        <v>0</v>
      </c>
      <c r="M485" t="n">
        <v>0</v>
      </c>
      <c r="N485" t="n">
        <v>0</v>
      </c>
      <c r="O485" t="n">
        <v>0</v>
      </c>
      <c r="P485" t="n">
        <v>0</v>
      </c>
      <c r="Q485" t="n">
        <v>0</v>
      </c>
      <c r="R485" s="2" t="inlineStr"/>
    </row>
    <row r="486" ht="15" customHeight="1">
      <c r="A486" t="inlineStr">
        <is>
          <t>A 70658-2018</t>
        </is>
      </c>
      <c r="B486" s="1" t="n">
        <v>43447</v>
      </c>
      <c r="C486" s="1" t="n">
        <v>45190</v>
      </c>
      <c r="D486" t="inlineStr">
        <is>
          <t>SKÅNE LÄN</t>
        </is>
      </c>
      <c r="E486" t="inlineStr">
        <is>
          <t>KRISTIANSTAD</t>
        </is>
      </c>
      <c r="G486" t="n">
        <v>9.300000000000001</v>
      </c>
      <c r="H486" t="n">
        <v>0</v>
      </c>
      <c r="I486" t="n">
        <v>0</v>
      </c>
      <c r="J486" t="n">
        <v>0</v>
      </c>
      <c r="K486" t="n">
        <v>0</v>
      </c>
      <c r="L486" t="n">
        <v>0</v>
      </c>
      <c r="M486" t="n">
        <v>0</v>
      </c>
      <c r="N486" t="n">
        <v>0</v>
      </c>
      <c r="O486" t="n">
        <v>0</v>
      </c>
      <c r="P486" t="n">
        <v>0</v>
      </c>
      <c r="Q486" t="n">
        <v>0</v>
      </c>
      <c r="R486" s="2" t="inlineStr"/>
    </row>
    <row r="487" ht="15" customHeight="1">
      <c r="A487" t="inlineStr">
        <is>
          <t>A 70703-2018</t>
        </is>
      </c>
      <c r="B487" s="1" t="n">
        <v>43447</v>
      </c>
      <c r="C487" s="1" t="n">
        <v>45190</v>
      </c>
      <c r="D487" t="inlineStr">
        <is>
          <t>SKÅNE LÄN</t>
        </is>
      </c>
      <c r="E487" t="inlineStr">
        <is>
          <t>OSBY</t>
        </is>
      </c>
      <c r="G487" t="n">
        <v>1.6</v>
      </c>
      <c r="H487" t="n">
        <v>0</v>
      </c>
      <c r="I487" t="n">
        <v>0</v>
      </c>
      <c r="J487" t="n">
        <v>0</v>
      </c>
      <c r="K487" t="n">
        <v>0</v>
      </c>
      <c r="L487" t="n">
        <v>0</v>
      </c>
      <c r="M487" t="n">
        <v>0</v>
      </c>
      <c r="N487" t="n">
        <v>0</v>
      </c>
      <c r="O487" t="n">
        <v>0</v>
      </c>
      <c r="P487" t="n">
        <v>0</v>
      </c>
      <c r="Q487" t="n">
        <v>0</v>
      </c>
      <c r="R487" s="2" t="inlineStr"/>
    </row>
    <row r="488" ht="15" customHeight="1">
      <c r="A488" t="inlineStr">
        <is>
          <t>A 70824-2018</t>
        </is>
      </c>
      <c r="B488" s="1" t="n">
        <v>43448</v>
      </c>
      <c r="C488" s="1" t="n">
        <v>45190</v>
      </c>
      <c r="D488" t="inlineStr">
        <is>
          <t>SKÅNE LÄN</t>
        </is>
      </c>
      <c r="E488" t="inlineStr">
        <is>
          <t>ÖRKELLJUNGA</t>
        </is>
      </c>
      <c r="G488" t="n">
        <v>2.4</v>
      </c>
      <c r="H488" t="n">
        <v>0</v>
      </c>
      <c r="I488" t="n">
        <v>0</v>
      </c>
      <c r="J488" t="n">
        <v>0</v>
      </c>
      <c r="K488" t="n">
        <v>0</v>
      </c>
      <c r="L488" t="n">
        <v>0</v>
      </c>
      <c r="M488" t="n">
        <v>0</v>
      </c>
      <c r="N488" t="n">
        <v>0</v>
      </c>
      <c r="O488" t="n">
        <v>0</v>
      </c>
      <c r="P488" t="n">
        <v>0</v>
      </c>
      <c r="Q488" t="n">
        <v>0</v>
      </c>
      <c r="R488" s="2" t="inlineStr"/>
    </row>
    <row r="489" ht="15" customHeight="1">
      <c r="A489" t="inlineStr">
        <is>
          <t>A 70055-2018</t>
        </is>
      </c>
      <c r="B489" s="1" t="n">
        <v>43448</v>
      </c>
      <c r="C489" s="1" t="n">
        <v>45190</v>
      </c>
      <c r="D489" t="inlineStr">
        <is>
          <t>SKÅNE LÄN</t>
        </is>
      </c>
      <c r="E489" t="inlineStr">
        <is>
          <t>ÖRKELLJUNGA</t>
        </is>
      </c>
      <c r="G489" t="n">
        <v>0.5</v>
      </c>
      <c r="H489" t="n">
        <v>0</v>
      </c>
      <c r="I489" t="n">
        <v>0</v>
      </c>
      <c r="J489" t="n">
        <v>0</v>
      </c>
      <c r="K489" t="n">
        <v>0</v>
      </c>
      <c r="L489" t="n">
        <v>0</v>
      </c>
      <c r="M489" t="n">
        <v>0</v>
      </c>
      <c r="N489" t="n">
        <v>0</v>
      </c>
      <c r="O489" t="n">
        <v>0</v>
      </c>
      <c r="P489" t="n">
        <v>0</v>
      </c>
      <c r="Q489" t="n">
        <v>0</v>
      </c>
      <c r="R489" s="2" t="inlineStr"/>
    </row>
    <row r="490" ht="15" customHeight="1">
      <c r="A490" t="inlineStr">
        <is>
          <t>A 70279-2018</t>
        </is>
      </c>
      <c r="B490" s="1" t="n">
        <v>43449</v>
      </c>
      <c r="C490" s="1" t="n">
        <v>45190</v>
      </c>
      <c r="D490" t="inlineStr">
        <is>
          <t>SKÅNE LÄN</t>
        </is>
      </c>
      <c r="E490" t="inlineStr">
        <is>
          <t>ÖSTRA GÖINGE</t>
        </is>
      </c>
      <c r="G490" t="n">
        <v>1.9</v>
      </c>
      <c r="H490" t="n">
        <v>0</v>
      </c>
      <c r="I490" t="n">
        <v>0</v>
      </c>
      <c r="J490" t="n">
        <v>0</v>
      </c>
      <c r="K490" t="n">
        <v>0</v>
      </c>
      <c r="L490" t="n">
        <v>0</v>
      </c>
      <c r="M490" t="n">
        <v>0</v>
      </c>
      <c r="N490" t="n">
        <v>0</v>
      </c>
      <c r="O490" t="n">
        <v>0</v>
      </c>
      <c r="P490" t="n">
        <v>0</v>
      </c>
      <c r="Q490" t="n">
        <v>0</v>
      </c>
      <c r="R490" s="2" t="inlineStr"/>
    </row>
    <row r="491" ht="15" customHeight="1">
      <c r="A491" t="inlineStr">
        <is>
          <t>A 70280-2018</t>
        </is>
      </c>
      <c r="B491" s="1" t="n">
        <v>43449</v>
      </c>
      <c r="C491" s="1" t="n">
        <v>45190</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70619-2018</t>
        </is>
      </c>
      <c r="B492" s="1" t="n">
        <v>43451</v>
      </c>
      <c r="C492" s="1" t="n">
        <v>45190</v>
      </c>
      <c r="D492" t="inlineStr">
        <is>
          <t>SKÅNE LÄN</t>
        </is>
      </c>
      <c r="E492" t="inlineStr">
        <is>
          <t>HÄSSLEHOLM</t>
        </is>
      </c>
      <c r="G492" t="n">
        <v>2.3</v>
      </c>
      <c r="H492" t="n">
        <v>0</v>
      </c>
      <c r="I492" t="n">
        <v>0</v>
      </c>
      <c r="J492" t="n">
        <v>0</v>
      </c>
      <c r="K492" t="n">
        <v>0</v>
      </c>
      <c r="L492" t="n">
        <v>0</v>
      </c>
      <c r="M492" t="n">
        <v>0</v>
      </c>
      <c r="N492" t="n">
        <v>0</v>
      </c>
      <c r="O492" t="n">
        <v>0</v>
      </c>
      <c r="P492" t="n">
        <v>0</v>
      </c>
      <c r="Q492" t="n">
        <v>0</v>
      </c>
      <c r="R492" s="2" t="inlineStr"/>
    </row>
    <row r="493" ht="15" customHeight="1">
      <c r="A493" t="inlineStr">
        <is>
          <t>A 71259-2018</t>
        </is>
      </c>
      <c r="B493" s="1" t="n">
        <v>43451</v>
      </c>
      <c r="C493" s="1" t="n">
        <v>45190</v>
      </c>
      <c r="D493" t="inlineStr">
        <is>
          <t>SKÅNE LÄN</t>
        </is>
      </c>
      <c r="E493" t="inlineStr">
        <is>
          <t>HÄSSLEHOLM</t>
        </is>
      </c>
      <c r="G493" t="n">
        <v>2.9</v>
      </c>
      <c r="H493" t="n">
        <v>0</v>
      </c>
      <c r="I493" t="n">
        <v>0</v>
      </c>
      <c r="J493" t="n">
        <v>0</v>
      </c>
      <c r="K493" t="n">
        <v>0</v>
      </c>
      <c r="L493" t="n">
        <v>0</v>
      </c>
      <c r="M493" t="n">
        <v>0</v>
      </c>
      <c r="N493" t="n">
        <v>0</v>
      </c>
      <c r="O493" t="n">
        <v>0</v>
      </c>
      <c r="P493" t="n">
        <v>0</v>
      </c>
      <c r="Q493" t="n">
        <v>0</v>
      </c>
      <c r="R493" s="2" t="inlineStr"/>
    </row>
    <row r="494" ht="15" customHeight="1">
      <c r="A494" t="inlineStr">
        <is>
          <t>A 71695-2018</t>
        </is>
      </c>
      <c r="B494" s="1" t="n">
        <v>43452</v>
      </c>
      <c r="C494" s="1" t="n">
        <v>45190</v>
      </c>
      <c r="D494" t="inlineStr">
        <is>
          <t>SKÅNE LÄN</t>
        </is>
      </c>
      <c r="E494" t="inlineStr">
        <is>
          <t>HÄSSLEHOLM</t>
        </is>
      </c>
      <c r="G494" t="n">
        <v>1.3</v>
      </c>
      <c r="H494" t="n">
        <v>0</v>
      </c>
      <c r="I494" t="n">
        <v>0</v>
      </c>
      <c r="J494" t="n">
        <v>0</v>
      </c>
      <c r="K494" t="n">
        <v>0</v>
      </c>
      <c r="L494" t="n">
        <v>0</v>
      </c>
      <c r="M494" t="n">
        <v>0</v>
      </c>
      <c r="N494" t="n">
        <v>0</v>
      </c>
      <c r="O494" t="n">
        <v>0</v>
      </c>
      <c r="P494" t="n">
        <v>0</v>
      </c>
      <c r="Q494" t="n">
        <v>0</v>
      </c>
      <c r="R494" s="2" t="inlineStr"/>
    </row>
    <row r="495" ht="15" customHeight="1">
      <c r="A495" t="inlineStr">
        <is>
          <t>A 71820-2018</t>
        </is>
      </c>
      <c r="B495" s="1" t="n">
        <v>43452</v>
      </c>
      <c r="C495" s="1" t="n">
        <v>45190</v>
      </c>
      <c r="D495" t="inlineStr">
        <is>
          <t>SKÅNE LÄN</t>
        </is>
      </c>
      <c r="E495" t="inlineStr">
        <is>
          <t>ÄNGELHOLM</t>
        </is>
      </c>
      <c r="G495" t="n">
        <v>1.9</v>
      </c>
      <c r="H495" t="n">
        <v>0</v>
      </c>
      <c r="I495" t="n">
        <v>0</v>
      </c>
      <c r="J495" t="n">
        <v>0</v>
      </c>
      <c r="K495" t="n">
        <v>0</v>
      </c>
      <c r="L495" t="n">
        <v>0</v>
      </c>
      <c r="M495" t="n">
        <v>0</v>
      </c>
      <c r="N495" t="n">
        <v>0</v>
      </c>
      <c r="O495" t="n">
        <v>0</v>
      </c>
      <c r="P495" t="n">
        <v>0</v>
      </c>
      <c r="Q495" t="n">
        <v>0</v>
      </c>
      <c r="R495" s="2" t="inlineStr"/>
    </row>
    <row r="496" ht="15" customHeight="1">
      <c r="A496" t="inlineStr">
        <is>
          <t>A 71106-2018</t>
        </is>
      </c>
      <c r="B496" s="1" t="n">
        <v>43452</v>
      </c>
      <c r="C496" s="1" t="n">
        <v>45190</v>
      </c>
      <c r="D496" t="inlineStr">
        <is>
          <t>SKÅNE LÄN</t>
        </is>
      </c>
      <c r="E496" t="inlineStr">
        <is>
          <t>KRISTIANSTAD</t>
        </is>
      </c>
      <c r="G496" t="n">
        <v>1.6</v>
      </c>
      <c r="H496" t="n">
        <v>0</v>
      </c>
      <c r="I496" t="n">
        <v>0</v>
      </c>
      <c r="J496" t="n">
        <v>0</v>
      </c>
      <c r="K496" t="n">
        <v>0</v>
      </c>
      <c r="L496" t="n">
        <v>0</v>
      </c>
      <c r="M496" t="n">
        <v>0</v>
      </c>
      <c r="N496" t="n">
        <v>0</v>
      </c>
      <c r="O496" t="n">
        <v>0</v>
      </c>
      <c r="P496" t="n">
        <v>0</v>
      </c>
      <c r="Q496" t="n">
        <v>0</v>
      </c>
      <c r="R496" s="2" t="inlineStr"/>
    </row>
    <row r="497" ht="15" customHeight="1">
      <c r="A497" t="inlineStr">
        <is>
          <t>A 71167-2018</t>
        </is>
      </c>
      <c r="B497" s="1" t="n">
        <v>43452</v>
      </c>
      <c r="C497" s="1" t="n">
        <v>45190</v>
      </c>
      <c r="D497" t="inlineStr">
        <is>
          <t>SKÅNE LÄN</t>
        </is>
      </c>
      <c r="E497" t="inlineStr">
        <is>
          <t>HÖÖR</t>
        </is>
      </c>
      <c r="G497" t="n">
        <v>3.1</v>
      </c>
      <c r="H497" t="n">
        <v>0</v>
      </c>
      <c r="I497" t="n">
        <v>0</v>
      </c>
      <c r="J497" t="n">
        <v>0</v>
      </c>
      <c r="K497" t="n">
        <v>0</v>
      </c>
      <c r="L497" t="n">
        <v>0</v>
      </c>
      <c r="M497" t="n">
        <v>0</v>
      </c>
      <c r="N497" t="n">
        <v>0</v>
      </c>
      <c r="O497" t="n">
        <v>0</v>
      </c>
      <c r="P497" t="n">
        <v>0</v>
      </c>
      <c r="Q497" t="n">
        <v>0</v>
      </c>
      <c r="R497" s="2" t="inlineStr"/>
    </row>
    <row r="498" ht="15" customHeight="1">
      <c r="A498" t="inlineStr">
        <is>
          <t>A 71688-2018</t>
        </is>
      </c>
      <c r="B498" s="1" t="n">
        <v>43452</v>
      </c>
      <c r="C498" s="1" t="n">
        <v>45190</v>
      </c>
      <c r="D498" t="inlineStr">
        <is>
          <t>SKÅNE LÄN</t>
        </is>
      </c>
      <c r="E498" t="inlineStr">
        <is>
          <t>HÄSSLEHOLM</t>
        </is>
      </c>
      <c r="G498" t="n">
        <v>2.1</v>
      </c>
      <c r="H498" t="n">
        <v>0</v>
      </c>
      <c r="I498" t="n">
        <v>0</v>
      </c>
      <c r="J498" t="n">
        <v>0</v>
      </c>
      <c r="K498" t="n">
        <v>0</v>
      </c>
      <c r="L498" t="n">
        <v>0</v>
      </c>
      <c r="M498" t="n">
        <v>0</v>
      </c>
      <c r="N498" t="n">
        <v>0</v>
      </c>
      <c r="O498" t="n">
        <v>0</v>
      </c>
      <c r="P498" t="n">
        <v>0</v>
      </c>
      <c r="Q498" t="n">
        <v>0</v>
      </c>
      <c r="R498" s="2" t="inlineStr"/>
    </row>
    <row r="499" ht="15" customHeight="1">
      <c r="A499" t="inlineStr">
        <is>
          <t>A 71425-2018</t>
        </is>
      </c>
      <c r="B499" s="1" t="n">
        <v>43453</v>
      </c>
      <c r="C499" s="1" t="n">
        <v>45190</v>
      </c>
      <c r="D499" t="inlineStr">
        <is>
          <t>SKÅNE LÄN</t>
        </is>
      </c>
      <c r="E499" t="inlineStr">
        <is>
          <t>KRISTIANSTAD</t>
        </is>
      </c>
      <c r="G499" t="n">
        <v>1.2</v>
      </c>
      <c r="H499" t="n">
        <v>0</v>
      </c>
      <c r="I499" t="n">
        <v>0</v>
      </c>
      <c r="J499" t="n">
        <v>0</v>
      </c>
      <c r="K499" t="n">
        <v>0</v>
      </c>
      <c r="L499" t="n">
        <v>0</v>
      </c>
      <c r="M499" t="n">
        <v>0</v>
      </c>
      <c r="N499" t="n">
        <v>0</v>
      </c>
      <c r="O499" t="n">
        <v>0</v>
      </c>
      <c r="P499" t="n">
        <v>0</v>
      </c>
      <c r="Q499" t="n">
        <v>0</v>
      </c>
      <c r="R499" s="2" t="inlineStr"/>
    </row>
    <row r="500" ht="15" customHeight="1">
      <c r="A500" t="inlineStr">
        <is>
          <t>A 71292-2018</t>
        </is>
      </c>
      <c r="B500" s="1" t="n">
        <v>43453</v>
      </c>
      <c r="C500" s="1" t="n">
        <v>45190</v>
      </c>
      <c r="D500" t="inlineStr">
        <is>
          <t>SKÅNE LÄN</t>
        </is>
      </c>
      <c r="E500" t="inlineStr">
        <is>
          <t>HÄSSLEHOLM</t>
        </is>
      </c>
      <c r="G500" t="n">
        <v>0.5</v>
      </c>
      <c r="H500" t="n">
        <v>0</v>
      </c>
      <c r="I500" t="n">
        <v>0</v>
      </c>
      <c r="J500" t="n">
        <v>0</v>
      </c>
      <c r="K500" t="n">
        <v>0</v>
      </c>
      <c r="L500" t="n">
        <v>0</v>
      </c>
      <c r="M500" t="n">
        <v>0</v>
      </c>
      <c r="N500" t="n">
        <v>0</v>
      </c>
      <c r="O500" t="n">
        <v>0</v>
      </c>
      <c r="P500" t="n">
        <v>0</v>
      </c>
      <c r="Q500" t="n">
        <v>0</v>
      </c>
      <c r="R500" s="2" t="inlineStr"/>
    </row>
    <row r="501" ht="15" customHeight="1">
      <c r="A501" t="inlineStr">
        <is>
          <t>A 373-2019</t>
        </is>
      </c>
      <c r="B501" s="1" t="n">
        <v>43454</v>
      </c>
      <c r="C501" s="1" t="n">
        <v>45190</v>
      </c>
      <c r="D501" t="inlineStr">
        <is>
          <t>SKÅNE LÄN</t>
        </is>
      </c>
      <c r="E501" t="inlineStr">
        <is>
          <t>KLIPPAN</t>
        </is>
      </c>
      <c r="G501" t="n">
        <v>0.6</v>
      </c>
      <c r="H501" t="n">
        <v>0</v>
      </c>
      <c r="I501" t="n">
        <v>0</v>
      </c>
      <c r="J501" t="n">
        <v>0</v>
      </c>
      <c r="K501" t="n">
        <v>0</v>
      </c>
      <c r="L501" t="n">
        <v>0</v>
      </c>
      <c r="M501" t="n">
        <v>0</v>
      </c>
      <c r="N501" t="n">
        <v>0</v>
      </c>
      <c r="O501" t="n">
        <v>0</v>
      </c>
      <c r="P501" t="n">
        <v>0</v>
      </c>
      <c r="Q501" t="n">
        <v>0</v>
      </c>
      <c r="R501" s="2" t="inlineStr"/>
    </row>
    <row r="502" ht="15" customHeight="1">
      <c r="A502" t="inlineStr">
        <is>
          <t>A 71621-2018</t>
        </is>
      </c>
      <c r="B502" s="1" t="n">
        <v>43454</v>
      </c>
      <c r="C502" s="1" t="n">
        <v>45190</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71805-2018</t>
        </is>
      </c>
      <c r="B503" s="1" t="n">
        <v>43454</v>
      </c>
      <c r="C503" s="1" t="n">
        <v>45190</v>
      </c>
      <c r="D503" t="inlineStr">
        <is>
          <t>SKÅNE LÄN</t>
        </is>
      </c>
      <c r="E503" t="inlineStr">
        <is>
          <t>HÄSSLEHOLM</t>
        </is>
      </c>
      <c r="G503" t="n">
        <v>3</v>
      </c>
      <c r="H503" t="n">
        <v>0</v>
      </c>
      <c r="I503" t="n">
        <v>0</v>
      </c>
      <c r="J503" t="n">
        <v>0</v>
      </c>
      <c r="K503" t="n">
        <v>0</v>
      </c>
      <c r="L503" t="n">
        <v>0</v>
      </c>
      <c r="M503" t="n">
        <v>0</v>
      </c>
      <c r="N503" t="n">
        <v>0</v>
      </c>
      <c r="O503" t="n">
        <v>0</v>
      </c>
      <c r="P503" t="n">
        <v>0</v>
      </c>
      <c r="Q503" t="n">
        <v>0</v>
      </c>
      <c r="R503" s="2" t="inlineStr"/>
    </row>
    <row r="504" ht="15" customHeight="1">
      <c r="A504" t="inlineStr">
        <is>
          <t>A 575-2019</t>
        </is>
      </c>
      <c r="B504" s="1" t="n">
        <v>43455</v>
      </c>
      <c r="C504" s="1" t="n">
        <v>45190</v>
      </c>
      <c r="D504" t="inlineStr">
        <is>
          <t>SKÅNE LÄN</t>
        </is>
      </c>
      <c r="E504" t="inlineStr">
        <is>
          <t>KRISTIANSTAD</t>
        </is>
      </c>
      <c r="G504" t="n">
        <v>1.5</v>
      </c>
      <c r="H504" t="n">
        <v>0</v>
      </c>
      <c r="I504" t="n">
        <v>0</v>
      </c>
      <c r="J504" t="n">
        <v>0</v>
      </c>
      <c r="K504" t="n">
        <v>0</v>
      </c>
      <c r="L504" t="n">
        <v>0</v>
      </c>
      <c r="M504" t="n">
        <v>0</v>
      </c>
      <c r="N504" t="n">
        <v>0</v>
      </c>
      <c r="O504" t="n">
        <v>0</v>
      </c>
      <c r="P504" t="n">
        <v>0</v>
      </c>
      <c r="Q504" t="n">
        <v>0</v>
      </c>
      <c r="R504" s="2" t="inlineStr"/>
    </row>
    <row r="505" ht="15" customHeight="1">
      <c r="A505" t="inlineStr">
        <is>
          <t>A 1021-2019</t>
        </is>
      </c>
      <c r="B505" s="1" t="n">
        <v>43460</v>
      </c>
      <c r="C505" s="1" t="n">
        <v>45190</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72416-2018</t>
        </is>
      </c>
      <c r="B506" s="1" t="n">
        <v>43461</v>
      </c>
      <c r="C506" s="1" t="n">
        <v>45190</v>
      </c>
      <c r="D506" t="inlineStr">
        <is>
          <t>SKÅNE LÄN</t>
        </is>
      </c>
      <c r="E506" t="inlineStr">
        <is>
          <t>OSBY</t>
        </is>
      </c>
      <c r="G506" t="n">
        <v>1.9</v>
      </c>
      <c r="H506" t="n">
        <v>0</v>
      </c>
      <c r="I506" t="n">
        <v>0</v>
      </c>
      <c r="J506" t="n">
        <v>0</v>
      </c>
      <c r="K506" t="n">
        <v>0</v>
      </c>
      <c r="L506" t="n">
        <v>0</v>
      </c>
      <c r="M506" t="n">
        <v>0</v>
      </c>
      <c r="N506" t="n">
        <v>0</v>
      </c>
      <c r="O506" t="n">
        <v>0</v>
      </c>
      <c r="P506" t="n">
        <v>0</v>
      </c>
      <c r="Q506" t="n">
        <v>0</v>
      </c>
      <c r="R506" s="2" t="inlineStr"/>
    </row>
    <row r="507" ht="15" customHeight="1">
      <c r="A507" t="inlineStr">
        <is>
          <t>A 72429-2018</t>
        </is>
      </c>
      <c r="B507" s="1" t="n">
        <v>43461</v>
      </c>
      <c r="C507" s="1" t="n">
        <v>45190</v>
      </c>
      <c r="D507" t="inlineStr">
        <is>
          <t>SKÅNE LÄN</t>
        </is>
      </c>
      <c r="E507" t="inlineStr">
        <is>
          <t>ÖRKELLJUNGA</t>
        </is>
      </c>
      <c r="G507" t="n">
        <v>0.8</v>
      </c>
      <c r="H507" t="n">
        <v>0</v>
      </c>
      <c r="I507" t="n">
        <v>0</v>
      </c>
      <c r="J507" t="n">
        <v>0</v>
      </c>
      <c r="K507" t="n">
        <v>0</v>
      </c>
      <c r="L507" t="n">
        <v>0</v>
      </c>
      <c r="M507" t="n">
        <v>0</v>
      </c>
      <c r="N507" t="n">
        <v>0</v>
      </c>
      <c r="O507" t="n">
        <v>0</v>
      </c>
      <c r="P507" t="n">
        <v>0</v>
      </c>
      <c r="Q507" t="n">
        <v>0</v>
      </c>
      <c r="R507" s="2" t="inlineStr"/>
    </row>
    <row r="508" ht="15" customHeight="1">
      <c r="A508" t="inlineStr">
        <is>
          <t>A 1831-2019</t>
        </is>
      </c>
      <c r="B508" s="1" t="n">
        <v>43461</v>
      </c>
      <c r="C508" s="1" t="n">
        <v>45190</v>
      </c>
      <c r="D508" t="inlineStr">
        <is>
          <t>SKÅNE LÄN</t>
        </is>
      </c>
      <c r="E508" t="inlineStr">
        <is>
          <t>HÖÖR</t>
        </is>
      </c>
      <c r="G508" t="n">
        <v>3.1</v>
      </c>
      <c r="H508" t="n">
        <v>0</v>
      </c>
      <c r="I508" t="n">
        <v>0</v>
      </c>
      <c r="J508" t="n">
        <v>0</v>
      </c>
      <c r="K508" t="n">
        <v>0</v>
      </c>
      <c r="L508" t="n">
        <v>0</v>
      </c>
      <c r="M508" t="n">
        <v>0</v>
      </c>
      <c r="N508" t="n">
        <v>0</v>
      </c>
      <c r="O508" t="n">
        <v>0</v>
      </c>
      <c r="P508" t="n">
        <v>0</v>
      </c>
      <c r="Q508" t="n">
        <v>0</v>
      </c>
      <c r="R508" s="2" t="inlineStr"/>
    </row>
    <row r="509" ht="15" customHeight="1">
      <c r="A509" t="inlineStr">
        <is>
          <t>A 72629-2018</t>
        </is>
      </c>
      <c r="B509" s="1" t="n">
        <v>43464</v>
      </c>
      <c r="C509" s="1" t="n">
        <v>45190</v>
      </c>
      <c r="D509" t="inlineStr">
        <is>
          <t>SKÅNE LÄN</t>
        </is>
      </c>
      <c r="E509" t="inlineStr">
        <is>
          <t>OSBY</t>
        </is>
      </c>
      <c r="G509" t="n">
        <v>0.5</v>
      </c>
      <c r="H509" t="n">
        <v>0</v>
      </c>
      <c r="I509" t="n">
        <v>0</v>
      </c>
      <c r="J509" t="n">
        <v>0</v>
      </c>
      <c r="K509" t="n">
        <v>0</v>
      </c>
      <c r="L509" t="n">
        <v>0</v>
      </c>
      <c r="M509" t="n">
        <v>0</v>
      </c>
      <c r="N509" t="n">
        <v>0</v>
      </c>
      <c r="O509" t="n">
        <v>0</v>
      </c>
      <c r="P509" t="n">
        <v>0</v>
      </c>
      <c r="Q509" t="n">
        <v>0</v>
      </c>
      <c r="R509" s="2" t="inlineStr"/>
    </row>
    <row r="510" ht="15" customHeight="1">
      <c r="A510" t="inlineStr">
        <is>
          <t>A 72636-2018</t>
        </is>
      </c>
      <c r="B510" s="1" t="n">
        <v>43464</v>
      </c>
      <c r="C510" s="1" t="n">
        <v>45190</v>
      </c>
      <c r="D510" t="inlineStr">
        <is>
          <t>SKÅNE LÄN</t>
        </is>
      </c>
      <c r="E510" t="inlineStr">
        <is>
          <t>OSBY</t>
        </is>
      </c>
      <c r="G510" t="n">
        <v>3</v>
      </c>
      <c r="H510" t="n">
        <v>0</v>
      </c>
      <c r="I510" t="n">
        <v>0</v>
      </c>
      <c r="J510" t="n">
        <v>0</v>
      </c>
      <c r="K510" t="n">
        <v>0</v>
      </c>
      <c r="L510" t="n">
        <v>0</v>
      </c>
      <c r="M510" t="n">
        <v>0</v>
      </c>
      <c r="N510" t="n">
        <v>0</v>
      </c>
      <c r="O510" t="n">
        <v>0</v>
      </c>
      <c r="P510" t="n">
        <v>0</v>
      </c>
      <c r="Q510" t="n">
        <v>0</v>
      </c>
      <c r="R510" s="2" t="inlineStr"/>
    </row>
    <row r="511" ht="15" customHeight="1">
      <c r="A511" t="inlineStr">
        <is>
          <t>A 2136-2019</t>
        </is>
      </c>
      <c r="B511" s="1" t="n">
        <v>43467</v>
      </c>
      <c r="C511" s="1" t="n">
        <v>45190</v>
      </c>
      <c r="D511" t="inlineStr">
        <is>
          <t>SKÅNE LÄN</t>
        </is>
      </c>
      <c r="E511" t="inlineStr">
        <is>
          <t>SJÖBO</t>
        </is>
      </c>
      <c r="G511" t="n">
        <v>5.4</v>
      </c>
      <c r="H511" t="n">
        <v>0</v>
      </c>
      <c r="I511" t="n">
        <v>0</v>
      </c>
      <c r="J511" t="n">
        <v>0</v>
      </c>
      <c r="K511" t="n">
        <v>0</v>
      </c>
      <c r="L511" t="n">
        <v>0</v>
      </c>
      <c r="M511" t="n">
        <v>0</v>
      </c>
      <c r="N511" t="n">
        <v>0</v>
      </c>
      <c r="O511" t="n">
        <v>0</v>
      </c>
      <c r="P511" t="n">
        <v>0</v>
      </c>
      <c r="Q511" t="n">
        <v>0</v>
      </c>
      <c r="R511" s="2" t="inlineStr"/>
    </row>
    <row r="512" ht="15" customHeight="1">
      <c r="A512" t="inlineStr">
        <is>
          <t>A 592-2019</t>
        </is>
      </c>
      <c r="B512" s="1" t="n">
        <v>43469</v>
      </c>
      <c r="C512" s="1" t="n">
        <v>45190</v>
      </c>
      <c r="D512" t="inlineStr">
        <is>
          <t>SKÅNE LÄN</t>
        </is>
      </c>
      <c r="E512" t="inlineStr">
        <is>
          <t>KRISTIANSTAD</t>
        </is>
      </c>
      <c r="G512" t="n">
        <v>2.7</v>
      </c>
      <c r="H512" t="n">
        <v>0</v>
      </c>
      <c r="I512" t="n">
        <v>0</v>
      </c>
      <c r="J512" t="n">
        <v>0</v>
      </c>
      <c r="K512" t="n">
        <v>0</v>
      </c>
      <c r="L512" t="n">
        <v>0</v>
      </c>
      <c r="M512" t="n">
        <v>0</v>
      </c>
      <c r="N512" t="n">
        <v>0</v>
      </c>
      <c r="O512" t="n">
        <v>0</v>
      </c>
      <c r="P512" t="n">
        <v>0</v>
      </c>
      <c r="Q512" t="n">
        <v>0</v>
      </c>
      <c r="R512" s="2" t="inlineStr"/>
    </row>
    <row r="513" ht="15" customHeight="1">
      <c r="A513" t="inlineStr">
        <is>
          <t>A 678-2019</t>
        </is>
      </c>
      <c r="B513" s="1" t="n">
        <v>43469</v>
      </c>
      <c r="C513" s="1" t="n">
        <v>45190</v>
      </c>
      <c r="D513" t="inlineStr">
        <is>
          <t>SKÅNE LÄN</t>
        </is>
      </c>
      <c r="E513" t="inlineStr">
        <is>
          <t>ÄNGELHOLM</t>
        </is>
      </c>
      <c r="G513" t="n">
        <v>0.7</v>
      </c>
      <c r="H513" t="n">
        <v>0</v>
      </c>
      <c r="I513" t="n">
        <v>0</v>
      </c>
      <c r="J513" t="n">
        <v>0</v>
      </c>
      <c r="K513" t="n">
        <v>0</v>
      </c>
      <c r="L513" t="n">
        <v>0</v>
      </c>
      <c r="M513" t="n">
        <v>0</v>
      </c>
      <c r="N513" t="n">
        <v>0</v>
      </c>
      <c r="O513" t="n">
        <v>0</v>
      </c>
      <c r="P513" t="n">
        <v>0</v>
      </c>
      <c r="Q513" t="n">
        <v>0</v>
      </c>
      <c r="R513" s="2" t="inlineStr"/>
    </row>
    <row r="514" ht="15" customHeight="1">
      <c r="A514" t="inlineStr">
        <is>
          <t>A 595-2019</t>
        </is>
      </c>
      <c r="B514" s="1" t="n">
        <v>43469</v>
      </c>
      <c r="C514" s="1" t="n">
        <v>45190</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670-2019</t>
        </is>
      </c>
      <c r="B515" s="1" t="n">
        <v>43469</v>
      </c>
      <c r="C515" s="1" t="n">
        <v>45190</v>
      </c>
      <c r="D515" t="inlineStr">
        <is>
          <t>SKÅNE LÄN</t>
        </is>
      </c>
      <c r="E515" t="inlineStr">
        <is>
          <t>ÄNGELHOLM</t>
        </is>
      </c>
      <c r="G515" t="n">
        <v>1.6</v>
      </c>
      <c r="H515" t="n">
        <v>0</v>
      </c>
      <c r="I515" t="n">
        <v>0</v>
      </c>
      <c r="J515" t="n">
        <v>0</v>
      </c>
      <c r="K515" t="n">
        <v>0</v>
      </c>
      <c r="L515" t="n">
        <v>0</v>
      </c>
      <c r="M515" t="n">
        <v>0</v>
      </c>
      <c r="N515" t="n">
        <v>0</v>
      </c>
      <c r="O515" t="n">
        <v>0</v>
      </c>
      <c r="P515" t="n">
        <v>0</v>
      </c>
      <c r="Q515" t="n">
        <v>0</v>
      </c>
      <c r="R515" s="2" t="inlineStr"/>
    </row>
    <row r="516" ht="15" customHeight="1">
      <c r="A516" t="inlineStr">
        <is>
          <t>A 2672-2019</t>
        </is>
      </c>
      <c r="B516" s="1" t="n">
        <v>43469</v>
      </c>
      <c r="C516" s="1" t="n">
        <v>45190</v>
      </c>
      <c r="D516" t="inlineStr">
        <is>
          <t>SKÅNE LÄN</t>
        </is>
      </c>
      <c r="E516" t="inlineStr">
        <is>
          <t>BÅSTAD</t>
        </is>
      </c>
      <c r="G516" t="n">
        <v>5.1</v>
      </c>
      <c r="H516" t="n">
        <v>0</v>
      </c>
      <c r="I516" t="n">
        <v>0</v>
      </c>
      <c r="J516" t="n">
        <v>0</v>
      </c>
      <c r="K516" t="n">
        <v>0</v>
      </c>
      <c r="L516" t="n">
        <v>0</v>
      </c>
      <c r="M516" t="n">
        <v>0</v>
      </c>
      <c r="N516" t="n">
        <v>0</v>
      </c>
      <c r="O516" t="n">
        <v>0</v>
      </c>
      <c r="P516" t="n">
        <v>0</v>
      </c>
      <c r="Q516" t="n">
        <v>0</v>
      </c>
      <c r="R516" s="2" t="inlineStr"/>
    </row>
    <row r="517" ht="15" customHeight="1">
      <c r="A517" t="inlineStr">
        <is>
          <t>A 2832-2019</t>
        </is>
      </c>
      <c r="B517" s="1" t="n">
        <v>43469</v>
      </c>
      <c r="C517" s="1" t="n">
        <v>45190</v>
      </c>
      <c r="D517" t="inlineStr">
        <is>
          <t>SKÅNE LÄN</t>
        </is>
      </c>
      <c r="E517" t="inlineStr">
        <is>
          <t>ÖSTRA GÖINGE</t>
        </is>
      </c>
      <c r="G517" t="n">
        <v>0.6</v>
      </c>
      <c r="H517" t="n">
        <v>0</v>
      </c>
      <c r="I517" t="n">
        <v>0</v>
      </c>
      <c r="J517" t="n">
        <v>0</v>
      </c>
      <c r="K517" t="n">
        <v>0</v>
      </c>
      <c r="L517" t="n">
        <v>0</v>
      </c>
      <c r="M517" t="n">
        <v>0</v>
      </c>
      <c r="N517" t="n">
        <v>0</v>
      </c>
      <c r="O517" t="n">
        <v>0</v>
      </c>
      <c r="P517" t="n">
        <v>0</v>
      </c>
      <c r="Q517" t="n">
        <v>0</v>
      </c>
      <c r="R517" s="2" t="inlineStr"/>
    </row>
    <row r="518" ht="15" customHeight="1">
      <c r="A518" t="inlineStr">
        <is>
          <t>A 754-2019</t>
        </is>
      </c>
      <c r="B518" s="1" t="n">
        <v>43471</v>
      </c>
      <c r="C518" s="1" t="n">
        <v>45190</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804-2019</t>
        </is>
      </c>
      <c r="B519" s="1" t="n">
        <v>43472</v>
      </c>
      <c r="C519" s="1" t="n">
        <v>45190</v>
      </c>
      <c r="D519" t="inlineStr">
        <is>
          <t>SKÅNE LÄN</t>
        </is>
      </c>
      <c r="E519" t="inlineStr">
        <is>
          <t>OSBY</t>
        </is>
      </c>
      <c r="G519" t="n">
        <v>2.3</v>
      </c>
      <c r="H519" t="n">
        <v>0</v>
      </c>
      <c r="I519" t="n">
        <v>0</v>
      </c>
      <c r="J519" t="n">
        <v>0</v>
      </c>
      <c r="K519" t="n">
        <v>0</v>
      </c>
      <c r="L519" t="n">
        <v>0</v>
      </c>
      <c r="M519" t="n">
        <v>0</v>
      </c>
      <c r="N519" t="n">
        <v>0</v>
      </c>
      <c r="O519" t="n">
        <v>0</v>
      </c>
      <c r="P519" t="n">
        <v>0</v>
      </c>
      <c r="Q519" t="n">
        <v>0</v>
      </c>
      <c r="R519" s="2" t="inlineStr"/>
    </row>
    <row r="520" ht="15" customHeight="1">
      <c r="A520" t="inlineStr">
        <is>
          <t>A 1924-2019</t>
        </is>
      </c>
      <c r="B520" s="1" t="n">
        <v>43473</v>
      </c>
      <c r="C520" s="1" t="n">
        <v>45190</v>
      </c>
      <c r="D520" t="inlineStr">
        <is>
          <t>SKÅNE LÄN</t>
        </is>
      </c>
      <c r="E520" t="inlineStr">
        <is>
          <t>HÖRBY</t>
        </is>
      </c>
      <c r="G520" t="n">
        <v>4.5</v>
      </c>
      <c r="H520" t="n">
        <v>0</v>
      </c>
      <c r="I520" t="n">
        <v>0</v>
      </c>
      <c r="J520" t="n">
        <v>0</v>
      </c>
      <c r="K520" t="n">
        <v>0</v>
      </c>
      <c r="L520" t="n">
        <v>0</v>
      </c>
      <c r="M520" t="n">
        <v>0</v>
      </c>
      <c r="N520" t="n">
        <v>0</v>
      </c>
      <c r="O520" t="n">
        <v>0</v>
      </c>
      <c r="P520" t="n">
        <v>0</v>
      </c>
      <c r="Q520" t="n">
        <v>0</v>
      </c>
      <c r="R520" s="2" t="inlineStr"/>
    </row>
    <row r="521" ht="15" customHeight="1">
      <c r="A521" t="inlineStr">
        <is>
          <t>A 1711-2019</t>
        </is>
      </c>
      <c r="B521" s="1" t="n">
        <v>43474</v>
      </c>
      <c r="C521" s="1" t="n">
        <v>45190</v>
      </c>
      <c r="D521" t="inlineStr">
        <is>
          <t>SKÅNE LÄN</t>
        </is>
      </c>
      <c r="E521" t="inlineStr">
        <is>
          <t>ÖRKELLJUNGA</t>
        </is>
      </c>
      <c r="G521" t="n">
        <v>0.9</v>
      </c>
      <c r="H521" t="n">
        <v>0</v>
      </c>
      <c r="I521" t="n">
        <v>0</v>
      </c>
      <c r="J521" t="n">
        <v>0</v>
      </c>
      <c r="K521" t="n">
        <v>0</v>
      </c>
      <c r="L521" t="n">
        <v>0</v>
      </c>
      <c r="M521" t="n">
        <v>0</v>
      </c>
      <c r="N521" t="n">
        <v>0</v>
      </c>
      <c r="O521" t="n">
        <v>0</v>
      </c>
      <c r="P521" t="n">
        <v>0</v>
      </c>
      <c r="Q521" t="n">
        <v>0</v>
      </c>
      <c r="R521" s="2" t="inlineStr"/>
    </row>
    <row r="522" ht="15" customHeight="1">
      <c r="A522" t="inlineStr">
        <is>
          <t>A 1858-2019</t>
        </is>
      </c>
      <c r="B522" s="1" t="n">
        <v>43474</v>
      </c>
      <c r="C522" s="1" t="n">
        <v>45190</v>
      </c>
      <c r="D522" t="inlineStr">
        <is>
          <t>SKÅNE LÄN</t>
        </is>
      </c>
      <c r="E522" t="inlineStr">
        <is>
          <t>KRISTIANSTAD</t>
        </is>
      </c>
      <c r="G522" t="n">
        <v>2.9</v>
      </c>
      <c r="H522" t="n">
        <v>0</v>
      </c>
      <c r="I522" t="n">
        <v>0</v>
      </c>
      <c r="J522" t="n">
        <v>0</v>
      </c>
      <c r="K522" t="n">
        <v>0</v>
      </c>
      <c r="L522" t="n">
        <v>0</v>
      </c>
      <c r="M522" t="n">
        <v>0</v>
      </c>
      <c r="N522" t="n">
        <v>0</v>
      </c>
      <c r="O522" t="n">
        <v>0</v>
      </c>
      <c r="P522" t="n">
        <v>0</v>
      </c>
      <c r="Q522" t="n">
        <v>0</v>
      </c>
      <c r="R522" s="2" t="inlineStr"/>
    </row>
    <row r="523" ht="15" customHeight="1">
      <c r="A523" t="inlineStr">
        <is>
          <t>A 3605-2019</t>
        </is>
      </c>
      <c r="B523" s="1" t="n">
        <v>43474</v>
      </c>
      <c r="C523" s="1" t="n">
        <v>45190</v>
      </c>
      <c r="D523" t="inlineStr">
        <is>
          <t>SKÅNE LÄN</t>
        </is>
      </c>
      <c r="E523" t="inlineStr">
        <is>
          <t>ESLÖV</t>
        </is>
      </c>
      <c r="G523" t="n">
        <v>1</v>
      </c>
      <c r="H523" t="n">
        <v>0</v>
      </c>
      <c r="I523" t="n">
        <v>0</v>
      </c>
      <c r="J523" t="n">
        <v>0</v>
      </c>
      <c r="K523" t="n">
        <v>0</v>
      </c>
      <c r="L523" t="n">
        <v>0</v>
      </c>
      <c r="M523" t="n">
        <v>0</v>
      </c>
      <c r="N523" t="n">
        <v>0</v>
      </c>
      <c r="O523" t="n">
        <v>0</v>
      </c>
      <c r="P523" t="n">
        <v>0</v>
      </c>
      <c r="Q523" t="n">
        <v>0</v>
      </c>
      <c r="R523" s="2" t="inlineStr"/>
    </row>
    <row r="524" ht="15" customHeight="1">
      <c r="A524" t="inlineStr">
        <is>
          <t>A 1848-2019</t>
        </is>
      </c>
      <c r="B524" s="1" t="n">
        <v>43474</v>
      </c>
      <c r="C524" s="1" t="n">
        <v>45190</v>
      </c>
      <c r="D524" t="inlineStr">
        <is>
          <t>SKÅNE LÄN</t>
        </is>
      </c>
      <c r="E524" t="inlineStr">
        <is>
          <t>HÄSSLEHOLM</t>
        </is>
      </c>
      <c r="G524" t="n">
        <v>2.5</v>
      </c>
      <c r="H524" t="n">
        <v>0</v>
      </c>
      <c r="I524" t="n">
        <v>0</v>
      </c>
      <c r="J524" t="n">
        <v>0</v>
      </c>
      <c r="K524" t="n">
        <v>0</v>
      </c>
      <c r="L524" t="n">
        <v>0</v>
      </c>
      <c r="M524" t="n">
        <v>0</v>
      </c>
      <c r="N524" t="n">
        <v>0</v>
      </c>
      <c r="O524" t="n">
        <v>0</v>
      </c>
      <c r="P524" t="n">
        <v>0</v>
      </c>
      <c r="Q524" t="n">
        <v>0</v>
      </c>
      <c r="R524" s="2" t="inlineStr"/>
    </row>
    <row r="525" ht="15" customHeight="1">
      <c r="A525" t="inlineStr">
        <is>
          <t>A 1981-2019</t>
        </is>
      </c>
      <c r="B525" s="1" t="n">
        <v>43475</v>
      </c>
      <c r="C525" s="1" t="n">
        <v>45190</v>
      </c>
      <c r="D525" t="inlineStr">
        <is>
          <t>SKÅNE LÄN</t>
        </is>
      </c>
      <c r="E525" t="inlineStr">
        <is>
          <t>ÖSTRA GÖINGE</t>
        </is>
      </c>
      <c r="G525" t="n">
        <v>3.9</v>
      </c>
      <c r="H525" t="n">
        <v>0</v>
      </c>
      <c r="I525" t="n">
        <v>0</v>
      </c>
      <c r="J525" t="n">
        <v>0</v>
      </c>
      <c r="K525" t="n">
        <v>0</v>
      </c>
      <c r="L525" t="n">
        <v>0</v>
      </c>
      <c r="M525" t="n">
        <v>0</v>
      </c>
      <c r="N525" t="n">
        <v>0</v>
      </c>
      <c r="O525" t="n">
        <v>0</v>
      </c>
      <c r="P525" t="n">
        <v>0</v>
      </c>
      <c r="Q525" t="n">
        <v>0</v>
      </c>
      <c r="R525" s="2" t="inlineStr"/>
    </row>
    <row r="526" ht="15" customHeight="1">
      <c r="A526" t="inlineStr">
        <is>
          <t>A 3862-2019</t>
        </is>
      </c>
      <c r="B526" s="1" t="n">
        <v>43475</v>
      </c>
      <c r="C526" s="1" t="n">
        <v>45190</v>
      </c>
      <c r="D526" t="inlineStr">
        <is>
          <t>SKÅNE LÄN</t>
        </is>
      </c>
      <c r="E526" t="inlineStr">
        <is>
          <t>HÖRBY</t>
        </is>
      </c>
      <c r="G526" t="n">
        <v>3.9</v>
      </c>
      <c r="H526" t="n">
        <v>0</v>
      </c>
      <c r="I526" t="n">
        <v>0</v>
      </c>
      <c r="J526" t="n">
        <v>0</v>
      </c>
      <c r="K526" t="n">
        <v>0</v>
      </c>
      <c r="L526" t="n">
        <v>0</v>
      </c>
      <c r="M526" t="n">
        <v>0</v>
      </c>
      <c r="N526" t="n">
        <v>0</v>
      </c>
      <c r="O526" t="n">
        <v>0</v>
      </c>
      <c r="P526" t="n">
        <v>0</v>
      </c>
      <c r="Q526" t="n">
        <v>0</v>
      </c>
      <c r="R526" s="2" t="inlineStr"/>
    </row>
    <row r="527" ht="15" customHeight="1">
      <c r="A527" t="inlineStr">
        <is>
          <t>A 1986-2019</t>
        </is>
      </c>
      <c r="B527" s="1" t="n">
        <v>43475</v>
      </c>
      <c r="C527" s="1" t="n">
        <v>45190</v>
      </c>
      <c r="D527" t="inlineStr">
        <is>
          <t>SKÅNE LÄN</t>
        </is>
      </c>
      <c r="E527" t="inlineStr">
        <is>
          <t>ÖSTRA GÖINGE</t>
        </is>
      </c>
      <c r="G527" t="n">
        <v>1.2</v>
      </c>
      <c r="H527" t="n">
        <v>0</v>
      </c>
      <c r="I527" t="n">
        <v>0</v>
      </c>
      <c r="J527" t="n">
        <v>0</v>
      </c>
      <c r="K527" t="n">
        <v>0</v>
      </c>
      <c r="L527" t="n">
        <v>0</v>
      </c>
      <c r="M527" t="n">
        <v>0</v>
      </c>
      <c r="N527" t="n">
        <v>0</v>
      </c>
      <c r="O527" t="n">
        <v>0</v>
      </c>
      <c r="P527" t="n">
        <v>0</v>
      </c>
      <c r="Q527" t="n">
        <v>0</v>
      </c>
      <c r="R527" s="2" t="inlineStr"/>
    </row>
    <row r="528" ht="15" customHeight="1">
      <c r="A528" t="inlineStr">
        <is>
          <t>A 2038-2019</t>
        </is>
      </c>
      <c r="B528" s="1" t="n">
        <v>43475</v>
      </c>
      <c r="C528" s="1" t="n">
        <v>45190</v>
      </c>
      <c r="D528" t="inlineStr">
        <is>
          <t>SKÅNE LÄN</t>
        </is>
      </c>
      <c r="E528" t="inlineStr">
        <is>
          <t>ÄNGELHOLM</t>
        </is>
      </c>
      <c r="G528" t="n">
        <v>0.9</v>
      </c>
      <c r="H528" t="n">
        <v>0</v>
      </c>
      <c r="I528" t="n">
        <v>0</v>
      </c>
      <c r="J528" t="n">
        <v>0</v>
      </c>
      <c r="K528" t="n">
        <v>0</v>
      </c>
      <c r="L528" t="n">
        <v>0</v>
      </c>
      <c r="M528" t="n">
        <v>0</v>
      </c>
      <c r="N528" t="n">
        <v>0</v>
      </c>
      <c r="O528" t="n">
        <v>0</v>
      </c>
      <c r="P528" t="n">
        <v>0</v>
      </c>
      <c r="Q528" t="n">
        <v>0</v>
      </c>
      <c r="R528" s="2" t="inlineStr"/>
    </row>
    <row r="529" ht="15" customHeight="1">
      <c r="A529" t="inlineStr">
        <is>
          <t>A 2414-2019</t>
        </is>
      </c>
      <c r="B529" s="1" t="n">
        <v>43476</v>
      </c>
      <c r="C529" s="1" t="n">
        <v>45190</v>
      </c>
      <c r="D529" t="inlineStr">
        <is>
          <t>SKÅNE LÄN</t>
        </is>
      </c>
      <c r="E529" t="inlineStr">
        <is>
          <t>ÖSTRA GÖINGE</t>
        </is>
      </c>
      <c r="G529" t="n">
        <v>3.4</v>
      </c>
      <c r="H529" t="n">
        <v>0</v>
      </c>
      <c r="I529" t="n">
        <v>0</v>
      </c>
      <c r="J529" t="n">
        <v>0</v>
      </c>
      <c r="K529" t="n">
        <v>0</v>
      </c>
      <c r="L529" t="n">
        <v>0</v>
      </c>
      <c r="M529" t="n">
        <v>0</v>
      </c>
      <c r="N529" t="n">
        <v>0</v>
      </c>
      <c r="O529" t="n">
        <v>0</v>
      </c>
      <c r="P529" t="n">
        <v>0</v>
      </c>
      <c r="Q529" t="n">
        <v>0</v>
      </c>
      <c r="R529" s="2" t="inlineStr"/>
    </row>
    <row r="530" ht="15" customHeight="1">
      <c r="A530" t="inlineStr">
        <is>
          <t>A 2488-2019</t>
        </is>
      </c>
      <c r="B530" s="1" t="n">
        <v>43476</v>
      </c>
      <c r="C530" s="1" t="n">
        <v>45190</v>
      </c>
      <c r="D530" t="inlineStr">
        <is>
          <t>SKÅNE LÄN</t>
        </is>
      </c>
      <c r="E530" t="inlineStr">
        <is>
          <t>HÖÖR</t>
        </is>
      </c>
      <c r="G530" t="n">
        <v>2.6</v>
      </c>
      <c r="H530" t="n">
        <v>0</v>
      </c>
      <c r="I530" t="n">
        <v>0</v>
      </c>
      <c r="J530" t="n">
        <v>0</v>
      </c>
      <c r="K530" t="n">
        <v>0</v>
      </c>
      <c r="L530" t="n">
        <v>0</v>
      </c>
      <c r="M530" t="n">
        <v>0</v>
      </c>
      <c r="N530" t="n">
        <v>0</v>
      </c>
      <c r="O530" t="n">
        <v>0</v>
      </c>
      <c r="P530" t="n">
        <v>0</v>
      </c>
      <c r="Q530" t="n">
        <v>0</v>
      </c>
      <c r="R530" s="2" t="inlineStr"/>
    </row>
    <row r="531" ht="15" customHeight="1">
      <c r="A531" t="inlineStr">
        <is>
          <t>A 2546-2019</t>
        </is>
      </c>
      <c r="B531" s="1" t="n">
        <v>43476</v>
      </c>
      <c r="C531" s="1" t="n">
        <v>45190</v>
      </c>
      <c r="D531" t="inlineStr">
        <is>
          <t>SKÅNE LÄN</t>
        </is>
      </c>
      <c r="E531" t="inlineStr">
        <is>
          <t>HÄSSLEHOLM</t>
        </is>
      </c>
      <c r="G531" t="n">
        <v>2.1</v>
      </c>
      <c r="H531" t="n">
        <v>0</v>
      </c>
      <c r="I531" t="n">
        <v>0</v>
      </c>
      <c r="J531" t="n">
        <v>0</v>
      </c>
      <c r="K531" t="n">
        <v>0</v>
      </c>
      <c r="L531" t="n">
        <v>0</v>
      </c>
      <c r="M531" t="n">
        <v>0</v>
      </c>
      <c r="N531" t="n">
        <v>0</v>
      </c>
      <c r="O531" t="n">
        <v>0</v>
      </c>
      <c r="P531" t="n">
        <v>0</v>
      </c>
      <c r="Q531" t="n">
        <v>0</v>
      </c>
      <c r="R531" s="2" t="inlineStr"/>
    </row>
    <row r="532" ht="15" customHeight="1">
      <c r="A532" t="inlineStr">
        <is>
          <t>A 2572-2019</t>
        </is>
      </c>
      <c r="B532" s="1" t="n">
        <v>43476</v>
      </c>
      <c r="C532" s="1" t="n">
        <v>45190</v>
      </c>
      <c r="D532" t="inlineStr">
        <is>
          <t>SKÅNE LÄN</t>
        </is>
      </c>
      <c r="E532" t="inlineStr">
        <is>
          <t>HÄSSLEHOLM</t>
        </is>
      </c>
      <c r="G532" t="n">
        <v>1.5</v>
      </c>
      <c r="H532" t="n">
        <v>0</v>
      </c>
      <c r="I532" t="n">
        <v>0</v>
      </c>
      <c r="J532" t="n">
        <v>0</v>
      </c>
      <c r="K532" t="n">
        <v>0</v>
      </c>
      <c r="L532" t="n">
        <v>0</v>
      </c>
      <c r="M532" t="n">
        <v>0</v>
      </c>
      <c r="N532" t="n">
        <v>0</v>
      </c>
      <c r="O532" t="n">
        <v>0</v>
      </c>
      <c r="P532" t="n">
        <v>0</v>
      </c>
      <c r="Q532" t="n">
        <v>0</v>
      </c>
      <c r="R532" s="2" t="inlineStr"/>
    </row>
    <row r="533" ht="15" customHeight="1">
      <c r="A533" t="inlineStr">
        <is>
          <t>A 2551-2019</t>
        </is>
      </c>
      <c r="B533" s="1" t="n">
        <v>43476</v>
      </c>
      <c r="C533" s="1" t="n">
        <v>45190</v>
      </c>
      <c r="D533" t="inlineStr">
        <is>
          <t>SKÅNE LÄN</t>
        </is>
      </c>
      <c r="E533" t="inlineStr">
        <is>
          <t>OSBY</t>
        </is>
      </c>
      <c r="G533" t="n">
        <v>1.4</v>
      </c>
      <c r="H533" t="n">
        <v>0</v>
      </c>
      <c r="I533" t="n">
        <v>0</v>
      </c>
      <c r="J533" t="n">
        <v>0</v>
      </c>
      <c r="K533" t="n">
        <v>0</v>
      </c>
      <c r="L533" t="n">
        <v>0</v>
      </c>
      <c r="M533" t="n">
        <v>0</v>
      </c>
      <c r="N533" t="n">
        <v>0</v>
      </c>
      <c r="O533" t="n">
        <v>0</v>
      </c>
      <c r="P533" t="n">
        <v>0</v>
      </c>
      <c r="Q533" t="n">
        <v>0</v>
      </c>
      <c r="R533" s="2" t="inlineStr"/>
    </row>
    <row r="534" ht="15" customHeight="1">
      <c r="A534" t="inlineStr">
        <is>
          <t>A 3199-2019</t>
        </is>
      </c>
      <c r="B534" s="1" t="n">
        <v>43476</v>
      </c>
      <c r="C534" s="1" t="n">
        <v>45190</v>
      </c>
      <c r="D534" t="inlineStr">
        <is>
          <t>SKÅNE LÄN</t>
        </is>
      </c>
      <c r="E534" t="inlineStr">
        <is>
          <t>HÖÖR</t>
        </is>
      </c>
      <c r="G534" t="n">
        <v>8.1</v>
      </c>
      <c r="H534" t="n">
        <v>0</v>
      </c>
      <c r="I534" t="n">
        <v>0</v>
      </c>
      <c r="J534" t="n">
        <v>0</v>
      </c>
      <c r="K534" t="n">
        <v>0</v>
      </c>
      <c r="L534" t="n">
        <v>0</v>
      </c>
      <c r="M534" t="n">
        <v>0</v>
      </c>
      <c r="N534" t="n">
        <v>0</v>
      </c>
      <c r="O534" t="n">
        <v>0</v>
      </c>
      <c r="P534" t="n">
        <v>0</v>
      </c>
      <c r="Q534" t="n">
        <v>0</v>
      </c>
      <c r="R534" s="2" t="inlineStr"/>
    </row>
    <row r="535" ht="15" customHeight="1">
      <c r="A535" t="inlineStr">
        <is>
          <t>A 4206-2019</t>
        </is>
      </c>
      <c r="B535" s="1" t="n">
        <v>43476</v>
      </c>
      <c r="C535" s="1" t="n">
        <v>45190</v>
      </c>
      <c r="D535" t="inlineStr">
        <is>
          <t>SKÅNE LÄN</t>
        </is>
      </c>
      <c r="E535" t="inlineStr">
        <is>
          <t>HÖÖR</t>
        </is>
      </c>
      <c r="G535" t="n">
        <v>3.3</v>
      </c>
      <c r="H535" t="n">
        <v>0</v>
      </c>
      <c r="I535" t="n">
        <v>0</v>
      </c>
      <c r="J535" t="n">
        <v>0</v>
      </c>
      <c r="K535" t="n">
        <v>0</v>
      </c>
      <c r="L535" t="n">
        <v>0</v>
      </c>
      <c r="M535" t="n">
        <v>0</v>
      </c>
      <c r="N535" t="n">
        <v>0</v>
      </c>
      <c r="O535" t="n">
        <v>0</v>
      </c>
      <c r="P535" t="n">
        <v>0</v>
      </c>
      <c r="Q535" t="n">
        <v>0</v>
      </c>
      <c r="R535" s="2" t="inlineStr"/>
    </row>
    <row r="536" ht="15" customHeight="1">
      <c r="A536" t="inlineStr">
        <is>
          <t>A 2384-2019</t>
        </is>
      </c>
      <c r="B536" s="1" t="n">
        <v>43476</v>
      </c>
      <c r="C536" s="1" t="n">
        <v>45190</v>
      </c>
      <c r="D536" t="inlineStr">
        <is>
          <t>SKÅNE LÄN</t>
        </is>
      </c>
      <c r="E536" t="inlineStr">
        <is>
          <t>KRISTIANSTAD</t>
        </is>
      </c>
      <c r="G536" t="n">
        <v>5.4</v>
      </c>
      <c r="H536" t="n">
        <v>0</v>
      </c>
      <c r="I536" t="n">
        <v>0</v>
      </c>
      <c r="J536" t="n">
        <v>0</v>
      </c>
      <c r="K536" t="n">
        <v>0</v>
      </c>
      <c r="L536" t="n">
        <v>0</v>
      </c>
      <c r="M536" t="n">
        <v>0</v>
      </c>
      <c r="N536" t="n">
        <v>0</v>
      </c>
      <c r="O536" t="n">
        <v>0</v>
      </c>
      <c r="P536" t="n">
        <v>0</v>
      </c>
      <c r="Q536" t="n">
        <v>0</v>
      </c>
      <c r="R536" s="2" t="inlineStr"/>
    </row>
    <row r="537" ht="15" customHeight="1">
      <c r="A537" t="inlineStr">
        <is>
          <t>A 2409-2019</t>
        </is>
      </c>
      <c r="B537" s="1" t="n">
        <v>43476</v>
      </c>
      <c r="C537" s="1" t="n">
        <v>45190</v>
      </c>
      <c r="D537" t="inlineStr">
        <is>
          <t>SKÅNE LÄN</t>
        </is>
      </c>
      <c r="E537" t="inlineStr">
        <is>
          <t>ÖSTRA GÖINGE</t>
        </is>
      </c>
      <c r="G537" t="n">
        <v>1.1</v>
      </c>
      <c r="H537" t="n">
        <v>0</v>
      </c>
      <c r="I537" t="n">
        <v>0</v>
      </c>
      <c r="J537" t="n">
        <v>0</v>
      </c>
      <c r="K537" t="n">
        <v>0</v>
      </c>
      <c r="L537" t="n">
        <v>0</v>
      </c>
      <c r="M537" t="n">
        <v>0</v>
      </c>
      <c r="N537" t="n">
        <v>0</v>
      </c>
      <c r="O537" t="n">
        <v>0</v>
      </c>
      <c r="P537" t="n">
        <v>0</v>
      </c>
      <c r="Q537" t="n">
        <v>0</v>
      </c>
      <c r="R537" s="2" t="inlineStr"/>
    </row>
    <row r="538" ht="15" customHeight="1">
      <c r="A538" t="inlineStr">
        <is>
          <t>A 3084-2019</t>
        </is>
      </c>
      <c r="B538" s="1" t="n">
        <v>43479</v>
      </c>
      <c r="C538" s="1" t="n">
        <v>45190</v>
      </c>
      <c r="D538" t="inlineStr">
        <is>
          <t>SKÅNE LÄN</t>
        </is>
      </c>
      <c r="E538" t="inlineStr">
        <is>
          <t>OSBY</t>
        </is>
      </c>
      <c r="G538" t="n">
        <v>0.8</v>
      </c>
      <c r="H538" t="n">
        <v>0</v>
      </c>
      <c r="I538" t="n">
        <v>0</v>
      </c>
      <c r="J538" t="n">
        <v>0</v>
      </c>
      <c r="K538" t="n">
        <v>0</v>
      </c>
      <c r="L538" t="n">
        <v>0</v>
      </c>
      <c r="M538" t="n">
        <v>0</v>
      </c>
      <c r="N538" t="n">
        <v>0</v>
      </c>
      <c r="O538" t="n">
        <v>0</v>
      </c>
      <c r="P538" t="n">
        <v>0</v>
      </c>
      <c r="Q538" t="n">
        <v>0</v>
      </c>
      <c r="R538" s="2" t="inlineStr"/>
    </row>
    <row r="539" ht="15" customHeight="1">
      <c r="A539" t="inlineStr">
        <is>
          <t>A 3087-2019</t>
        </is>
      </c>
      <c r="B539" s="1" t="n">
        <v>43479</v>
      </c>
      <c r="C539" s="1" t="n">
        <v>45190</v>
      </c>
      <c r="D539" t="inlineStr">
        <is>
          <t>SKÅNE LÄN</t>
        </is>
      </c>
      <c r="E539" t="inlineStr">
        <is>
          <t>OSBY</t>
        </is>
      </c>
      <c r="G539" t="n">
        <v>1.4</v>
      </c>
      <c r="H539" t="n">
        <v>0</v>
      </c>
      <c r="I539" t="n">
        <v>0</v>
      </c>
      <c r="J539" t="n">
        <v>0</v>
      </c>
      <c r="K539" t="n">
        <v>0</v>
      </c>
      <c r="L539" t="n">
        <v>0</v>
      </c>
      <c r="M539" t="n">
        <v>0</v>
      </c>
      <c r="N539" t="n">
        <v>0</v>
      </c>
      <c r="O539" t="n">
        <v>0</v>
      </c>
      <c r="P539" t="n">
        <v>0</v>
      </c>
      <c r="Q539" t="n">
        <v>0</v>
      </c>
      <c r="R539" s="2" t="inlineStr"/>
    </row>
    <row r="540" ht="15" customHeight="1">
      <c r="A540" t="inlineStr">
        <is>
          <t>A 2677-2019</t>
        </is>
      </c>
      <c r="B540" s="1" t="n">
        <v>43479</v>
      </c>
      <c r="C540" s="1" t="n">
        <v>45190</v>
      </c>
      <c r="D540" t="inlineStr">
        <is>
          <t>SKÅNE LÄN</t>
        </is>
      </c>
      <c r="E540" t="inlineStr">
        <is>
          <t>TOMELILLA</t>
        </is>
      </c>
      <c r="F540" t="inlineStr">
        <is>
          <t>Övriga Aktiebolag</t>
        </is>
      </c>
      <c r="G540" t="n">
        <v>3.5</v>
      </c>
      <c r="H540" t="n">
        <v>0</v>
      </c>
      <c r="I540" t="n">
        <v>0</v>
      </c>
      <c r="J540" t="n">
        <v>0</v>
      </c>
      <c r="K540" t="n">
        <v>0</v>
      </c>
      <c r="L540" t="n">
        <v>0</v>
      </c>
      <c r="M540" t="n">
        <v>0</v>
      </c>
      <c r="N540" t="n">
        <v>0</v>
      </c>
      <c r="O540" t="n">
        <v>0</v>
      </c>
      <c r="P540" t="n">
        <v>0</v>
      </c>
      <c r="Q540" t="n">
        <v>0</v>
      </c>
      <c r="R540" s="2" t="inlineStr"/>
    </row>
    <row r="541" ht="15" customHeight="1">
      <c r="A541" t="inlineStr">
        <is>
          <t>A 3098-2019</t>
        </is>
      </c>
      <c r="B541" s="1" t="n">
        <v>43479</v>
      </c>
      <c r="C541" s="1" t="n">
        <v>45190</v>
      </c>
      <c r="D541" t="inlineStr">
        <is>
          <t>SKÅNE LÄN</t>
        </is>
      </c>
      <c r="E541" t="inlineStr">
        <is>
          <t>HÄSSLEHOLM</t>
        </is>
      </c>
      <c r="G541" t="n">
        <v>1.4</v>
      </c>
      <c r="H541" t="n">
        <v>0</v>
      </c>
      <c r="I541" t="n">
        <v>0</v>
      </c>
      <c r="J541" t="n">
        <v>0</v>
      </c>
      <c r="K541" t="n">
        <v>0</v>
      </c>
      <c r="L541" t="n">
        <v>0</v>
      </c>
      <c r="M541" t="n">
        <v>0</v>
      </c>
      <c r="N541" t="n">
        <v>0</v>
      </c>
      <c r="O541" t="n">
        <v>0</v>
      </c>
      <c r="P541" t="n">
        <v>0</v>
      </c>
      <c r="Q541" t="n">
        <v>0</v>
      </c>
      <c r="R541" s="2" t="inlineStr"/>
    </row>
    <row r="542" ht="15" customHeight="1">
      <c r="A542" t="inlineStr">
        <is>
          <t>A 4851-2019</t>
        </is>
      </c>
      <c r="B542" s="1" t="n">
        <v>43479</v>
      </c>
      <c r="C542" s="1" t="n">
        <v>45190</v>
      </c>
      <c r="D542" t="inlineStr">
        <is>
          <t>SKÅNE LÄN</t>
        </is>
      </c>
      <c r="E542" t="inlineStr">
        <is>
          <t>SJÖBO</t>
        </is>
      </c>
      <c r="G542" t="n">
        <v>1</v>
      </c>
      <c r="H542" t="n">
        <v>0</v>
      </c>
      <c r="I542" t="n">
        <v>0</v>
      </c>
      <c r="J542" t="n">
        <v>0</v>
      </c>
      <c r="K542" t="n">
        <v>0</v>
      </c>
      <c r="L542" t="n">
        <v>0</v>
      </c>
      <c r="M542" t="n">
        <v>0</v>
      </c>
      <c r="N542" t="n">
        <v>0</v>
      </c>
      <c r="O542" t="n">
        <v>0</v>
      </c>
      <c r="P542" t="n">
        <v>0</v>
      </c>
      <c r="Q542" t="n">
        <v>0</v>
      </c>
      <c r="R542" s="2" t="inlineStr"/>
    </row>
    <row r="543" ht="15" customHeight="1">
      <c r="A543" t="inlineStr">
        <is>
          <t>A 3207-2019</t>
        </is>
      </c>
      <c r="B543" s="1" t="n">
        <v>43480</v>
      </c>
      <c r="C543" s="1" t="n">
        <v>45190</v>
      </c>
      <c r="D543" t="inlineStr">
        <is>
          <t>SKÅNE LÄN</t>
        </is>
      </c>
      <c r="E543" t="inlineStr">
        <is>
          <t>SIMRISHAMN</t>
        </is>
      </c>
      <c r="F543" t="inlineStr">
        <is>
          <t>Övriga Aktiebolag</t>
        </is>
      </c>
      <c r="G543" t="n">
        <v>2.2</v>
      </c>
      <c r="H543" t="n">
        <v>0</v>
      </c>
      <c r="I543" t="n">
        <v>0</v>
      </c>
      <c r="J543" t="n">
        <v>0</v>
      </c>
      <c r="K543" t="n">
        <v>0</v>
      </c>
      <c r="L543" t="n">
        <v>0</v>
      </c>
      <c r="M543" t="n">
        <v>0</v>
      </c>
      <c r="N543" t="n">
        <v>0</v>
      </c>
      <c r="O543" t="n">
        <v>0</v>
      </c>
      <c r="P543" t="n">
        <v>0</v>
      </c>
      <c r="Q543" t="n">
        <v>0</v>
      </c>
      <c r="R543" s="2" t="inlineStr"/>
    </row>
    <row r="544" ht="15" customHeight="1">
      <c r="A544" t="inlineStr">
        <is>
          <t>A 3419-2019</t>
        </is>
      </c>
      <c r="B544" s="1" t="n">
        <v>43480</v>
      </c>
      <c r="C544" s="1" t="n">
        <v>45190</v>
      </c>
      <c r="D544" t="inlineStr">
        <is>
          <t>SKÅNE LÄN</t>
        </is>
      </c>
      <c r="E544" t="inlineStr">
        <is>
          <t>KLIPPAN</t>
        </is>
      </c>
      <c r="G544" t="n">
        <v>1.2</v>
      </c>
      <c r="H544" t="n">
        <v>0</v>
      </c>
      <c r="I544" t="n">
        <v>0</v>
      </c>
      <c r="J544" t="n">
        <v>0</v>
      </c>
      <c r="K544" t="n">
        <v>0</v>
      </c>
      <c r="L544" t="n">
        <v>0</v>
      </c>
      <c r="M544" t="n">
        <v>0</v>
      </c>
      <c r="N544" t="n">
        <v>0</v>
      </c>
      <c r="O544" t="n">
        <v>0</v>
      </c>
      <c r="P544" t="n">
        <v>0</v>
      </c>
      <c r="Q544" t="n">
        <v>0</v>
      </c>
      <c r="R544" s="2" t="inlineStr"/>
    </row>
    <row r="545" ht="15" customHeight="1">
      <c r="A545" t="inlineStr">
        <is>
          <t>A 5233-2019</t>
        </is>
      </c>
      <c r="B545" s="1" t="n">
        <v>43480</v>
      </c>
      <c r="C545" s="1" t="n">
        <v>45190</v>
      </c>
      <c r="D545" t="inlineStr">
        <is>
          <t>SKÅNE LÄN</t>
        </is>
      </c>
      <c r="E545" t="inlineStr">
        <is>
          <t>KRISTIANSTAD</t>
        </is>
      </c>
      <c r="G545" t="n">
        <v>0.6</v>
      </c>
      <c r="H545" t="n">
        <v>0</v>
      </c>
      <c r="I545" t="n">
        <v>0</v>
      </c>
      <c r="J545" t="n">
        <v>0</v>
      </c>
      <c r="K545" t="n">
        <v>0</v>
      </c>
      <c r="L545" t="n">
        <v>0</v>
      </c>
      <c r="M545" t="n">
        <v>0</v>
      </c>
      <c r="N545" t="n">
        <v>0</v>
      </c>
      <c r="O545" t="n">
        <v>0</v>
      </c>
      <c r="P545" t="n">
        <v>0</v>
      </c>
      <c r="Q545" t="n">
        <v>0</v>
      </c>
      <c r="R545" s="2" t="inlineStr"/>
    </row>
    <row r="546" ht="15" customHeight="1">
      <c r="A546" t="inlineStr">
        <is>
          <t>A 3418-2019</t>
        </is>
      </c>
      <c r="B546" s="1" t="n">
        <v>43480</v>
      </c>
      <c r="C546" s="1" t="n">
        <v>45190</v>
      </c>
      <c r="D546" t="inlineStr">
        <is>
          <t>SKÅNE LÄN</t>
        </is>
      </c>
      <c r="E546" t="inlineStr">
        <is>
          <t>KLIPPAN</t>
        </is>
      </c>
      <c r="G546" t="n">
        <v>4.5</v>
      </c>
      <c r="H546" t="n">
        <v>0</v>
      </c>
      <c r="I546" t="n">
        <v>0</v>
      </c>
      <c r="J546" t="n">
        <v>0</v>
      </c>
      <c r="K546" t="n">
        <v>0</v>
      </c>
      <c r="L546" t="n">
        <v>0</v>
      </c>
      <c r="M546" t="n">
        <v>0</v>
      </c>
      <c r="N546" t="n">
        <v>0</v>
      </c>
      <c r="O546" t="n">
        <v>0</v>
      </c>
      <c r="P546" t="n">
        <v>0</v>
      </c>
      <c r="Q546" t="n">
        <v>0</v>
      </c>
      <c r="R546" s="2" t="inlineStr"/>
    </row>
    <row r="547" ht="15" customHeight="1">
      <c r="A547" t="inlineStr">
        <is>
          <t>A 3412-2019</t>
        </is>
      </c>
      <c r="B547" s="1" t="n">
        <v>43481</v>
      </c>
      <c r="C547" s="1" t="n">
        <v>45190</v>
      </c>
      <c r="D547" t="inlineStr">
        <is>
          <t>SKÅNE LÄN</t>
        </is>
      </c>
      <c r="E547" t="inlineStr">
        <is>
          <t>KRISTIANSTAD</t>
        </is>
      </c>
      <c r="G547" t="n">
        <v>2.7</v>
      </c>
      <c r="H547" t="n">
        <v>0</v>
      </c>
      <c r="I547" t="n">
        <v>0</v>
      </c>
      <c r="J547" t="n">
        <v>0</v>
      </c>
      <c r="K547" t="n">
        <v>0</v>
      </c>
      <c r="L547" t="n">
        <v>0</v>
      </c>
      <c r="M547" t="n">
        <v>0</v>
      </c>
      <c r="N547" t="n">
        <v>0</v>
      </c>
      <c r="O547" t="n">
        <v>0</v>
      </c>
      <c r="P547" t="n">
        <v>0</v>
      </c>
      <c r="Q547" t="n">
        <v>0</v>
      </c>
      <c r="R547" s="2" t="inlineStr"/>
    </row>
    <row r="548" ht="15" customHeight="1">
      <c r="A548" t="inlineStr">
        <is>
          <t>A 3573-2019</t>
        </is>
      </c>
      <c r="B548" s="1" t="n">
        <v>43481</v>
      </c>
      <c r="C548" s="1" t="n">
        <v>45190</v>
      </c>
      <c r="D548" t="inlineStr">
        <is>
          <t>SKÅNE LÄN</t>
        </is>
      </c>
      <c r="E548" t="inlineStr">
        <is>
          <t>KRISTIANSTAD</t>
        </is>
      </c>
      <c r="G548" t="n">
        <v>1.1</v>
      </c>
      <c r="H548" t="n">
        <v>0</v>
      </c>
      <c r="I548" t="n">
        <v>0</v>
      </c>
      <c r="J548" t="n">
        <v>0</v>
      </c>
      <c r="K548" t="n">
        <v>0</v>
      </c>
      <c r="L548" t="n">
        <v>0</v>
      </c>
      <c r="M548" t="n">
        <v>0</v>
      </c>
      <c r="N548" t="n">
        <v>0</v>
      </c>
      <c r="O548" t="n">
        <v>0</v>
      </c>
      <c r="P548" t="n">
        <v>0</v>
      </c>
      <c r="Q548" t="n">
        <v>0</v>
      </c>
      <c r="R548" s="2" t="inlineStr"/>
    </row>
    <row r="549" ht="15" customHeight="1">
      <c r="A549" t="inlineStr">
        <is>
          <t>A 3683-2019</t>
        </is>
      </c>
      <c r="B549" s="1" t="n">
        <v>43481</v>
      </c>
      <c r="C549" s="1" t="n">
        <v>45190</v>
      </c>
      <c r="D549" t="inlineStr">
        <is>
          <t>SKÅNE LÄN</t>
        </is>
      </c>
      <c r="E549" t="inlineStr">
        <is>
          <t>ÖSTRA GÖINGE</t>
        </is>
      </c>
      <c r="G549" t="n">
        <v>1</v>
      </c>
      <c r="H549" t="n">
        <v>0</v>
      </c>
      <c r="I549" t="n">
        <v>0</v>
      </c>
      <c r="J549" t="n">
        <v>0</v>
      </c>
      <c r="K549" t="n">
        <v>0</v>
      </c>
      <c r="L549" t="n">
        <v>0</v>
      </c>
      <c r="M549" t="n">
        <v>0</v>
      </c>
      <c r="N549" t="n">
        <v>0</v>
      </c>
      <c r="O549" t="n">
        <v>0</v>
      </c>
      <c r="P549" t="n">
        <v>0</v>
      </c>
      <c r="Q549" t="n">
        <v>0</v>
      </c>
      <c r="R549" s="2" t="inlineStr"/>
    </row>
    <row r="550" ht="15" customHeight="1">
      <c r="A550" t="inlineStr">
        <is>
          <t>A 3814-2019</t>
        </is>
      </c>
      <c r="B550" s="1" t="n">
        <v>43482</v>
      </c>
      <c r="C550" s="1" t="n">
        <v>45190</v>
      </c>
      <c r="D550" t="inlineStr">
        <is>
          <t>SKÅNE LÄN</t>
        </is>
      </c>
      <c r="E550" t="inlineStr">
        <is>
          <t>ÖSTRA GÖINGE</t>
        </is>
      </c>
      <c r="G550" t="n">
        <v>0.9</v>
      </c>
      <c r="H550" t="n">
        <v>0</v>
      </c>
      <c r="I550" t="n">
        <v>0</v>
      </c>
      <c r="J550" t="n">
        <v>0</v>
      </c>
      <c r="K550" t="n">
        <v>0</v>
      </c>
      <c r="L550" t="n">
        <v>0</v>
      </c>
      <c r="M550" t="n">
        <v>0</v>
      </c>
      <c r="N550" t="n">
        <v>0</v>
      </c>
      <c r="O550" t="n">
        <v>0</v>
      </c>
      <c r="P550" t="n">
        <v>0</v>
      </c>
      <c r="Q550" t="n">
        <v>0</v>
      </c>
      <c r="R550" s="2" t="inlineStr"/>
    </row>
    <row r="551" ht="15" customHeight="1">
      <c r="A551" t="inlineStr">
        <is>
          <t>A 5963-2019</t>
        </is>
      </c>
      <c r="B551" s="1" t="n">
        <v>43482</v>
      </c>
      <c r="C551" s="1" t="n">
        <v>45190</v>
      </c>
      <c r="D551" t="inlineStr">
        <is>
          <t>SKÅNE LÄN</t>
        </is>
      </c>
      <c r="E551" t="inlineStr">
        <is>
          <t>OSBY</t>
        </is>
      </c>
      <c r="G551" t="n">
        <v>1.9</v>
      </c>
      <c r="H551" t="n">
        <v>0</v>
      </c>
      <c r="I551" t="n">
        <v>0</v>
      </c>
      <c r="J551" t="n">
        <v>0</v>
      </c>
      <c r="K551" t="n">
        <v>0</v>
      </c>
      <c r="L551" t="n">
        <v>0</v>
      </c>
      <c r="M551" t="n">
        <v>0</v>
      </c>
      <c r="N551" t="n">
        <v>0</v>
      </c>
      <c r="O551" t="n">
        <v>0</v>
      </c>
      <c r="P551" t="n">
        <v>0</v>
      </c>
      <c r="Q551" t="n">
        <v>0</v>
      </c>
      <c r="R551" s="2" t="inlineStr"/>
    </row>
    <row r="552" ht="15" customHeight="1">
      <c r="A552" t="inlineStr">
        <is>
          <t>A 4023-2019</t>
        </is>
      </c>
      <c r="B552" s="1" t="n">
        <v>43482</v>
      </c>
      <c r="C552" s="1" t="n">
        <v>45190</v>
      </c>
      <c r="D552" t="inlineStr">
        <is>
          <t>SKÅNE LÄN</t>
        </is>
      </c>
      <c r="E552" t="inlineStr">
        <is>
          <t>HÄSSLEHOLM</t>
        </is>
      </c>
      <c r="G552" t="n">
        <v>7.5</v>
      </c>
      <c r="H552" t="n">
        <v>0</v>
      </c>
      <c r="I552" t="n">
        <v>0</v>
      </c>
      <c r="J552" t="n">
        <v>0</v>
      </c>
      <c r="K552" t="n">
        <v>0</v>
      </c>
      <c r="L552" t="n">
        <v>0</v>
      </c>
      <c r="M552" t="n">
        <v>0</v>
      </c>
      <c r="N552" t="n">
        <v>0</v>
      </c>
      <c r="O552" t="n">
        <v>0</v>
      </c>
      <c r="P552" t="n">
        <v>0</v>
      </c>
      <c r="Q552" t="n">
        <v>0</v>
      </c>
      <c r="R552" s="2" t="inlineStr"/>
    </row>
    <row r="553" ht="15" customHeight="1">
      <c r="A553" t="inlineStr">
        <is>
          <t>A 4028-2019</t>
        </is>
      </c>
      <c r="B553" s="1" t="n">
        <v>43482</v>
      </c>
      <c r="C553" s="1" t="n">
        <v>45190</v>
      </c>
      <c r="D553" t="inlineStr">
        <is>
          <t>SKÅNE LÄN</t>
        </is>
      </c>
      <c r="E553" t="inlineStr">
        <is>
          <t>HÄSSLEHOLM</t>
        </is>
      </c>
      <c r="G553" t="n">
        <v>17.8</v>
      </c>
      <c r="H553" t="n">
        <v>0</v>
      </c>
      <c r="I553" t="n">
        <v>0</v>
      </c>
      <c r="J553" t="n">
        <v>0</v>
      </c>
      <c r="K553" t="n">
        <v>0</v>
      </c>
      <c r="L553" t="n">
        <v>0</v>
      </c>
      <c r="M553" t="n">
        <v>0</v>
      </c>
      <c r="N553" t="n">
        <v>0</v>
      </c>
      <c r="O553" t="n">
        <v>0</v>
      </c>
      <c r="P553" t="n">
        <v>0</v>
      </c>
      <c r="Q553" t="n">
        <v>0</v>
      </c>
      <c r="R553" s="2" t="inlineStr"/>
    </row>
    <row r="554" ht="15" customHeight="1">
      <c r="A554" t="inlineStr">
        <is>
          <t>A 4032-2019</t>
        </is>
      </c>
      <c r="B554" s="1" t="n">
        <v>43482</v>
      </c>
      <c r="C554" s="1" t="n">
        <v>45190</v>
      </c>
      <c r="D554" t="inlineStr">
        <is>
          <t>SKÅNE LÄN</t>
        </is>
      </c>
      <c r="E554" t="inlineStr">
        <is>
          <t>HÄSSLEHOLM</t>
        </is>
      </c>
      <c r="G554" t="n">
        <v>1.1</v>
      </c>
      <c r="H554" t="n">
        <v>0</v>
      </c>
      <c r="I554" t="n">
        <v>0</v>
      </c>
      <c r="J554" t="n">
        <v>0</v>
      </c>
      <c r="K554" t="n">
        <v>0</v>
      </c>
      <c r="L554" t="n">
        <v>0</v>
      </c>
      <c r="M554" t="n">
        <v>0</v>
      </c>
      <c r="N554" t="n">
        <v>0</v>
      </c>
      <c r="O554" t="n">
        <v>0</v>
      </c>
      <c r="P554" t="n">
        <v>0</v>
      </c>
      <c r="Q554" t="n">
        <v>0</v>
      </c>
      <c r="R554" s="2" t="inlineStr"/>
    </row>
    <row r="555" ht="15" customHeight="1">
      <c r="A555" t="inlineStr">
        <is>
          <t>A 5800-2019</t>
        </is>
      </c>
      <c r="B555" s="1" t="n">
        <v>43482</v>
      </c>
      <c r="C555" s="1" t="n">
        <v>45190</v>
      </c>
      <c r="D555" t="inlineStr">
        <is>
          <t>SKÅNE LÄN</t>
        </is>
      </c>
      <c r="E555" t="inlineStr">
        <is>
          <t>OSBY</t>
        </is>
      </c>
      <c r="G555" t="n">
        <v>2.4</v>
      </c>
      <c r="H555" t="n">
        <v>0</v>
      </c>
      <c r="I555" t="n">
        <v>0</v>
      </c>
      <c r="J555" t="n">
        <v>0</v>
      </c>
      <c r="K555" t="n">
        <v>0</v>
      </c>
      <c r="L555" t="n">
        <v>0</v>
      </c>
      <c r="M555" t="n">
        <v>0</v>
      </c>
      <c r="N555" t="n">
        <v>0</v>
      </c>
      <c r="O555" t="n">
        <v>0</v>
      </c>
      <c r="P555" t="n">
        <v>0</v>
      </c>
      <c r="Q555" t="n">
        <v>0</v>
      </c>
      <c r="R555" s="2" t="inlineStr"/>
    </row>
    <row r="556" ht="15" customHeight="1">
      <c r="A556" t="inlineStr">
        <is>
          <t>A 5797-2019</t>
        </is>
      </c>
      <c r="B556" s="1" t="n">
        <v>43482</v>
      </c>
      <c r="C556" s="1" t="n">
        <v>45190</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6091-2019</t>
        </is>
      </c>
      <c r="B557" s="1" t="n">
        <v>43483</v>
      </c>
      <c r="C557" s="1" t="n">
        <v>45190</v>
      </c>
      <c r="D557" t="inlineStr">
        <is>
          <t>SKÅNE LÄN</t>
        </is>
      </c>
      <c r="E557" t="inlineStr">
        <is>
          <t>HÄSSLEHOLM</t>
        </is>
      </c>
      <c r="G557" t="n">
        <v>5.5</v>
      </c>
      <c r="H557" t="n">
        <v>0</v>
      </c>
      <c r="I557" t="n">
        <v>0</v>
      </c>
      <c r="J557" t="n">
        <v>0</v>
      </c>
      <c r="K557" t="n">
        <v>0</v>
      </c>
      <c r="L557" t="n">
        <v>0</v>
      </c>
      <c r="M557" t="n">
        <v>0</v>
      </c>
      <c r="N557" t="n">
        <v>0</v>
      </c>
      <c r="O557" t="n">
        <v>0</v>
      </c>
      <c r="P557" t="n">
        <v>0</v>
      </c>
      <c r="Q557" t="n">
        <v>0</v>
      </c>
      <c r="R557" s="2" t="inlineStr"/>
    </row>
    <row r="558" ht="15" customHeight="1">
      <c r="A558" t="inlineStr">
        <is>
          <t>A 4282-2019</t>
        </is>
      </c>
      <c r="B558" s="1" t="n">
        <v>43483</v>
      </c>
      <c r="C558" s="1" t="n">
        <v>45190</v>
      </c>
      <c r="D558" t="inlineStr">
        <is>
          <t>SKÅNE LÄN</t>
        </is>
      </c>
      <c r="E558" t="inlineStr">
        <is>
          <t>KRISTIANSTAD</t>
        </is>
      </c>
      <c r="G558" t="n">
        <v>1.4</v>
      </c>
      <c r="H558" t="n">
        <v>0</v>
      </c>
      <c r="I558" t="n">
        <v>0</v>
      </c>
      <c r="J558" t="n">
        <v>0</v>
      </c>
      <c r="K558" t="n">
        <v>0</v>
      </c>
      <c r="L558" t="n">
        <v>0</v>
      </c>
      <c r="M558" t="n">
        <v>0</v>
      </c>
      <c r="N558" t="n">
        <v>0</v>
      </c>
      <c r="O558" t="n">
        <v>0</v>
      </c>
      <c r="P558" t="n">
        <v>0</v>
      </c>
      <c r="Q558" t="n">
        <v>0</v>
      </c>
      <c r="R558" s="2" t="inlineStr"/>
    </row>
    <row r="559" ht="15" customHeight="1">
      <c r="A559" t="inlineStr">
        <is>
          <t>A 6105-2019</t>
        </is>
      </c>
      <c r="B559" s="1" t="n">
        <v>43483</v>
      </c>
      <c r="C559" s="1" t="n">
        <v>45190</v>
      </c>
      <c r="D559" t="inlineStr">
        <is>
          <t>SKÅNE LÄN</t>
        </is>
      </c>
      <c r="E559" t="inlineStr">
        <is>
          <t>HÄSSLEHOLM</t>
        </is>
      </c>
      <c r="G559" t="n">
        <v>5.6</v>
      </c>
      <c r="H559" t="n">
        <v>0</v>
      </c>
      <c r="I559" t="n">
        <v>0</v>
      </c>
      <c r="J559" t="n">
        <v>0</v>
      </c>
      <c r="K559" t="n">
        <v>0</v>
      </c>
      <c r="L559" t="n">
        <v>0</v>
      </c>
      <c r="M559" t="n">
        <v>0</v>
      </c>
      <c r="N559" t="n">
        <v>0</v>
      </c>
      <c r="O559" t="n">
        <v>0</v>
      </c>
      <c r="P559" t="n">
        <v>0</v>
      </c>
      <c r="Q559" t="n">
        <v>0</v>
      </c>
      <c r="R559" s="2" t="inlineStr"/>
    </row>
    <row r="560" ht="15" customHeight="1">
      <c r="A560" t="inlineStr">
        <is>
          <t>A 4559-2019</t>
        </is>
      </c>
      <c r="B560" s="1" t="n">
        <v>43486</v>
      </c>
      <c r="C560" s="1" t="n">
        <v>45190</v>
      </c>
      <c r="D560" t="inlineStr">
        <is>
          <t>SKÅNE LÄN</t>
        </is>
      </c>
      <c r="E560" t="inlineStr">
        <is>
          <t>SVALÖV</t>
        </is>
      </c>
      <c r="G560" t="n">
        <v>0.7</v>
      </c>
      <c r="H560" t="n">
        <v>0</v>
      </c>
      <c r="I560" t="n">
        <v>0</v>
      </c>
      <c r="J560" t="n">
        <v>0</v>
      </c>
      <c r="K560" t="n">
        <v>0</v>
      </c>
      <c r="L560" t="n">
        <v>0</v>
      </c>
      <c r="M560" t="n">
        <v>0</v>
      </c>
      <c r="N560" t="n">
        <v>0</v>
      </c>
      <c r="O560" t="n">
        <v>0</v>
      </c>
      <c r="P560" t="n">
        <v>0</v>
      </c>
      <c r="Q560" t="n">
        <v>0</v>
      </c>
      <c r="R560" s="2" t="inlineStr"/>
    </row>
    <row r="561" ht="15" customHeight="1">
      <c r="A561" t="inlineStr">
        <is>
          <t>A 4626-2019</t>
        </is>
      </c>
      <c r="B561" s="1" t="n">
        <v>43486</v>
      </c>
      <c r="C561" s="1" t="n">
        <v>45190</v>
      </c>
      <c r="D561" t="inlineStr">
        <is>
          <t>SKÅNE LÄN</t>
        </is>
      </c>
      <c r="E561" t="inlineStr">
        <is>
          <t>ÄNGELHOLM</t>
        </is>
      </c>
      <c r="G561" t="n">
        <v>6.5</v>
      </c>
      <c r="H561" t="n">
        <v>0</v>
      </c>
      <c r="I561" t="n">
        <v>0</v>
      </c>
      <c r="J561" t="n">
        <v>0</v>
      </c>
      <c r="K561" t="n">
        <v>0</v>
      </c>
      <c r="L561" t="n">
        <v>0</v>
      </c>
      <c r="M561" t="n">
        <v>0</v>
      </c>
      <c r="N561" t="n">
        <v>0</v>
      </c>
      <c r="O561" t="n">
        <v>0</v>
      </c>
      <c r="P561" t="n">
        <v>0</v>
      </c>
      <c r="Q561" t="n">
        <v>0</v>
      </c>
      <c r="R561" s="2" t="inlineStr"/>
    </row>
    <row r="562" ht="15" customHeight="1">
      <c r="A562" t="inlineStr">
        <is>
          <t>A 4927-2019</t>
        </is>
      </c>
      <c r="B562" s="1" t="n">
        <v>43487</v>
      </c>
      <c r="C562" s="1" t="n">
        <v>45190</v>
      </c>
      <c r="D562" t="inlineStr">
        <is>
          <t>SKÅNE LÄN</t>
        </is>
      </c>
      <c r="E562" t="inlineStr">
        <is>
          <t>OSBY</t>
        </is>
      </c>
      <c r="G562" t="n">
        <v>0.7</v>
      </c>
      <c r="H562" t="n">
        <v>0</v>
      </c>
      <c r="I562" t="n">
        <v>0</v>
      </c>
      <c r="J562" t="n">
        <v>0</v>
      </c>
      <c r="K562" t="n">
        <v>0</v>
      </c>
      <c r="L562" t="n">
        <v>0</v>
      </c>
      <c r="M562" t="n">
        <v>0</v>
      </c>
      <c r="N562" t="n">
        <v>0</v>
      </c>
      <c r="O562" t="n">
        <v>0</v>
      </c>
      <c r="P562" t="n">
        <v>0</v>
      </c>
      <c r="Q562" t="n">
        <v>0</v>
      </c>
      <c r="R562" s="2" t="inlineStr"/>
    </row>
    <row r="563" ht="15" customHeight="1">
      <c r="A563" t="inlineStr">
        <is>
          <t>A 6634-2019</t>
        </is>
      </c>
      <c r="B563" s="1" t="n">
        <v>43488</v>
      </c>
      <c r="C563" s="1" t="n">
        <v>45190</v>
      </c>
      <c r="D563" t="inlineStr">
        <is>
          <t>SKÅNE LÄN</t>
        </is>
      </c>
      <c r="E563" t="inlineStr">
        <is>
          <t>HÖÖR</t>
        </is>
      </c>
      <c r="G563" t="n">
        <v>1.3</v>
      </c>
      <c r="H563" t="n">
        <v>0</v>
      </c>
      <c r="I563" t="n">
        <v>0</v>
      </c>
      <c r="J563" t="n">
        <v>0</v>
      </c>
      <c r="K563" t="n">
        <v>0</v>
      </c>
      <c r="L563" t="n">
        <v>0</v>
      </c>
      <c r="M563" t="n">
        <v>0</v>
      </c>
      <c r="N563" t="n">
        <v>0</v>
      </c>
      <c r="O563" t="n">
        <v>0</v>
      </c>
      <c r="P563" t="n">
        <v>0</v>
      </c>
      <c r="Q563" t="n">
        <v>0</v>
      </c>
      <c r="R563" s="2" t="inlineStr"/>
    </row>
    <row r="564" ht="15" customHeight="1">
      <c r="A564" t="inlineStr">
        <is>
          <t>A 5515-2019</t>
        </is>
      </c>
      <c r="B564" s="1" t="n">
        <v>43489</v>
      </c>
      <c r="C564" s="1" t="n">
        <v>45190</v>
      </c>
      <c r="D564" t="inlineStr">
        <is>
          <t>SKÅNE LÄN</t>
        </is>
      </c>
      <c r="E564" t="inlineStr">
        <is>
          <t>KRISTIANSTAD</t>
        </is>
      </c>
      <c r="F564" t="inlineStr">
        <is>
          <t>Kommuner</t>
        </is>
      </c>
      <c r="G564" t="n">
        <v>0.9</v>
      </c>
      <c r="H564" t="n">
        <v>0</v>
      </c>
      <c r="I564" t="n">
        <v>0</v>
      </c>
      <c r="J564" t="n">
        <v>0</v>
      </c>
      <c r="K564" t="n">
        <v>0</v>
      </c>
      <c r="L564" t="n">
        <v>0</v>
      </c>
      <c r="M564" t="n">
        <v>0</v>
      </c>
      <c r="N564" t="n">
        <v>0</v>
      </c>
      <c r="O564" t="n">
        <v>0</v>
      </c>
      <c r="P564" t="n">
        <v>0</v>
      </c>
      <c r="Q564" t="n">
        <v>0</v>
      </c>
      <c r="R564" s="2" t="inlineStr"/>
    </row>
    <row r="565" ht="15" customHeight="1">
      <c r="A565" t="inlineStr">
        <is>
          <t>A 5492-2019</t>
        </is>
      </c>
      <c r="B565" s="1" t="n">
        <v>43489</v>
      </c>
      <c r="C565" s="1" t="n">
        <v>45190</v>
      </c>
      <c r="D565" t="inlineStr">
        <is>
          <t>SKÅNE LÄN</t>
        </is>
      </c>
      <c r="E565" t="inlineStr">
        <is>
          <t>KRISTIANSTAD</t>
        </is>
      </c>
      <c r="F565" t="inlineStr">
        <is>
          <t>Kommuner</t>
        </is>
      </c>
      <c r="G565" t="n">
        <v>0.5</v>
      </c>
      <c r="H565" t="n">
        <v>0</v>
      </c>
      <c r="I565" t="n">
        <v>0</v>
      </c>
      <c r="J565" t="n">
        <v>0</v>
      </c>
      <c r="K565" t="n">
        <v>0</v>
      </c>
      <c r="L565" t="n">
        <v>0</v>
      </c>
      <c r="M565" t="n">
        <v>0</v>
      </c>
      <c r="N565" t="n">
        <v>0</v>
      </c>
      <c r="O565" t="n">
        <v>0</v>
      </c>
      <c r="P565" t="n">
        <v>0</v>
      </c>
      <c r="Q565" t="n">
        <v>0</v>
      </c>
      <c r="R565" s="2" t="inlineStr"/>
    </row>
    <row r="566" ht="15" customHeight="1">
      <c r="A566" t="inlineStr">
        <is>
          <t>A 5738-2019</t>
        </is>
      </c>
      <c r="B566" s="1" t="n">
        <v>43490</v>
      </c>
      <c r="C566" s="1" t="n">
        <v>45190</v>
      </c>
      <c r="D566" t="inlineStr">
        <is>
          <t>SKÅNE LÄN</t>
        </is>
      </c>
      <c r="E566" t="inlineStr">
        <is>
          <t>HÖÖR</t>
        </is>
      </c>
      <c r="F566" t="inlineStr">
        <is>
          <t>Kommuner</t>
        </is>
      </c>
      <c r="G566" t="n">
        <v>1.1</v>
      </c>
      <c r="H566" t="n">
        <v>0</v>
      </c>
      <c r="I566" t="n">
        <v>0</v>
      </c>
      <c r="J566" t="n">
        <v>0</v>
      </c>
      <c r="K566" t="n">
        <v>0</v>
      </c>
      <c r="L566" t="n">
        <v>0</v>
      </c>
      <c r="M566" t="n">
        <v>0</v>
      </c>
      <c r="N566" t="n">
        <v>0</v>
      </c>
      <c r="O566" t="n">
        <v>0</v>
      </c>
      <c r="P566" t="n">
        <v>0</v>
      </c>
      <c r="Q566" t="n">
        <v>0</v>
      </c>
      <c r="R566" s="2" t="inlineStr"/>
    </row>
    <row r="567" ht="15" customHeight="1">
      <c r="A567" t="inlineStr">
        <is>
          <t>A 7179-2019</t>
        </is>
      </c>
      <c r="B567" s="1" t="n">
        <v>43490</v>
      </c>
      <c r="C567" s="1" t="n">
        <v>45190</v>
      </c>
      <c r="D567" t="inlineStr">
        <is>
          <t>SKÅNE LÄN</t>
        </is>
      </c>
      <c r="E567" t="inlineStr">
        <is>
          <t>HÄSSLEHOLM</t>
        </is>
      </c>
      <c r="G567" t="n">
        <v>1</v>
      </c>
      <c r="H567" t="n">
        <v>0</v>
      </c>
      <c r="I567" t="n">
        <v>0</v>
      </c>
      <c r="J567" t="n">
        <v>0</v>
      </c>
      <c r="K567" t="n">
        <v>0</v>
      </c>
      <c r="L567" t="n">
        <v>0</v>
      </c>
      <c r="M567" t="n">
        <v>0</v>
      </c>
      <c r="N567" t="n">
        <v>0</v>
      </c>
      <c r="O567" t="n">
        <v>0</v>
      </c>
      <c r="P567" t="n">
        <v>0</v>
      </c>
      <c r="Q567" t="n">
        <v>0</v>
      </c>
      <c r="R567" s="2" t="inlineStr"/>
    </row>
    <row r="568" ht="15" customHeight="1">
      <c r="A568" t="inlineStr">
        <is>
          <t>A 6131-2019</t>
        </is>
      </c>
      <c r="B568" s="1" t="n">
        <v>43493</v>
      </c>
      <c r="C568" s="1" t="n">
        <v>45190</v>
      </c>
      <c r="D568" t="inlineStr">
        <is>
          <t>SKÅNE LÄN</t>
        </is>
      </c>
      <c r="E568" t="inlineStr">
        <is>
          <t>KRISTIANSTAD</t>
        </is>
      </c>
      <c r="G568" t="n">
        <v>3.1</v>
      </c>
      <c r="H568" t="n">
        <v>0</v>
      </c>
      <c r="I568" t="n">
        <v>0</v>
      </c>
      <c r="J568" t="n">
        <v>0</v>
      </c>
      <c r="K568" t="n">
        <v>0</v>
      </c>
      <c r="L568" t="n">
        <v>0</v>
      </c>
      <c r="M568" t="n">
        <v>0</v>
      </c>
      <c r="N568" t="n">
        <v>0</v>
      </c>
      <c r="O568" t="n">
        <v>0</v>
      </c>
      <c r="P568" t="n">
        <v>0</v>
      </c>
      <c r="Q568" t="n">
        <v>0</v>
      </c>
      <c r="R568" s="2" t="inlineStr"/>
    </row>
    <row r="569" ht="15" customHeight="1">
      <c r="A569" t="inlineStr">
        <is>
          <t>A 7690-2019</t>
        </is>
      </c>
      <c r="B569" s="1" t="n">
        <v>43493</v>
      </c>
      <c r="C569" s="1" t="n">
        <v>45190</v>
      </c>
      <c r="D569" t="inlineStr">
        <is>
          <t>SKÅNE LÄN</t>
        </is>
      </c>
      <c r="E569" t="inlineStr">
        <is>
          <t>OSBY</t>
        </is>
      </c>
      <c r="G569" t="n">
        <v>0.8</v>
      </c>
      <c r="H569" t="n">
        <v>0</v>
      </c>
      <c r="I569" t="n">
        <v>0</v>
      </c>
      <c r="J569" t="n">
        <v>0</v>
      </c>
      <c r="K569" t="n">
        <v>0</v>
      </c>
      <c r="L569" t="n">
        <v>0</v>
      </c>
      <c r="M569" t="n">
        <v>0</v>
      </c>
      <c r="N569" t="n">
        <v>0</v>
      </c>
      <c r="O569" t="n">
        <v>0</v>
      </c>
      <c r="P569" t="n">
        <v>0</v>
      </c>
      <c r="Q569" t="n">
        <v>0</v>
      </c>
      <c r="R569" s="2" t="inlineStr"/>
    </row>
    <row r="570" ht="15" customHeight="1">
      <c r="A570" t="inlineStr">
        <is>
          <t>A 6010-2019</t>
        </is>
      </c>
      <c r="B570" s="1" t="n">
        <v>43493</v>
      </c>
      <c r="C570" s="1" t="n">
        <v>45190</v>
      </c>
      <c r="D570" t="inlineStr">
        <is>
          <t>SKÅNE LÄN</t>
        </is>
      </c>
      <c r="E570" t="inlineStr">
        <is>
          <t>ÖRKELLJUNGA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7504-2019</t>
        </is>
      </c>
      <c r="B571" s="1" t="n">
        <v>43493</v>
      </c>
      <c r="C571" s="1" t="n">
        <v>45190</v>
      </c>
      <c r="D571" t="inlineStr">
        <is>
          <t>SKÅNE LÄN</t>
        </is>
      </c>
      <c r="E571" t="inlineStr">
        <is>
          <t>KRISTIANSTAD</t>
        </is>
      </c>
      <c r="G571" t="n">
        <v>1.4</v>
      </c>
      <c r="H571" t="n">
        <v>0</v>
      </c>
      <c r="I571" t="n">
        <v>0</v>
      </c>
      <c r="J571" t="n">
        <v>0</v>
      </c>
      <c r="K571" t="n">
        <v>0</v>
      </c>
      <c r="L571" t="n">
        <v>0</v>
      </c>
      <c r="M571" t="n">
        <v>0</v>
      </c>
      <c r="N571" t="n">
        <v>0</v>
      </c>
      <c r="O571" t="n">
        <v>0</v>
      </c>
      <c r="P571" t="n">
        <v>0</v>
      </c>
      <c r="Q571" t="n">
        <v>0</v>
      </c>
      <c r="R571" s="2" t="inlineStr"/>
    </row>
    <row r="572" ht="15" customHeight="1">
      <c r="A572" t="inlineStr">
        <is>
          <t>A 6645-2019</t>
        </is>
      </c>
      <c r="B572" s="1" t="n">
        <v>43494</v>
      </c>
      <c r="C572" s="1" t="n">
        <v>45190</v>
      </c>
      <c r="D572" t="inlineStr">
        <is>
          <t>SKÅNE LÄN</t>
        </is>
      </c>
      <c r="E572" t="inlineStr">
        <is>
          <t>OSBY</t>
        </is>
      </c>
      <c r="G572" t="n">
        <v>1.4</v>
      </c>
      <c r="H572" t="n">
        <v>0</v>
      </c>
      <c r="I572" t="n">
        <v>0</v>
      </c>
      <c r="J572" t="n">
        <v>0</v>
      </c>
      <c r="K572" t="n">
        <v>0</v>
      </c>
      <c r="L572" t="n">
        <v>0</v>
      </c>
      <c r="M572" t="n">
        <v>0</v>
      </c>
      <c r="N572" t="n">
        <v>0</v>
      </c>
      <c r="O572" t="n">
        <v>0</v>
      </c>
      <c r="P572" t="n">
        <v>0</v>
      </c>
      <c r="Q572" t="n">
        <v>0</v>
      </c>
      <c r="R572" s="2" t="inlineStr"/>
    </row>
    <row r="573" ht="15" customHeight="1">
      <c r="A573" t="inlineStr">
        <is>
          <t>A 6502-2019</t>
        </is>
      </c>
      <c r="B573" s="1" t="n">
        <v>43494</v>
      </c>
      <c r="C573" s="1" t="n">
        <v>45190</v>
      </c>
      <c r="D573" t="inlineStr">
        <is>
          <t>SKÅNE LÄN</t>
        </is>
      </c>
      <c r="E573" t="inlineStr">
        <is>
          <t>OSBY</t>
        </is>
      </c>
      <c r="G573" t="n">
        <v>1.3</v>
      </c>
      <c r="H573" t="n">
        <v>0</v>
      </c>
      <c r="I573" t="n">
        <v>0</v>
      </c>
      <c r="J573" t="n">
        <v>0</v>
      </c>
      <c r="K573" t="n">
        <v>0</v>
      </c>
      <c r="L573" t="n">
        <v>0</v>
      </c>
      <c r="M573" t="n">
        <v>0</v>
      </c>
      <c r="N573" t="n">
        <v>0</v>
      </c>
      <c r="O573" t="n">
        <v>0</v>
      </c>
      <c r="P573" t="n">
        <v>0</v>
      </c>
      <c r="Q573" t="n">
        <v>0</v>
      </c>
      <c r="R573" s="2" t="inlineStr"/>
    </row>
    <row r="574" ht="15" customHeight="1">
      <c r="A574" t="inlineStr">
        <is>
          <t>A 6522-2019</t>
        </is>
      </c>
      <c r="B574" s="1" t="n">
        <v>43494</v>
      </c>
      <c r="C574" s="1" t="n">
        <v>45190</v>
      </c>
      <c r="D574" t="inlineStr">
        <is>
          <t>SKÅNE LÄN</t>
        </is>
      </c>
      <c r="E574" t="inlineStr">
        <is>
          <t>OSBY</t>
        </is>
      </c>
      <c r="G574" t="n">
        <v>9.6</v>
      </c>
      <c r="H574" t="n">
        <v>0</v>
      </c>
      <c r="I574" t="n">
        <v>0</v>
      </c>
      <c r="J574" t="n">
        <v>0</v>
      </c>
      <c r="K574" t="n">
        <v>0</v>
      </c>
      <c r="L574" t="n">
        <v>0</v>
      </c>
      <c r="M574" t="n">
        <v>0</v>
      </c>
      <c r="N574" t="n">
        <v>0</v>
      </c>
      <c r="O574" t="n">
        <v>0</v>
      </c>
      <c r="P574" t="n">
        <v>0</v>
      </c>
      <c r="Q574" t="n">
        <v>0</v>
      </c>
      <c r="R574" s="2" t="inlineStr"/>
    </row>
    <row r="575" ht="15" customHeight="1">
      <c r="A575" t="inlineStr">
        <is>
          <t>A 6640-2019</t>
        </is>
      </c>
      <c r="B575" s="1" t="n">
        <v>43494</v>
      </c>
      <c r="C575" s="1" t="n">
        <v>45190</v>
      </c>
      <c r="D575" t="inlineStr">
        <is>
          <t>SKÅNE LÄN</t>
        </is>
      </c>
      <c r="E575" t="inlineStr">
        <is>
          <t>OSBY</t>
        </is>
      </c>
      <c r="G575" t="n">
        <v>6.8</v>
      </c>
      <c r="H575" t="n">
        <v>0</v>
      </c>
      <c r="I575" t="n">
        <v>0</v>
      </c>
      <c r="J575" t="n">
        <v>0</v>
      </c>
      <c r="K575" t="n">
        <v>0</v>
      </c>
      <c r="L575" t="n">
        <v>0</v>
      </c>
      <c r="M575" t="n">
        <v>0</v>
      </c>
      <c r="N575" t="n">
        <v>0</v>
      </c>
      <c r="O575" t="n">
        <v>0</v>
      </c>
      <c r="P575" t="n">
        <v>0</v>
      </c>
      <c r="Q575" t="n">
        <v>0</v>
      </c>
      <c r="R575" s="2" t="inlineStr"/>
    </row>
    <row r="576" ht="15" customHeight="1">
      <c r="A576" t="inlineStr">
        <is>
          <t>A 6506-2019</t>
        </is>
      </c>
      <c r="B576" s="1" t="n">
        <v>43494</v>
      </c>
      <c r="C576" s="1" t="n">
        <v>45190</v>
      </c>
      <c r="D576" t="inlineStr">
        <is>
          <t>SKÅNE LÄN</t>
        </is>
      </c>
      <c r="E576" t="inlineStr">
        <is>
          <t>OSBY</t>
        </is>
      </c>
      <c r="G576" t="n">
        <v>7.4</v>
      </c>
      <c r="H576" t="n">
        <v>0</v>
      </c>
      <c r="I576" t="n">
        <v>0</v>
      </c>
      <c r="J576" t="n">
        <v>0</v>
      </c>
      <c r="K576" t="n">
        <v>0</v>
      </c>
      <c r="L576" t="n">
        <v>0</v>
      </c>
      <c r="M576" t="n">
        <v>0</v>
      </c>
      <c r="N576" t="n">
        <v>0</v>
      </c>
      <c r="O576" t="n">
        <v>0</v>
      </c>
      <c r="P576" t="n">
        <v>0</v>
      </c>
      <c r="Q576" t="n">
        <v>0</v>
      </c>
      <c r="R576" s="2" t="inlineStr"/>
    </row>
    <row r="577" ht="15" customHeight="1">
      <c r="A577" t="inlineStr">
        <is>
          <t>A 6657-2019</t>
        </is>
      </c>
      <c r="B577" s="1" t="n">
        <v>43494</v>
      </c>
      <c r="C577" s="1" t="n">
        <v>45190</v>
      </c>
      <c r="D577" t="inlineStr">
        <is>
          <t>SKÅNE LÄN</t>
        </is>
      </c>
      <c r="E577" t="inlineStr">
        <is>
          <t>YSTAD</t>
        </is>
      </c>
      <c r="G577" t="n">
        <v>0.8</v>
      </c>
      <c r="H577" t="n">
        <v>0</v>
      </c>
      <c r="I577" t="n">
        <v>0</v>
      </c>
      <c r="J577" t="n">
        <v>0</v>
      </c>
      <c r="K577" t="n">
        <v>0</v>
      </c>
      <c r="L577" t="n">
        <v>0</v>
      </c>
      <c r="M577" t="n">
        <v>0</v>
      </c>
      <c r="N577" t="n">
        <v>0</v>
      </c>
      <c r="O577" t="n">
        <v>0</v>
      </c>
      <c r="P577" t="n">
        <v>0</v>
      </c>
      <c r="Q577" t="n">
        <v>0</v>
      </c>
      <c r="R577" s="2" t="inlineStr"/>
    </row>
    <row r="578" ht="15" customHeight="1">
      <c r="A578" t="inlineStr">
        <is>
          <t>A 6818-2019</t>
        </is>
      </c>
      <c r="B578" s="1" t="n">
        <v>43495</v>
      </c>
      <c r="C578" s="1" t="n">
        <v>45190</v>
      </c>
      <c r="D578" t="inlineStr">
        <is>
          <t>SKÅNE LÄN</t>
        </is>
      </c>
      <c r="E578" t="inlineStr">
        <is>
          <t>ÄNGELHOLM</t>
        </is>
      </c>
      <c r="G578" t="n">
        <v>0.5</v>
      </c>
      <c r="H578" t="n">
        <v>0</v>
      </c>
      <c r="I578" t="n">
        <v>0</v>
      </c>
      <c r="J578" t="n">
        <v>0</v>
      </c>
      <c r="K578" t="n">
        <v>0</v>
      </c>
      <c r="L578" t="n">
        <v>0</v>
      </c>
      <c r="M578" t="n">
        <v>0</v>
      </c>
      <c r="N578" t="n">
        <v>0</v>
      </c>
      <c r="O578" t="n">
        <v>0</v>
      </c>
      <c r="P578" t="n">
        <v>0</v>
      </c>
      <c r="Q578" t="n">
        <v>0</v>
      </c>
      <c r="R578" s="2" t="inlineStr"/>
    </row>
    <row r="579" ht="15" customHeight="1">
      <c r="A579" t="inlineStr">
        <is>
          <t>A 6968-2019</t>
        </is>
      </c>
      <c r="B579" s="1" t="n">
        <v>43495</v>
      </c>
      <c r="C579" s="1" t="n">
        <v>45190</v>
      </c>
      <c r="D579" t="inlineStr">
        <is>
          <t>SKÅNE LÄN</t>
        </is>
      </c>
      <c r="E579" t="inlineStr">
        <is>
          <t>ÖRKELLJUNGA</t>
        </is>
      </c>
      <c r="G579" t="n">
        <v>0.8</v>
      </c>
      <c r="H579" t="n">
        <v>0</v>
      </c>
      <c r="I579" t="n">
        <v>0</v>
      </c>
      <c r="J579" t="n">
        <v>0</v>
      </c>
      <c r="K579" t="n">
        <v>0</v>
      </c>
      <c r="L579" t="n">
        <v>0</v>
      </c>
      <c r="M579" t="n">
        <v>0</v>
      </c>
      <c r="N579" t="n">
        <v>0</v>
      </c>
      <c r="O579" t="n">
        <v>0</v>
      </c>
      <c r="P579" t="n">
        <v>0</v>
      </c>
      <c r="Q579" t="n">
        <v>0</v>
      </c>
      <c r="R579" s="2" t="inlineStr"/>
    </row>
    <row r="580" ht="15" customHeight="1">
      <c r="A580" t="inlineStr">
        <is>
          <t>A 8147-2019</t>
        </is>
      </c>
      <c r="B580" s="1" t="n">
        <v>43495</v>
      </c>
      <c r="C580" s="1" t="n">
        <v>45190</v>
      </c>
      <c r="D580" t="inlineStr">
        <is>
          <t>SKÅNE LÄN</t>
        </is>
      </c>
      <c r="E580" t="inlineStr">
        <is>
          <t>OSBY</t>
        </is>
      </c>
      <c r="G580" t="n">
        <v>4.1</v>
      </c>
      <c r="H580" t="n">
        <v>0</v>
      </c>
      <c r="I580" t="n">
        <v>0</v>
      </c>
      <c r="J580" t="n">
        <v>0</v>
      </c>
      <c r="K580" t="n">
        <v>0</v>
      </c>
      <c r="L580" t="n">
        <v>0</v>
      </c>
      <c r="M580" t="n">
        <v>0</v>
      </c>
      <c r="N580" t="n">
        <v>0</v>
      </c>
      <c r="O580" t="n">
        <v>0</v>
      </c>
      <c r="P580" t="n">
        <v>0</v>
      </c>
      <c r="Q580" t="n">
        <v>0</v>
      </c>
      <c r="R580" s="2" t="inlineStr"/>
    </row>
    <row r="581" ht="15" customHeight="1">
      <c r="A581" t="inlineStr">
        <is>
          <t>A 7228-2019</t>
        </is>
      </c>
      <c r="B581" s="1" t="n">
        <v>43496</v>
      </c>
      <c r="C581" s="1" t="n">
        <v>45190</v>
      </c>
      <c r="D581" t="inlineStr">
        <is>
          <t>SKÅNE LÄN</t>
        </is>
      </c>
      <c r="E581" t="inlineStr">
        <is>
          <t>ÖSTRA GÖINGE</t>
        </is>
      </c>
      <c r="G581" t="n">
        <v>0.5</v>
      </c>
      <c r="H581" t="n">
        <v>0</v>
      </c>
      <c r="I581" t="n">
        <v>0</v>
      </c>
      <c r="J581" t="n">
        <v>0</v>
      </c>
      <c r="K581" t="n">
        <v>0</v>
      </c>
      <c r="L581" t="n">
        <v>0</v>
      </c>
      <c r="M581" t="n">
        <v>0</v>
      </c>
      <c r="N581" t="n">
        <v>0</v>
      </c>
      <c r="O581" t="n">
        <v>0</v>
      </c>
      <c r="P581" t="n">
        <v>0</v>
      </c>
      <c r="Q581" t="n">
        <v>0</v>
      </c>
      <c r="R581" s="2" t="inlineStr"/>
    </row>
    <row r="582" ht="15" customHeight="1">
      <c r="A582" t="inlineStr">
        <is>
          <t>A 7294-2019</t>
        </is>
      </c>
      <c r="B582" s="1" t="n">
        <v>43496</v>
      </c>
      <c r="C582" s="1" t="n">
        <v>45190</v>
      </c>
      <c r="D582" t="inlineStr">
        <is>
          <t>SKÅNE LÄN</t>
        </is>
      </c>
      <c r="E582" t="inlineStr">
        <is>
          <t>ÖSTRA GÖINGE</t>
        </is>
      </c>
      <c r="G582" t="n">
        <v>3.7</v>
      </c>
      <c r="H582" t="n">
        <v>0</v>
      </c>
      <c r="I582" t="n">
        <v>0</v>
      </c>
      <c r="J582" t="n">
        <v>0</v>
      </c>
      <c r="K582" t="n">
        <v>0</v>
      </c>
      <c r="L582" t="n">
        <v>0</v>
      </c>
      <c r="M582" t="n">
        <v>0</v>
      </c>
      <c r="N582" t="n">
        <v>0</v>
      </c>
      <c r="O582" t="n">
        <v>0</v>
      </c>
      <c r="P582" t="n">
        <v>0</v>
      </c>
      <c r="Q582" t="n">
        <v>0</v>
      </c>
      <c r="R582" s="2" t="inlineStr"/>
    </row>
    <row r="583" ht="15" customHeight="1">
      <c r="A583" t="inlineStr">
        <is>
          <t>A 7070-2019</t>
        </is>
      </c>
      <c r="B583" s="1" t="n">
        <v>43496</v>
      </c>
      <c r="C583" s="1" t="n">
        <v>45190</v>
      </c>
      <c r="D583" t="inlineStr">
        <is>
          <t>SKÅNE LÄN</t>
        </is>
      </c>
      <c r="E583" t="inlineStr">
        <is>
          <t>OSBY</t>
        </is>
      </c>
      <c r="G583" t="n">
        <v>1.7</v>
      </c>
      <c r="H583" t="n">
        <v>0</v>
      </c>
      <c r="I583" t="n">
        <v>0</v>
      </c>
      <c r="J583" t="n">
        <v>0</v>
      </c>
      <c r="K583" t="n">
        <v>0</v>
      </c>
      <c r="L583" t="n">
        <v>0</v>
      </c>
      <c r="M583" t="n">
        <v>0</v>
      </c>
      <c r="N583" t="n">
        <v>0</v>
      </c>
      <c r="O583" t="n">
        <v>0</v>
      </c>
      <c r="P583" t="n">
        <v>0</v>
      </c>
      <c r="Q583" t="n">
        <v>0</v>
      </c>
      <c r="R583" s="2" t="inlineStr"/>
    </row>
    <row r="584" ht="15" customHeight="1">
      <c r="A584" t="inlineStr">
        <is>
          <t>A 7106-2019</t>
        </is>
      </c>
      <c r="B584" s="1" t="n">
        <v>43496</v>
      </c>
      <c r="C584" s="1" t="n">
        <v>45190</v>
      </c>
      <c r="D584" t="inlineStr">
        <is>
          <t>SKÅNE LÄN</t>
        </is>
      </c>
      <c r="E584" t="inlineStr">
        <is>
          <t>SJÖBO</t>
        </is>
      </c>
      <c r="G584" t="n">
        <v>0.3</v>
      </c>
      <c r="H584" t="n">
        <v>0</v>
      </c>
      <c r="I584" t="n">
        <v>0</v>
      </c>
      <c r="J584" t="n">
        <v>0</v>
      </c>
      <c r="K584" t="n">
        <v>0</v>
      </c>
      <c r="L584" t="n">
        <v>0</v>
      </c>
      <c r="M584" t="n">
        <v>0</v>
      </c>
      <c r="N584" t="n">
        <v>0</v>
      </c>
      <c r="O584" t="n">
        <v>0</v>
      </c>
      <c r="P584" t="n">
        <v>0</v>
      </c>
      <c r="Q584" t="n">
        <v>0</v>
      </c>
      <c r="R584" s="2" t="inlineStr"/>
    </row>
    <row r="585" ht="15" customHeight="1">
      <c r="A585" t="inlineStr">
        <is>
          <t>A 7210-2019</t>
        </is>
      </c>
      <c r="B585" s="1" t="n">
        <v>43496</v>
      </c>
      <c r="C585" s="1" t="n">
        <v>45190</v>
      </c>
      <c r="D585" t="inlineStr">
        <is>
          <t>SKÅNE LÄN</t>
        </is>
      </c>
      <c r="E585" t="inlineStr">
        <is>
          <t>SVALÖV</t>
        </is>
      </c>
      <c r="G585" t="n">
        <v>1.1</v>
      </c>
      <c r="H585" t="n">
        <v>0</v>
      </c>
      <c r="I585" t="n">
        <v>0</v>
      </c>
      <c r="J585" t="n">
        <v>0</v>
      </c>
      <c r="K585" t="n">
        <v>0</v>
      </c>
      <c r="L585" t="n">
        <v>0</v>
      </c>
      <c r="M585" t="n">
        <v>0</v>
      </c>
      <c r="N585" t="n">
        <v>0</v>
      </c>
      <c r="O585" t="n">
        <v>0</v>
      </c>
      <c r="P585" t="n">
        <v>0</v>
      </c>
      <c r="Q585" t="n">
        <v>0</v>
      </c>
      <c r="R585" s="2" t="inlineStr"/>
    </row>
    <row r="586" ht="15" customHeight="1">
      <c r="A586" t="inlineStr">
        <is>
          <t>A 7238-2019</t>
        </is>
      </c>
      <c r="B586" s="1" t="n">
        <v>43496</v>
      </c>
      <c r="C586" s="1" t="n">
        <v>45190</v>
      </c>
      <c r="D586" t="inlineStr">
        <is>
          <t>SKÅNE LÄN</t>
        </is>
      </c>
      <c r="E586" t="inlineStr">
        <is>
          <t>SVALÖV</t>
        </is>
      </c>
      <c r="G586" t="n">
        <v>1.4</v>
      </c>
      <c r="H586" t="n">
        <v>0</v>
      </c>
      <c r="I586" t="n">
        <v>0</v>
      </c>
      <c r="J586" t="n">
        <v>0</v>
      </c>
      <c r="K586" t="n">
        <v>0</v>
      </c>
      <c r="L586" t="n">
        <v>0</v>
      </c>
      <c r="M586" t="n">
        <v>0</v>
      </c>
      <c r="N586" t="n">
        <v>0</v>
      </c>
      <c r="O586" t="n">
        <v>0</v>
      </c>
      <c r="P586" t="n">
        <v>0</v>
      </c>
      <c r="Q586" t="n">
        <v>0</v>
      </c>
      <c r="R586" s="2" t="inlineStr"/>
    </row>
    <row r="587" ht="15" customHeight="1">
      <c r="A587" t="inlineStr">
        <is>
          <t>A 7292-2019</t>
        </is>
      </c>
      <c r="B587" s="1" t="n">
        <v>43496</v>
      </c>
      <c r="C587" s="1" t="n">
        <v>45190</v>
      </c>
      <c r="D587" t="inlineStr">
        <is>
          <t>SKÅNE LÄN</t>
        </is>
      </c>
      <c r="E587" t="inlineStr">
        <is>
          <t>ÖSTRA GÖINGE</t>
        </is>
      </c>
      <c r="G587" t="n">
        <v>3.4</v>
      </c>
      <c r="H587" t="n">
        <v>0</v>
      </c>
      <c r="I587" t="n">
        <v>0</v>
      </c>
      <c r="J587" t="n">
        <v>0</v>
      </c>
      <c r="K587" t="n">
        <v>0</v>
      </c>
      <c r="L587" t="n">
        <v>0</v>
      </c>
      <c r="M587" t="n">
        <v>0</v>
      </c>
      <c r="N587" t="n">
        <v>0</v>
      </c>
      <c r="O587" t="n">
        <v>0</v>
      </c>
      <c r="P587" t="n">
        <v>0</v>
      </c>
      <c r="Q587" t="n">
        <v>0</v>
      </c>
      <c r="R587" s="2" t="inlineStr"/>
    </row>
    <row r="588" ht="15" customHeight="1">
      <c r="A588" t="inlineStr">
        <is>
          <t>A 7351-2019</t>
        </is>
      </c>
      <c r="B588" s="1" t="n">
        <v>43496</v>
      </c>
      <c r="C588" s="1" t="n">
        <v>45190</v>
      </c>
      <c r="D588" t="inlineStr">
        <is>
          <t>SKÅNE LÄN</t>
        </is>
      </c>
      <c r="E588" t="inlineStr">
        <is>
          <t>ÖRKELLJUNGA</t>
        </is>
      </c>
      <c r="G588" t="n">
        <v>5.3</v>
      </c>
      <c r="H588" t="n">
        <v>0</v>
      </c>
      <c r="I588" t="n">
        <v>0</v>
      </c>
      <c r="J588" t="n">
        <v>0</v>
      </c>
      <c r="K588" t="n">
        <v>0</v>
      </c>
      <c r="L588" t="n">
        <v>0</v>
      </c>
      <c r="M588" t="n">
        <v>0</v>
      </c>
      <c r="N588" t="n">
        <v>0</v>
      </c>
      <c r="O588" t="n">
        <v>0</v>
      </c>
      <c r="P588" t="n">
        <v>0</v>
      </c>
      <c r="Q588" t="n">
        <v>0</v>
      </c>
      <c r="R588" s="2" t="inlineStr"/>
    </row>
    <row r="589" ht="15" customHeight="1">
      <c r="A589" t="inlineStr">
        <is>
          <t>A 8193-2019</t>
        </is>
      </c>
      <c r="B589" s="1" t="n">
        <v>43496</v>
      </c>
      <c r="C589" s="1" t="n">
        <v>45190</v>
      </c>
      <c r="D589" t="inlineStr">
        <is>
          <t>SKÅNE LÄN</t>
        </is>
      </c>
      <c r="E589" t="inlineStr">
        <is>
          <t>HÖÖR</t>
        </is>
      </c>
      <c r="G589" t="n">
        <v>2.3</v>
      </c>
      <c r="H589" t="n">
        <v>0</v>
      </c>
      <c r="I589" t="n">
        <v>0</v>
      </c>
      <c r="J589" t="n">
        <v>0</v>
      </c>
      <c r="K589" t="n">
        <v>0</v>
      </c>
      <c r="L589" t="n">
        <v>0</v>
      </c>
      <c r="M589" t="n">
        <v>0</v>
      </c>
      <c r="N589" t="n">
        <v>0</v>
      </c>
      <c r="O589" t="n">
        <v>0</v>
      </c>
      <c r="P589" t="n">
        <v>0</v>
      </c>
      <c r="Q589" t="n">
        <v>0</v>
      </c>
      <c r="R589" s="2" t="inlineStr"/>
    </row>
    <row r="590" ht="15" customHeight="1">
      <c r="A590" t="inlineStr">
        <is>
          <t>A 7227-2019</t>
        </is>
      </c>
      <c r="B590" s="1" t="n">
        <v>43496</v>
      </c>
      <c r="C590" s="1" t="n">
        <v>45190</v>
      </c>
      <c r="D590" t="inlineStr">
        <is>
          <t>SKÅNE LÄN</t>
        </is>
      </c>
      <c r="E590" t="inlineStr">
        <is>
          <t>SVALÖV</t>
        </is>
      </c>
      <c r="G590" t="n">
        <v>4.9</v>
      </c>
      <c r="H590" t="n">
        <v>0</v>
      </c>
      <c r="I590" t="n">
        <v>0</v>
      </c>
      <c r="J590" t="n">
        <v>0</v>
      </c>
      <c r="K590" t="n">
        <v>0</v>
      </c>
      <c r="L590" t="n">
        <v>0</v>
      </c>
      <c r="M590" t="n">
        <v>0</v>
      </c>
      <c r="N590" t="n">
        <v>0</v>
      </c>
      <c r="O590" t="n">
        <v>0</v>
      </c>
      <c r="P590" t="n">
        <v>0</v>
      </c>
      <c r="Q590" t="n">
        <v>0</v>
      </c>
      <c r="R590" s="2" t="inlineStr"/>
    </row>
    <row r="591" ht="15" customHeight="1">
      <c r="A591" t="inlineStr">
        <is>
          <t>A 7353-2019</t>
        </is>
      </c>
      <c r="B591" s="1" t="n">
        <v>43496</v>
      </c>
      <c r="C591" s="1" t="n">
        <v>45190</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7248-2019</t>
        </is>
      </c>
      <c r="B592" s="1" t="n">
        <v>43496</v>
      </c>
      <c r="C592" s="1" t="n">
        <v>45190</v>
      </c>
      <c r="D592" t="inlineStr">
        <is>
          <t>SKÅNE LÄN</t>
        </is>
      </c>
      <c r="E592" t="inlineStr">
        <is>
          <t>SVALÖV</t>
        </is>
      </c>
      <c r="G592" t="n">
        <v>5.9</v>
      </c>
      <c r="H592" t="n">
        <v>0</v>
      </c>
      <c r="I592" t="n">
        <v>0</v>
      </c>
      <c r="J592" t="n">
        <v>0</v>
      </c>
      <c r="K592" t="n">
        <v>0</v>
      </c>
      <c r="L592" t="n">
        <v>0</v>
      </c>
      <c r="M592" t="n">
        <v>0</v>
      </c>
      <c r="N592" t="n">
        <v>0</v>
      </c>
      <c r="O592" t="n">
        <v>0</v>
      </c>
      <c r="P592" t="n">
        <v>0</v>
      </c>
      <c r="Q592" t="n">
        <v>0</v>
      </c>
      <c r="R592" s="2" t="inlineStr"/>
    </row>
    <row r="593" ht="15" customHeight="1">
      <c r="A593" t="inlineStr">
        <is>
          <t>A 7298-2019</t>
        </is>
      </c>
      <c r="B593" s="1" t="n">
        <v>43496</v>
      </c>
      <c r="C593" s="1" t="n">
        <v>45190</v>
      </c>
      <c r="D593" t="inlineStr">
        <is>
          <t>SKÅNE LÄN</t>
        </is>
      </c>
      <c r="E593" t="inlineStr">
        <is>
          <t>ÖSTRA GÖINGE</t>
        </is>
      </c>
      <c r="G593" t="n">
        <v>0.7</v>
      </c>
      <c r="H593" t="n">
        <v>0</v>
      </c>
      <c r="I593" t="n">
        <v>0</v>
      </c>
      <c r="J593" t="n">
        <v>0</v>
      </c>
      <c r="K593" t="n">
        <v>0</v>
      </c>
      <c r="L593" t="n">
        <v>0</v>
      </c>
      <c r="M593" t="n">
        <v>0</v>
      </c>
      <c r="N593" t="n">
        <v>0</v>
      </c>
      <c r="O593" t="n">
        <v>0</v>
      </c>
      <c r="P593" t="n">
        <v>0</v>
      </c>
      <c r="Q593" t="n">
        <v>0</v>
      </c>
      <c r="R593" s="2" t="inlineStr"/>
    </row>
    <row r="594" ht="15" customHeight="1">
      <c r="A594" t="inlineStr">
        <is>
          <t>A 7934-2019</t>
        </is>
      </c>
      <c r="B594" s="1" t="n">
        <v>43501</v>
      </c>
      <c r="C594" s="1" t="n">
        <v>45190</v>
      </c>
      <c r="D594" t="inlineStr">
        <is>
          <t>SKÅNE LÄN</t>
        </is>
      </c>
      <c r="E594" t="inlineStr">
        <is>
          <t>ÖRKELLJUNGA</t>
        </is>
      </c>
      <c r="G594" t="n">
        <v>2.7</v>
      </c>
      <c r="H594" t="n">
        <v>0</v>
      </c>
      <c r="I594" t="n">
        <v>0</v>
      </c>
      <c r="J594" t="n">
        <v>0</v>
      </c>
      <c r="K594" t="n">
        <v>0</v>
      </c>
      <c r="L594" t="n">
        <v>0</v>
      </c>
      <c r="M594" t="n">
        <v>0</v>
      </c>
      <c r="N594" t="n">
        <v>0</v>
      </c>
      <c r="O594" t="n">
        <v>0</v>
      </c>
      <c r="P594" t="n">
        <v>0</v>
      </c>
      <c r="Q594" t="n">
        <v>0</v>
      </c>
      <c r="R594" s="2" t="inlineStr"/>
    </row>
    <row r="595" ht="15" customHeight="1">
      <c r="A595" t="inlineStr">
        <is>
          <t>A 7959-2019</t>
        </is>
      </c>
      <c r="B595" s="1" t="n">
        <v>43501</v>
      </c>
      <c r="C595" s="1" t="n">
        <v>45190</v>
      </c>
      <c r="D595" t="inlineStr">
        <is>
          <t>SKÅNE LÄN</t>
        </is>
      </c>
      <c r="E595" t="inlineStr">
        <is>
          <t>KLIPPAN</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8192-2019</t>
        </is>
      </c>
      <c r="B596" s="1" t="n">
        <v>43501</v>
      </c>
      <c r="C596" s="1" t="n">
        <v>45190</v>
      </c>
      <c r="D596" t="inlineStr">
        <is>
          <t>SKÅNE LÄN</t>
        </is>
      </c>
      <c r="E596" t="inlineStr">
        <is>
          <t>HÄSSLEHOLM</t>
        </is>
      </c>
      <c r="G596" t="n">
        <v>0.4</v>
      </c>
      <c r="H596" t="n">
        <v>0</v>
      </c>
      <c r="I596" t="n">
        <v>0</v>
      </c>
      <c r="J596" t="n">
        <v>0</v>
      </c>
      <c r="K596" t="n">
        <v>0</v>
      </c>
      <c r="L596" t="n">
        <v>0</v>
      </c>
      <c r="M596" t="n">
        <v>0</v>
      </c>
      <c r="N596" t="n">
        <v>0</v>
      </c>
      <c r="O596" t="n">
        <v>0</v>
      </c>
      <c r="P596" t="n">
        <v>0</v>
      </c>
      <c r="Q596" t="n">
        <v>0</v>
      </c>
      <c r="R596" s="2" t="inlineStr"/>
    </row>
    <row r="597" ht="15" customHeight="1">
      <c r="A597" t="inlineStr">
        <is>
          <t>A 8802-2019</t>
        </is>
      </c>
      <c r="B597" s="1" t="n">
        <v>43502</v>
      </c>
      <c r="C597" s="1" t="n">
        <v>45190</v>
      </c>
      <c r="D597" t="inlineStr">
        <is>
          <t>SKÅNE LÄN</t>
        </is>
      </c>
      <c r="E597" t="inlineStr">
        <is>
          <t>HÖÖR</t>
        </is>
      </c>
      <c r="G597" t="n">
        <v>3.4</v>
      </c>
      <c r="H597" t="n">
        <v>0</v>
      </c>
      <c r="I597" t="n">
        <v>0</v>
      </c>
      <c r="J597" t="n">
        <v>0</v>
      </c>
      <c r="K597" t="n">
        <v>0</v>
      </c>
      <c r="L597" t="n">
        <v>0</v>
      </c>
      <c r="M597" t="n">
        <v>0</v>
      </c>
      <c r="N597" t="n">
        <v>0</v>
      </c>
      <c r="O597" t="n">
        <v>0</v>
      </c>
      <c r="P597" t="n">
        <v>0</v>
      </c>
      <c r="Q597" t="n">
        <v>0</v>
      </c>
      <c r="R597" s="2" t="inlineStr"/>
    </row>
    <row r="598" ht="15" customHeight="1">
      <c r="A598" t="inlineStr">
        <is>
          <t>A 8864-2019</t>
        </is>
      </c>
      <c r="B598" s="1" t="n">
        <v>43503</v>
      </c>
      <c r="C598" s="1" t="n">
        <v>45190</v>
      </c>
      <c r="D598" t="inlineStr">
        <is>
          <t>SKÅNE LÄN</t>
        </is>
      </c>
      <c r="E598" t="inlineStr">
        <is>
          <t>ÖRKELLJUNGA</t>
        </is>
      </c>
      <c r="G598" t="n">
        <v>7.5</v>
      </c>
      <c r="H598" t="n">
        <v>0</v>
      </c>
      <c r="I598" t="n">
        <v>0</v>
      </c>
      <c r="J598" t="n">
        <v>0</v>
      </c>
      <c r="K598" t="n">
        <v>0</v>
      </c>
      <c r="L598" t="n">
        <v>0</v>
      </c>
      <c r="M598" t="n">
        <v>0</v>
      </c>
      <c r="N598" t="n">
        <v>0</v>
      </c>
      <c r="O598" t="n">
        <v>0</v>
      </c>
      <c r="P598" t="n">
        <v>0</v>
      </c>
      <c r="Q598" t="n">
        <v>0</v>
      </c>
      <c r="R598" s="2" t="inlineStr"/>
    </row>
    <row r="599" ht="15" customHeight="1">
      <c r="A599" t="inlineStr">
        <is>
          <t>A 8856-2019</t>
        </is>
      </c>
      <c r="B599" s="1" t="n">
        <v>43503</v>
      </c>
      <c r="C599" s="1" t="n">
        <v>45190</v>
      </c>
      <c r="D599" t="inlineStr">
        <is>
          <t>SKÅNE LÄN</t>
        </is>
      </c>
      <c r="E599" t="inlineStr">
        <is>
          <t>ÄNGELHOLM</t>
        </is>
      </c>
      <c r="G599" t="n">
        <v>2.9</v>
      </c>
      <c r="H599" t="n">
        <v>0</v>
      </c>
      <c r="I599" t="n">
        <v>0</v>
      </c>
      <c r="J599" t="n">
        <v>0</v>
      </c>
      <c r="K599" t="n">
        <v>0</v>
      </c>
      <c r="L599" t="n">
        <v>0</v>
      </c>
      <c r="M599" t="n">
        <v>0</v>
      </c>
      <c r="N599" t="n">
        <v>0</v>
      </c>
      <c r="O599" t="n">
        <v>0</v>
      </c>
      <c r="P599" t="n">
        <v>0</v>
      </c>
      <c r="Q599" t="n">
        <v>0</v>
      </c>
      <c r="R599" s="2" t="inlineStr"/>
    </row>
    <row r="600" ht="15" customHeight="1">
      <c r="A600" t="inlineStr">
        <is>
          <t>A 8869-2019</t>
        </is>
      </c>
      <c r="B600" s="1" t="n">
        <v>43503</v>
      </c>
      <c r="C600" s="1" t="n">
        <v>45190</v>
      </c>
      <c r="D600" t="inlineStr">
        <is>
          <t>SKÅNE LÄN</t>
        </is>
      </c>
      <c r="E600" t="inlineStr">
        <is>
          <t>ÖRKELLJUNGA</t>
        </is>
      </c>
      <c r="G600" t="n">
        <v>1.7</v>
      </c>
      <c r="H600" t="n">
        <v>0</v>
      </c>
      <c r="I600" t="n">
        <v>0</v>
      </c>
      <c r="J600" t="n">
        <v>0</v>
      </c>
      <c r="K600" t="n">
        <v>0</v>
      </c>
      <c r="L600" t="n">
        <v>0</v>
      </c>
      <c r="M600" t="n">
        <v>0</v>
      </c>
      <c r="N600" t="n">
        <v>0</v>
      </c>
      <c r="O600" t="n">
        <v>0</v>
      </c>
      <c r="P600" t="n">
        <v>0</v>
      </c>
      <c r="Q600" t="n">
        <v>0</v>
      </c>
      <c r="R600" s="2" t="inlineStr"/>
    </row>
    <row r="601" ht="15" customHeight="1">
      <c r="A601" t="inlineStr">
        <is>
          <t>A 8952-2019</t>
        </is>
      </c>
      <c r="B601" s="1" t="n">
        <v>43503</v>
      </c>
      <c r="C601" s="1" t="n">
        <v>45190</v>
      </c>
      <c r="D601" t="inlineStr">
        <is>
          <t>SKÅNE LÄN</t>
        </is>
      </c>
      <c r="E601" t="inlineStr">
        <is>
          <t>KLIPPAN</t>
        </is>
      </c>
      <c r="F601" t="inlineStr">
        <is>
          <t>Övriga Aktiebolag</t>
        </is>
      </c>
      <c r="G601" t="n">
        <v>1</v>
      </c>
      <c r="H601" t="n">
        <v>0</v>
      </c>
      <c r="I601" t="n">
        <v>0</v>
      </c>
      <c r="J601" t="n">
        <v>0</v>
      </c>
      <c r="K601" t="n">
        <v>0</v>
      </c>
      <c r="L601" t="n">
        <v>0</v>
      </c>
      <c r="M601" t="n">
        <v>0</v>
      </c>
      <c r="N601" t="n">
        <v>0</v>
      </c>
      <c r="O601" t="n">
        <v>0</v>
      </c>
      <c r="P601" t="n">
        <v>0</v>
      </c>
      <c r="Q601" t="n">
        <v>0</v>
      </c>
      <c r="R601" s="2" t="inlineStr"/>
    </row>
    <row r="602" ht="15" customHeight="1">
      <c r="A602" t="inlineStr">
        <is>
          <t>A 9160-2019</t>
        </is>
      </c>
      <c r="B602" s="1" t="n">
        <v>43504</v>
      </c>
      <c r="C602" s="1" t="n">
        <v>45190</v>
      </c>
      <c r="D602" t="inlineStr">
        <is>
          <t>SKÅNE LÄN</t>
        </is>
      </c>
      <c r="E602" t="inlineStr">
        <is>
          <t>HÄSSLEHOLM</t>
        </is>
      </c>
      <c r="F602" t="inlineStr">
        <is>
          <t>Kyrkan</t>
        </is>
      </c>
      <c r="G602" t="n">
        <v>14.4</v>
      </c>
      <c r="H602" t="n">
        <v>0</v>
      </c>
      <c r="I602" t="n">
        <v>0</v>
      </c>
      <c r="J602" t="n">
        <v>0</v>
      </c>
      <c r="K602" t="n">
        <v>0</v>
      </c>
      <c r="L602" t="n">
        <v>0</v>
      </c>
      <c r="M602" t="n">
        <v>0</v>
      </c>
      <c r="N602" t="n">
        <v>0</v>
      </c>
      <c r="O602" t="n">
        <v>0</v>
      </c>
      <c r="P602" t="n">
        <v>0</v>
      </c>
      <c r="Q602" t="n">
        <v>0</v>
      </c>
      <c r="R602" s="2" t="inlineStr"/>
    </row>
    <row r="603" ht="15" customHeight="1">
      <c r="A603" t="inlineStr">
        <is>
          <t>A 9292-2019</t>
        </is>
      </c>
      <c r="B603" s="1" t="n">
        <v>43507</v>
      </c>
      <c r="C603" s="1" t="n">
        <v>45190</v>
      </c>
      <c r="D603" t="inlineStr">
        <is>
          <t>SKÅNE LÄN</t>
        </is>
      </c>
      <c r="E603" t="inlineStr">
        <is>
          <t>TOMELILLA</t>
        </is>
      </c>
      <c r="F603" t="inlineStr">
        <is>
          <t>Övriga Aktiebolag</t>
        </is>
      </c>
      <c r="G603" t="n">
        <v>8.800000000000001</v>
      </c>
      <c r="H603" t="n">
        <v>0</v>
      </c>
      <c r="I603" t="n">
        <v>0</v>
      </c>
      <c r="J603" t="n">
        <v>0</v>
      </c>
      <c r="K603" t="n">
        <v>0</v>
      </c>
      <c r="L603" t="n">
        <v>0</v>
      </c>
      <c r="M603" t="n">
        <v>0</v>
      </c>
      <c r="N603" t="n">
        <v>0</v>
      </c>
      <c r="O603" t="n">
        <v>0</v>
      </c>
      <c r="P603" t="n">
        <v>0</v>
      </c>
      <c r="Q603" t="n">
        <v>0</v>
      </c>
      <c r="R603" s="2" t="inlineStr"/>
    </row>
    <row r="604" ht="15" customHeight="1">
      <c r="A604" t="inlineStr">
        <is>
          <t>A 9309-2019</t>
        </is>
      </c>
      <c r="B604" s="1" t="n">
        <v>43507</v>
      </c>
      <c r="C604" s="1" t="n">
        <v>45190</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9539-2019</t>
        </is>
      </c>
      <c r="B605" s="1" t="n">
        <v>43507</v>
      </c>
      <c r="C605" s="1" t="n">
        <v>45190</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9474-2019</t>
        </is>
      </c>
      <c r="B606" s="1" t="n">
        <v>43507</v>
      </c>
      <c r="C606" s="1" t="n">
        <v>45190</v>
      </c>
      <c r="D606" t="inlineStr">
        <is>
          <t>SKÅNE LÄN</t>
        </is>
      </c>
      <c r="E606" t="inlineStr">
        <is>
          <t>ÖSTRA GÖINGE</t>
        </is>
      </c>
      <c r="G606" t="n">
        <v>2</v>
      </c>
      <c r="H606" t="n">
        <v>0</v>
      </c>
      <c r="I606" t="n">
        <v>0</v>
      </c>
      <c r="J606" t="n">
        <v>0</v>
      </c>
      <c r="K606" t="n">
        <v>0</v>
      </c>
      <c r="L606" t="n">
        <v>0</v>
      </c>
      <c r="M606" t="n">
        <v>0</v>
      </c>
      <c r="N606" t="n">
        <v>0</v>
      </c>
      <c r="O606" t="n">
        <v>0</v>
      </c>
      <c r="P606" t="n">
        <v>0</v>
      </c>
      <c r="Q606" t="n">
        <v>0</v>
      </c>
      <c r="R606" s="2" t="inlineStr"/>
    </row>
    <row r="607" ht="15" customHeight="1">
      <c r="A607" t="inlineStr">
        <is>
          <t>A 9546-2019</t>
        </is>
      </c>
      <c r="B607" s="1" t="n">
        <v>43507</v>
      </c>
      <c r="C607" s="1" t="n">
        <v>45190</v>
      </c>
      <c r="D607" t="inlineStr">
        <is>
          <t>SKÅNE LÄN</t>
        </is>
      </c>
      <c r="E607" t="inlineStr">
        <is>
          <t>ÖRKELLJUNGA</t>
        </is>
      </c>
      <c r="G607" t="n">
        <v>2.8</v>
      </c>
      <c r="H607" t="n">
        <v>0</v>
      </c>
      <c r="I607" t="n">
        <v>0</v>
      </c>
      <c r="J607" t="n">
        <v>0</v>
      </c>
      <c r="K607" t="n">
        <v>0</v>
      </c>
      <c r="L607" t="n">
        <v>0</v>
      </c>
      <c r="M607" t="n">
        <v>0</v>
      </c>
      <c r="N607" t="n">
        <v>0</v>
      </c>
      <c r="O607" t="n">
        <v>0</v>
      </c>
      <c r="P607" t="n">
        <v>0</v>
      </c>
      <c r="Q607" t="n">
        <v>0</v>
      </c>
      <c r="R607" s="2" t="inlineStr"/>
    </row>
    <row r="608" ht="15" customHeight="1">
      <c r="A608" t="inlineStr">
        <is>
          <t>A 9538-2019</t>
        </is>
      </c>
      <c r="B608" s="1" t="n">
        <v>43508</v>
      </c>
      <c r="C608" s="1" t="n">
        <v>45190</v>
      </c>
      <c r="D608" t="inlineStr">
        <is>
          <t>SKÅNE LÄN</t>
        </is>
      </c>
      <c r="E608" t="inlineStr">
        <is>
          <t>HÄSSLEHOLM</t>
        </is>
      </c>
      <c r="G608" t="n">
        <v>1.4</v>
      </c>
      <c r="H608" t="n">
        <v>0</v>
      </c>
      <c r="I608" t="n">
        <v>0</v>
      </c>
      <c r="J608" t="n">
        <v>0</v>
      </c>
      <c r="K608" t="n">
        <v>0</v>
      </c>
      <c r="L608" t="n">
        <v>0</v>
      </c>
      <c r="M608" t="n">
        <v>0</v>
      </c>
      <c r="N608" t="n">
        <v>0</v>
      </c>
      <c r="O608" t="n">
        <v>0</v>
      </c>
      <c r="P608" t="n">
        <v>0</v>
      </c>
      <c r="Q608" t="n">
        <v>0</v>
      </c>
      <c r="R608" s="2" t="inlineStr"/>
    </row>
    <row r="609" ht="15" customHeight="1">
      <c r="A609" t="inlineStr">
        <is>
          <t>A 9582-2019</t>
        </is>
      </c>
      <c r="B609" s="1" t="n">
        <v>43508</v>
      </c>
      <c r="C609" s="1" t="n">
        <v>45190</v>
      </c>
      <c r="D609" t="inlineStr">
        <is>
          <t>SKÅNE LÄN</t>
        </is>
      </c>
      <c r="E609" t="inlineStr">
        <is>
          <t>KRISTIANSTAD</t>
        </is>
      </c>
      <c r="G609" t="n">
        <v>0.5</v>
      </c>
      <c r="H609" t="n">
        <v>0</v>
      </c>
      <c r="I609" t="n">
        <v>0</v>
      </c>
      <c r="J609" t="n">
        <v>0</v>
      </c>
      <c r="K609" t="n">
        <v>0</v>
      </c>
      <c r="L609" t="n">
        <v>0</v>
      </c>
      <c r="M609" t="n">
        <v>0</v>
      </c>
      <c r="N609" t="n">
        <v>0</v>
      </c>
      <c r="O609" t="n">
        <v>0</v>
      </c>
      <c r="P609" t="n">
        <v>0</v>
      </c>
      <c r="Q609" t="n">
        <v>0</v>
      </c>
      <c r="R609" s="2" t="inlineStr"/>
    </row>
    <row r="610" ht="15" customHeight="1">
      <c r="A610" t="inlineStr">
        <is>
          <t>A 9590-2019</t>
        </is>
      </c>
      <c r="B610" s="1" t="n">
        <v>43508</v>
      </c>
      <c r="C610" s="1" t="n">
        <v>45190</v>
      </c>
      <c r="D610" t="inlineStr">
        <is>
          <t>SKÅNE LÄN</t>
        </is>
      </c>
      <c r="E610" t="inlineStr">
        <is>
          <t>KRISTIANSTAD</t>
        </is>
      </c>
      <c r="G610" t="n">
        <v>0.7</v>
      </c>
      <c r="H610" t="n">
        <v>0</v>
      </c>
      <c r="I610" t="n">
        <v>0</v>
      </c>
      <c r="J610" t="n">
        <v>0</v>
      </c>
      <c r="K610" t="n">
        <v>0</v>
      </c>
      <c r="L610" t="n">
        <v>0</v>
      </c>
      <c r="M610" t="n">
        <v>0</v>
      </c>
      <c r="N610" t="n">
        <v>0</v>
      </c>
      <c r="O610" t="n">
        <v>0</v>
      </c>
      <c r="P610" t="n">
        <v>0</v>
      </c>
      <c r="Q610" t="n">
        <v>0</v>
      </c>
      <c r="R610" s="2" t="inlineStr"/>
    </row>
    <row r="611" ht="15" customHeight="1">
      <c r="A611" t="inlineStr">
        <is>
          <t>A 9747-2019</t>
        </is>
      </c>
      <c r="B611" s="1" t="n">
        <v>43509</v>
      </c>
      <c r="C611" s="1" t="n">
        <v>45190</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9771-2019</t>
        </is>
      </c>
      <c r="B612" s="1" t="n">
        <v>43509</v>
      </c>
      <c r="C612" s="1" t="n">
        <v>45190</v>
      </c>
      <c r="D612" t="inlineStr">
        <is>
          <t>SKÅNE LÄN</t>
        </is>
      </c>
      <c r="E612" t="inlineStr">
        <is>
          <t>ÖSTRA GÖINGE</t>
        </is>
      </c>
      <c r="G612" t="n">
        <v>3.1</v>
      </c>
      <c r="H612" t="n">
        <v>0</v>
      </c>
      <c r="I612" t="n">
        <v>0</v>
      </c>
      <c r="J612" t="n">
        <v>0</v>
      </c>
      <c r="K612" t="n">
        <v>0</v>
      </c>
      <c r="L612" t="n">
        <v>0</v>
      </c>
      <c r="M612" t="n">
        <v>0</v>
      </c>
      <c r="N612" t="n">
        <v>0</v>
      </c>
      <c r="O612" t="n">
        <v>0</v>
      </c>
      <c r="P612" t="n">
        <v>0</v>
      </c>
      <c r="Q612" t="n">
        <v>0</v>
      </c>
      <c r="R612" s="2" t="inlineStr"/>
    </row>
    <row r="613" ht="15" customHeight="1">
      <c r="A613" t="inlineStr">
        <is>
          <t>A 10148-2019</t>
        </is>
      </c>
      <c r="B613" s="1" t="n">
        <v>43510</v>
      </c>
      <c r="C613" s="1" t="n">
        <v>45190</v>
      </c>
      <c r="D613" t="inlineStr">
        <is>
          <t>SKÅNE LÄN</t>
        </is>
      </c>
      <c r="E613" t="inlineStr">
        <is>
          <t>PERSTORP</t>
        </is>
      </c>
      <c r="F613" t="inlineStr">
        <is>
          <t>Övriga Aktiebolag</t>
        </is>
      </c>
      <c r="G613" t="n">
        <v>13.8</v>
      </c>
      <c r="H613" t="n">
        <v>0</v>
      </c>
      <c r="I613" t="n">
        <v>0</v>
      </c>
      <c r="J613" t="n">
        <v>0</v>
      </c>
      <c r="K613" t="n">
        <v>0</v>
      </c>
      <c r="L613" t="n">
        <v>0</v>
      </c>
      <c r="M613" t="n">
        <v>0</v>
      </c>
      <c r="N613" t="n">
        <v>0</v>
      </c>
      <c r="O613" t="n">
        <v>0</v>
      </c>
      <c r="P613" t="n">
        <v>0</v>
      </c>
      <c r="Q613" t="n">
        <v>0</v>
      </c>
      <c r="R613" s="2" t="inlineStr"/>
    </row>
    <row r="614" ht="15" customHeight="1">
      <c r="A614" t="inlineStr">
        <is>
          <t>A 10161-2019</t>
        </is>
      </c>
      <c r="B614" s="1" t="n">
        <v>43510</v>
      </c>
      <c r="C614" s="1" t="n">
        <v>45190</v>
      </c>
      <c r="D614" t="inlineStr">
        <is>
          <t>SKÅNE LÄN</t>
        </is>
      </c>
      <c r="E614" t="inlineStr">
        <is>
          <t>KLIPPAN</t>
        </is>
      </c>
      <c r="F614" t="inlineStr">
        <is>
          <t>Övriga Aktiebolag</t>
        </is>
      </c>
      <c r="G614" t="n">
        <v>2.3</v>
      </c>
      <c r="H614" t="n">
        <v>0</v>
      </c>
      <c r="I614" t="n">
        <v>0</v>
      </c>
      <c r="J614" t="n">
        <v>0</v>
      </c>
      <c r="K614" t="n">
        <v>0</v>
      </c>
      <c r="L614" t="n">
        <v>0</v>
      </c>
      <c r="M614" t="n">
        <v>0</v>
      </c>
      <c r="N614" t="n">
        <v>0</v>
      </c>
      <c r="O614" t="n">
        <v>0</v>
      </c>
      <c r="P614" t="n">
        <v>0</v>
      </c>
      <c r="Q614" t="n">
        <v>0</v>
      </c>
      <c r="R614" s="2" t="inlineStr"/>
    </row>
    <row r="615" ht="15" customHeight="1">
      <c r="A615" t="inlineStr">
        <is>
          <t>A 10136-2019</t>
        </is>
      </c>
      <c r="B615" s="1" t="n">
        <v>43510</v>
      </c>
      <c r="C615" s="1" t="n">
        <v>45190</v>
      </c>
      <c r="D615" t="inlineStr">
        <is>
          <t>SKÅNE LÄN</t>
        </is>
      </c>
      <c r="E615" t="inlineStr">
        <is>
          <t>PERSTORP</t>
        </is>
      </c>
      <c r="F615" t="inlineStr">
        <is>
          <t>Övriga Aktiebolag</t>
        </is>
      </c>
      <c r="G615" t="n">
        <v>5.3</v>
      </c>
      <c r="H615" t="n">
        <v>0</v>
      </c>
      <c r="I615" t="n">
        <v>0</v>
      </c>
      <c r="J615" t="n">
        <v>0</v>
      </c>
      <c r="K615" t="n">
        <v>0</v>
      </c>
      <c r="L615" t="n">
        <v>0</v>
      </c>
      <c r="M615" t="n">
        <v>0</v>
      </c>
      <c r="N615" t="n">
        <v>0</v>
      </c>
      <c r="O615" t="n">
        <v>0</v>
      </c>
      <c r="P615" t="n">
        <v>0</v>
      </c>
      <c r="Q615" t="n">
        <v>0</v>
      </c>
      <c r="R615" s="2" t="inlineStr"/>
    </row>
    <row r="616" ht="15" customHeight="1">
      <c r="A616" t="inlineStr">
        <is>
          <t>A 10157-2019</t>
        </is>
      </c>
      <c r="B616" s="1" t="n">
        <v>43510</v>
      </c>
      <c r="C616" s="1" t="n">
        <v>45190</v>
      </c>
      <c r="D616" t="inlineStr">
        <is>
          <t>SKÅNE LÄN</t>
        </is>
      </c>
      <c r="E616" t="inlineStr">
        <is>
          <t>KLIPPAN</t>
        </is>
      </c>
      <c r="F616" t="inlineStr">
        <is>
          <t>Övriga Aktiebolag</t>
        </is>
      </c>
      <c r="G616" t="n">
        <v>1.5</v>
      </c>
      <c r="H616" t="n">
        <v>0</v>
      </c>
      <c r="I616" t="n">
        <v>0</v>
      </c>
      <c r="J616" t="n">
        <v>0</v>
      </c>
      <c r="K616" t="n">
        <v>0</v>
      </c>
      <c r="L616" t="n">
        <v>0</v>
      </c>
      <c r="M616" t="n">
        <v>0</v>
      </c>
      <c r="N616" t="n">
        <v>0</v>
      </c>
      <c r="O616" t="n">
        <v>0</v>
      </c>
      <c r="P616" t="n">
        <v>0</v>
      </c>
      <c r="Q616" t="n">
        <v>0</v>
      </c>
      <c r="R616" s="2" t="inlineStr"/>
    </row>
    <row r="617" ht="15" customHeight="1">
      <c r="A617" t="inlineStr">
        <is>
          <t>A 10052-2019</t>
        </is>
      </c>
      <c r="B617" s="1" t="n">
        <v>43510</v>
      </c>
      <c r="C617" s="1" t="n">
        <v>45190</v>
      </c>
      <c r="D617" t="inlineStr">
        <is>
          <t>SKÅNE LÄN</t>
        </is>
      </c>
      <c r="E617" t="inlineStr">
        <is>
          <t>ÖRKELLJUNGA</t>
        </is>
      </c>
      <c r="G617" t="n">
        <v>9.9</v>
      </c>
      <c r="H617" t="n">
        <v>0</v>
      </c>
      <c r="I617" t="n">
        <v>0</v>
      </c>
      <c r="J617" t="n">
        <v>0</v>
      </c>
      <c r="K617" t="n">
        <v>0</v>
      </c>
      <c r="L617" t="n">
        <v>0</v>
      </c>
      <c r="M617" t="n">
        <v>0</v>
      </c>
      <c r="N617" t="n">
        <v>0</v>
      </c>
      <c r="O617" t="n">
        <v>0</v>
      </c>
      <c r="P617" t="n">
        <v>0</v>
      </c>
      <c r="Q617" t="n">
        <v>0</v>
      </c>
      <c r="R617" s="2" t="inlineStr"/>
    </row>
    <row r="618" ht="15" customHeight="1">
      <c r="A618" t="inlineStr">
        <is>
          <t>A 10098-2019</t>
        </is>
      </c>
      <c r="B618" s="1" t="n">
        <v>43510</v>
      </c>
      <c r="C618" s="1" t="n">
        <v>45190</v>
      </c>
      <c r="D618" t="inlineStr">
        <is>
          <t>SKÅNE LÄN</t>
        </is>
      </c>
      <c r="E618" t="inlineStr">
        <is>
          <t>BROMÖLLA</t>
        </is>
      </c>
      <c r="G618" t="n">
        <v>2.2</v>
      </c>
      <c r="H618" t="n">
        <v>0</v>
      </c>
      <c r="I618" t="n">
        <v>0</v>
      </c>
      <c r="J618" t="n">
        <v>0</v>
      </c>
      <c r="K618" t="n">
        <v>0</v>
      </c>
      <c r="L618" t="n">
        <v>0</v>
      </c>
      <c r="M618" t="n">
        <v>0</v>
      </c>
      <c r="N618" t="n">
        <v>0</v>
      </c>
      <c r="O618" t="n">
        <v>0</v>
      </c>
      <c r="P618" t="n">
        <v>0</v>
      </c>
      <c r="Q618" t="n">
        <v>0</v>
      </c>
      <c r="R618" s="2" t="inlineStr"/>
    </row>
    <row r="619" ht="15" customHeight="1">
      <c r="A619" t="inlineStr">
        <is>
          <t>A 10154-2019</t>
        </is>
      </c>
      <c r="B619" s="1" t="n">
        <v>43510</v>
      </c>
      <c r="C619" s="1" t="n">
        <v>45190</v>
      </c>
      <c r="D619" t="inlineStr">
        <is>
          <t>SKÅNE LÄN</t>
        </is>
      </c>
      <c r="E619" t="inlineStr">
        <is>
          <t>PERSTORP</t>
        </is>
      </c>
      <c r="F619" t="inlineStr">
        <is>
          <t>Övriga Aktiebolag</t>
        </is>
      </c>
      <c r="G619" t="n">
        <v>1.3</v>
      </c>
      <c r="H619" t="n">
        <v>0</v>
      </c>
      <c r="I619" t="n">
        <v>0</v>
      </c>
      <c r="J619" t="n">
        <v>0</v>
      </c>
      <c r="K619" t="n">
        <v>0</v>
      </c>
      <c r="L619" t="n">
        <v>0</v>
      </c>
      <c r="M619" t="n">
        <v>0</v>
      </c>
      <c r="N619" t="n">
        <v>0</v>
      </c>
      <c r="O619" t="n">
        <v>0</v>
      </c>
      <c r="P619" t="n">
        <v>0</v>
      </c>
      <c r="Q619" t="n">
        <v>0</v>
      </c>
      <c r="R619" s="2" t="inlineStr"/>
    </row>
    <row r="620" ht="15" customHeight="1">
      <c r="A620" t="inlineStr">
        <is>
          <t>A 10050-2019</t>
        </is>
      </c>
      <c r="B620" s="1" t="n">
        <v>43510</v>
      </c>
      <c r="C620" s="1" t="n">
        <v>45190</v>
      </c>
      <c r="D620" t="inlineStr">
        <is>
          <t>SKÅNE LÄN</t>
        </is>
      </c>
      <c r="E620" t="inlineStr">
        <is>
          <t>TOMELILLA</t>
        </is>
      </c>
      <c r="F620" t="inlineStr">
        <is>
          <t>Övriga Aktiebolag</t>
        </is>
      </c>
      <c r="G620" t="n">
        <v>2.1</v>
      </c>
      <c r="H620" t="n">
        <v>0</v>
      </c>
      <c r="I620" t="n">
        <v>0</v>
      </c>
      <c r="J620" t="n">
        <v>0</v>
      </c>
      <c r="K620" t="n">
        <v>0</v>
      </c>
      <c r="L620" t="n">
        <v>0</v>
      </c>
      <c r="M620" t="n">
        <v>0</v>
      </c>
      <c r="N620" t="n">
        <v>0</v>
      </c>
      <c r="O620" t="n">
        <v>0</v>
      </c>
      <c r="P620" t="n">
        <v>0</v>
      </c>
      <c r="Q620" t="n">
        <v>0</v>
      </c>
      <c r="R620" s="2" t="inlineStr"/>
    </row>
    <row r="621" ht="15" customHeight="1">
      <c r="A621" t="inlineStr">
        <is>
          <t>A 10143-2019</t>
        </is>
      </c>
      <c r="B621" s="1" t="n">
        <v>43510</v>
      </c>
      <c r="C621" s="1" t="n">
        <v>45190</v>
      </c>
      <c r="D621" t="inlineStr">
        <is>
          <t>SKÅNE LÄN</t>
        </is>
      </c>
      <c r="E621" t="inlineStr">
        <is>
          <t>PERSTORP</t>
        </is>
      </c>
      <c r="F621" t="inlineStr">
        <is>
          <t>Övriga Aktiebolag</t>
        </is>
      </c>
      <c r="G621" t="n">
        <v>8.300000000000001</v>
      </c>
      <c r="H621" t="n">
        <v>0</v>
      </c>
      <c r="I621" t="n">
        <v>0</v>
      </c>
      <c r="J621" t="n">
        <v>0</v>
      </c>
      <c r="K621" t="n">
        <v>0</v>
      </c>
      <c r="L621" t="n">
        <v>0</v>
      </c>
      <c r="M621" t="n">
        <v>0</v>
      </c>
      <c r="N621" t="n">
        <v>0</v>
      </c>
      <c r="O621" t="n">
        <v>0</v>
      </c>
      <c r="P621" t="n">
        <v>0</v>
      </c>
      <c r="Q621" t="n">
        <v>0</v>
      </c>
      <c r="R621" s="2" t="inlineStr"/>
    </row>
    <row r="622" ht="15" customHeight="1">
      <c r="A622" t="inlineStr">
        <is>
          <t>A 10178-2019</t>
        </is>
      </c>
      <c r="B622" s="1" t="n">
        <v>43510</v>
      </c>
      <c r="C622" s="1" t="n">
        <v>45190</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10433-2019</t>
        </is>
      </c>
      <c r="B623" s="1" t="n">
        <v>43511</v>
      </c>
      <c r="C623" s="1" t="n">
        <v>45190</v>
      </c>
      <c r="D623" t="inlineStr">
        <is>
          <t>SKÅNE LÄN</t>
        </is>
      </c>
      <c r="E623" t="inlineStr">
        <is>
          <t>HÄSSLEHOLM</t>
        </is>
      </c>
      <c r="G623" t="n">
        <v>5.7</v>
      </c>
      <c r="H623" t="n">
        <v>0</v>
      </c>
      <c r="I623" t="n">
        <v>0</v>
      </c>
      <c r="J623" t="n">
        <v>0</v>
      </c>
      <c r="K623" t="n">
        <v>0</v>
      </c>
      <c r="L623" t="n">
        <v>0</v>
      </c>
      <c r="M623" t="n">
        <v>0</v>
      </c>
      <c r="N623" t="n">
        <v>0</v>
      </c>
      <c r="O623" t="n">
        <v>0</v>
      </c>
      <c r="P623" t="n">
        <v>0</v>
      </c>
      <c r="Q623" t="n">
        <v>0</v>
      </c>
      <c r="R623" s="2" t="inlineStr"/>
    </row>
    <row r="624" ht="15" customHeight="1">
      <c r="A624" t="inlineStr">
        <is>
          <t>A 10735-2019</t>
        </is>
      </c>
      <c r="B624" s="1" t="n">
        <v>43514</v>
      </c>
      <c r="C624" s="1" t="n">
        <v>45190</v>
      </c>
      <c r="D624" t="inlineStr">
        <is>
          <t>SKÅNE LÄN</t>
        </is>
      </c>
      <c r="E624" t="inlineStr">
        <is>
          <t>KRISTIANSTAD</t>
        </is>
      </c>
      <c r="G624" t="n">
        <v>0.9</v>
      </c>
      <c r="H624" t="n">
        <v>0</v>
      </c>
      <c r="I624" t="n">
        <v>0</v>
      </c>
      <c r="J624" t="n">
        <v>0</v>
      </c>
      <c r="K624" t="n">
        <v>0</v>
      </c>
      <c r="L624" t="n">
        <v>0</v>
      </c>
      <c r="M624" t="n">
        <v>0</v>
      </c>
      <c r="N624" t="n">
        <v>0</v>
      </c>
      <c r="O624" t="n">
        <v>0</v>
      </c>
      <c r="P624" t="n">
        <v>0</v>
      </c>
      <c r="Q624" t="n">
        <v>0</v>
      </c>
      <c r="R624" s="2" t="inlineStr"/>
    </row>
    <row r="625" ht="15" customHeight="1">
      <c r="A625" t="inlineStr">
        <is>
          <t>A 10738-2019</t>
        </is>
      </c>
      <c r="B625" s="1" t="n">
        <v>43514</v>
      </c>
      <c r="C625" s="1" t="n">
        <v>45190</v>
      </c>
      <c r="D625" t="inlineStr">
        <is>
          <t>SKÅNE LÄN</t>
        </is>
      </c>
      <c r="E625" t="inlineStr">
        <is>
          <t>KRISTIANSTAD</t>
        </is>
      </c>
      <c r="G625" t="n">
        <v>0.4</v>
      </c>
      <c r="H625" t="n">
        <v>0</v>
      </c>
      <c r="I625" t="n">
        <v>0</v>
      </c>
      <c r="J625" t="n">
        <v>0</v>
      </c>
      <c r="K625" t="n">
        <v>0</v>
      </c>
      <c r="L625" t="n">
        <v>0</v>
      </c>
      <c r="M625" t="n">
        <v>0</v>
      </c>
      <c r="N625" t="n">
        <v>0</v>
      </c>
      <c r="O625" t="n">
        <v>0</v>
      </c>
      <c r="P625" t="n">
        <v>0</v>
      </c>
      <c r="Q625" t="n">
        <v>0</v>
      </c>
      <c r="R625" s="2" t="inlineStr"/>
    </row>
    <row r="626" ht="15" customHeight="1">
      <c r="A626" t="inlineStr">
        <is>
          <t>A 10727-2019</t>
        </is>
      </c>
      <c r="B626" s="1" t="n">
        <v>43514</v>
      </c>
      <c r="C626" s="1" t="n">
        <v>45190</v>
      </c>
      <c r="D626" t="inlineStr">
        <is>
          <t>SKÅNE LÄN</t>
        </is>
      </c>
      <c r="E626" t="inlineStr">
        <is>
          <t>KRISTIANSTAD</t>
        </is>
      </c>
      <c r="G626" t="n">
        <v>3.4</v>
      </c>
      <c r="H626" t="n">
        <v>0</v>
      </c>
      <c r="I626" t="n">
        <v>0</v>
      </c>
      <c r="J626" t="n">
        <v>0</v>
      </c>
      <c r="K626" t="n">
        <v>0</v>
      </c>
      <c r="L626" t="n">
        <v>0</v>
      </c>
      <c r="M626" t="n">
        <v>0</v>
      </c>
      <c r="N626" t="n">
        <v>0</v>
      </c>
      <c r="O626" t="n">
        <v>0</v>
      </c>
      <c r="P626" t="n">
        <v>0</v>
      </c>
      <c r="Q626" t="n">
        <v>0</v>
      </c>
      <c r="R626" s="2" t="inlineStr"/>
    </row>
    <row r="627" ht="15" customHeight="1">
      <c r="A627" t="inlineStr">
        <is>
          <t>A 10747-2019</t>
        </is>
      </c>
      <c r="B627" s="1" t="n">
        <v>43514</v>
      </c>
      <c r="C627" s="1" t="n">
        <v>45190</v>
      </c>
      <c r="D627" t="inlineStr">
        <is>
          <t>SKÅNE LÄN</t>
        </is>
      </c>
      <c r="E627" t="inlineStr">
        <is>
          <t>KRISTIANSTAD</t>
        </is>
      </c>
      <c r="G627" t="n">
        <v>1.9</v>
      </c>
      <c r="H627" t="n">
        <v>0</v>
      </c>
      <c r="I627" t="n">
        <v>0</v>
      </c>
      <c r="J627" t="n">
        <v>0</v>
      </c>
      <c r="K627" t="n">
        <v>0</v>
      </c>
      <c r="L627" t="n">
        <v>0</v>
      </c>
      <c r="M627" t="n">
        <v>0</v>
      </c>
      <c r="N627" t="n">
        <v>0</v>
      </c>
      <c r="O627" t="n">
        <v>0</v>
      </c>
      <c r="P627" t="n">
        <v>0</v>
      </c>
      <c r="Q627" t="n">
        <v>0</v>
      </c>
      <c r="R627" s="2" t="inlineStr"/>
    </row>
    <row r="628" ht="15" customHeight="1">
      <c r="A628" t="inlineStr">
        <is>
          <t>A 10765-2019</t>
        </is>
      </c>
      <c r="B628" s="1" t="n">
        <v>43514</v>
      </c>
      <c r="C628" s="1" t="n">
        <v>45190</v>
      </c>
      <c r="D628" t="inlineStr">
        <is>
          <t>SKÅNE LÄN</t>
        </is>
      </c>
      <c r="E628" t="inlineStr">
        <is>
          <t>KRISTIANSTAD</t>
        </is>
      </c>
      <c r="G628" t="n">
        <v>2</v>
      </c>
      <c r="H628" t="n">
        <v>0</v>
      </c>
      <c r="I628" t="n">
        <v>0</v>
      </c>
      <c r="J628" t="n">
        <v>0</v>
      </c>
      <c r="K628" t="n">
        <v>0</v>
      </c>
      <c r="L628" t="n">
        <v>0</v>
      </c>
      <c r="M628" t="n">
        <v>0</v>
      </c>
      <c r="N628" t="n">
        <v>0</v>
      </c>
      <c r="O628" t="n">
        <v>0</v>
      </c>
      <c r="P628" t="n">
        <v>0</v>
      </c>
      <c r="Q628" t="n">
        <v>0</v>
      </c>
      <c r="R628" s="2" t="inlineStr"/>
    </row>
    <row r="629" ht="15" customHeight="1">
      <c r="A629" t="inlineStr">
        <is>
          <t>A 10988-2019</t>
        </is>
      </c>
      <c r="B629" s="1" t="n">
        <v>43515</v>
      </c>
      <c r="C629" s="1" t="n">
        <v>45190</v>
      </c>
      <c r="D629" t="inlineStr">
        <is>
          <t>SKÅNE LÄN</t>
        </is>
      </c>
      <c r="E629" t="inlineStr">
        <is>
          <t>KRISTIANSTAD</t>
        </is>
      </c>
      <c r="G629" t="n">
        <v>0.5</v>
      </c>
      <c r="H629" t="n">
        <v>0</v>
      </c>
      <c r="I629" t="n">
        <v>0</v>
      </c>
      <c r="J629" t="n">
        <v>0</v>
      </c>
      <c r="K629" t="n">
        <v>0</v>
      </c>
      <c r="L629" t="n">
        <v>0</v>
      </c>
      <c r="M629" t="n">
        <v>0</v>
      </c>
      <c r="N629" t="n">
        <v>0</v>
      </c>
      <c r="O629" t="n">
        <v>0</v>
      </c>
      <c r="P629" t="n">
        <v>0</v>
      </c>
      <c r="Q629" t="n">
        <v>0</v>
      </c>
      <c r="R629" s="2" t="inlineStr"/>
    </row>
    <row r="630" ht="15" customHeight="1">
      <c r="A630" t="inlineStr">
        <is>
          <t>A 11018-2019</t>
        </is>
      </c>
      <c r="B630" s="1" t="n">
        <v>43515</v>
      </c>
      <c r="C630" s="1" t="n">
        <v>45190</v>
      </c>
      <c r="D630" t="inlineStr">
        <is>
          <t>SKÅNE LÄN</t>
        </is>
      </c>
      <c r="E630" t="inlineStr">
        <is>
          <t>HÄSSLEHOLM</t>
        </is>
      </c>
      <c r="G630" t="n">
        <v>0.9</v>
      </c>
      <c r="H630" t="n">
        <v>0</v>
      </c>
      <c r="I630" t="n">
        <v>0</v>
      </c>
      <c r="J630" t="n">
        <v>0</v>
      </c>
      <c r="K630" t="n">
        <v>0</v>
      </c>
      <c r="L630" t="n">
        <v>0</v>
      </c>
      <c r="M630" t="n">
        <v>0</v>
      </c>
      <c r="N630" t="n">
        <v>0</v>
      </c>
      <c r="O630" t="n">
        <v>0</v>
      </c>
      <c r="P630" t="n">
        <v>0</v>
      </c>
      <c r="Q630" t="n">
        <v>0</v>
      </c>
      <c r="R630" s="2" t="inlineStr"/>
    </row>
    <row r="631" ht="15" customHeight="1">
      <c r="A631" t="inlineStr">
        <is>
          <t>A 10936-2019</t>
        </is>
      </c>
      <c r="B631" s="1" t="n">
        <v>43515</v>
      </c>
      <c r="C631" s="1" t="n">
        <v>45190</v>
      </c>
      <c r="D631" t="inlineStr">
        <is>
          <t>SKÅNE LÄN</t>
        </is>
      </c>
      <c r="E631" t="inlineStr">
        <is>
          <t>ÖSTRA GÖINGE</t>
        </is>
      </c>
      <c r="G631" t="n">
        <v>2.3</v>
      </c>
      <c r="H631" t="n">
        <v>0</v>
      </c>
      <c r="I631" t="n">
        <v>0</v>
      </c>
      <c r="J631" t="n">
        <v>0</v>
      </c>
      <c r="K631" t="n">
        <v>0</v>
      </c>
      <c r="L631" t="n">
        <v>0</v>
      </c>
      <c r="M631" t="n">
        <v>0</v>
      </c>
      <c r="N631" t="n">
        <v>0</v>
      </c>
      <c r="O631" t="n">
        <v>0</v>
      </c>
      <c r="P631" t="n">
        <v>0</v>
      </c>
      <c r="Q631" t="n">
        <v>0</v>
      </c>
      <c r="R631" s="2" t="inlineStr"/>
    </row>
    <row r="632" ht="15" customHeight="1">
      <c r="A632" t="inlineStr">
        <is>
          <t>A 10966-2019</t>
        </is>
      </c>
      <c r="B632" s="1" t="n">
        <v>43515</v>
      </c>
      <c r="C632" s="1" t="n">
        <v>45190</v>
      </c>
      <c r="D632" t="inlineStr">
        <is>
          <t>SKÅNE LÄN</t>
        </is>
      </c>
      <c r="E632" t="inlineStr">
        <is>
          <t>HÄSSLEHOLM</t>
        </is>
      </c>
      <c r="G632" t="n">
        <v>3.2</v>
      </c>
      <c r="H632" t="n">
        <v>0</v>
      </c>
      <c r="I632" t="n">
        <v>0</v>
      </c>
      <c r="J632" t="n">
        <v>0</v>
      </c>
      <c r="K632" t="n">
        <v>0</v>
      </c>
      <c r="L632" t="n">
        <v>0</v>
      </c>
      <c r="M632" t="n">
        <v>0</v>
      </c>
      <c r="N632" t="n">
        <v>0</v>
      </c>
      <c r="O632" t="n">
        <v>0</v>
      </c>
      <c r="P632" t="n">
        <v>0</v>
      </c>
      <c r="Q632" t="n">
        <v>0</v>
      </c>
      <c r="R632" s="2" t="inlineStr"/>
    </row>
    <row r="633" ht="15" customHeight="1">
      <c r="A633" t="inlineStr">
        <is>
          <t>A 11057-2019</t>
        </is>
      </c>
      <c r="B633" s="1" t="n">
        <v>43515</v>
      </c>
      <c r="C633" s="1" t="n">
        <v>45190</v>
      </c>
      <c r="D633" t="inlineStr">
        <is>
          <t>SKÅNE LÄN</t>
        </is>
      </c>
      <c r="E633" t="inlineStr">
        <is>
          <t>OSBY</t>
        </is>
      </c>
      <c r="G633" t="n">
        <v>2.1</v>
      </c>
      <c r="H633" t="n">
        <v>0</v>
      </c>
      <c r="I633" t="n">
        <v>0</v>
      </c>
      <c r="J633" t="n">
        <v>0</v>
      </c>
      <c r="K633" t="n">
        <v>0</v>
      </c>
      <c r="L633" t="n">
        <v>0</v>
      </c>
      <c r="M633" t="n">
        <v>0</v>
      </c>
      <c r="N633" t="n">
        <v>0</v>
      </c>
      <c r="O633" t="n">
        <v>0</v>
      </c>
      <c r="P633" t="n">
        <v>0</v>
      </c>
      <c r="Q633" t="n">
        <v>0</v>
      </c>
      <c r="R633" s="2" t="inlineStr"/>
    </row>
    <row r="634" ht="15" customHeight="1">
      <c r="A634" t="inlineStr">
        <is>
          <t>A 10939-2019</t>
        </is>
      </c>
      <c r="B634" s="1" t="n">
        <v>43515</v>
      </c>
      <c r="C634" s="1" t="n">
        <v>45190</v>
      </c>
      <c r="D634" t="inlineStr">
        <is>
          <t>SKÅNE LÄN</t>
        </is>
      </c>
      <c r="E634" t="inlineStr">
        <is>
          <t>ÄNGELHOLM</t>
        </is>
      </c>
      <c r="G634" t="n">
        <v>0.4</v>
      </c>
      <c r="H634" t="n">
        <v>0</v>
      </c>
      <c r="I634" t="n">
        <v>0</v>
      </c>
      <c r="J634" t="n">
        <v>0</v>
      </c>
      <c r="K634" t="n">
        <v>0</v>
      </c>
      <c r="L634" t="n">
        <v>0</v>
      </c>
      <c r="M634" t="n">
        <v>0</v>
      </c>
      <c r="N634" t="n">
        <v>0</v>
      </c>
      <c r="O634" t="n">
        <v>0</v>
      </c>
      <c r="P634" t="n">
        <v>0</v>
      </c>
      <c r="Q634" t="n">
        <v>0</v>
      </c>
      <c r="R634" s="2" t="inlineStr"/>
    </row>
    <row r="635" ht="15" customHeight="1">
      <c r="A635" t="inlineStr">
        <is>
          <t>A 11075-2019</t>
        </is>
      </c>
      <c r="B635" s="1" t="n">
        <v>43515</v>
      </c>
      <c r="C635" s="1" t="n">
        <v>45190</v>
      </c>
      <c r="D635" t="inlineStr">
        <is>
          <t>SKÅNE LÄN</t>
        </is>
      </c>
      <c r="E635" t="inlineStr">
        <is>
          <t>ÖRKELLJUNGA</t>
        </is>
      </c>
      <c r="G635" t="n">
        <v>1.3</v>
      </c>
      <c r="H635" t="n">
        <v>0</v>
      </c>
      <c r="I635" t="n">
        <v>0</v>
      </c>
      <c r="J635" t="n">
        <v>0</v>
      </c>
      <c r="K635" t="n">
        <v>0</v>
      </c>
      <c r="L635" t="n">
        <v>0</v>
      </c>
      <c r="M635" t="n">
        <v>0</v>
      </c>
      <c r="N635" t="n">
        <v>0</v>
      </c>
      <c r="O635" t="n">
        <v>0</v>
      </c>
      <c r="P635" t="n">
        <v>0</v>
      </c>
      <c r="Q635" t="n">
        <v>0</v>
      </c>
      <c r="R635" s="2" t="inlineStr"/>
    </row>
    <row r="636" ht="15" customHeight="1">
      <c r="A636" t="inlineStr">
        <is>
          <t>A 11164-2019</t>
        </is>
      </c>
      <c r="B636" s="1" t="n">
        <v>43516</v>
      </c>
      <c r="C636" s="1" t="n">
        <v>45190</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11532-2019</t>
        </is>
      </c>
      <c r="B637" s="1" t="n">
        <v>43517</v>
      </c>
      <c r="C637" s="1" t="n">
        <v>45190</v>
      </c>
      <c r="D637" t="inlineStr">
        <is>
          <t>SKÅNE LÄN</t>
        </is>
      </c>
      <c r="E637" t="inlineStr">
        <is>
          <t>HÄSSLEHOLM</t>
        </is>
      </c>
      <c r="G637" t="n">
        <v>1.8</v>
      </c>
      <c r="H637" t="n">
        <v>0</v>
      </c>
      <c r="I637" t="n">
        <v>0</v>
      </c>
      <c r="J637" t="n">
        <v>0</v>
      </c>
      <c r="K637" t="n">
        <v>0</v>
      </c>
      <c r="L637" t="n">
        <v>0</v>
      </c>
      <c r="M637" t="n">
        <v>0</v>
      </c>
      <c r="N637" t="n">
        <v>0</v>
      </c>
      <c r="O637" t="n">
        <v>0</v>
      </c>
      <c r="P637" t="n">
        <v>0</v>
      </c>
      <c r="Q637" t="n">
        <v>0</v>
      </c>
      <c r="R637" s="2" t="inlineStr"/>
    </row>
    <row r="638" ht="15" customHeight="1">
      <c r="A638" t="inlineStr">
        <is>
          <t>A 11654-2019</t>
        </is>
      </c>
      <c r="B638" s="1" t="n">
        <v>43517</v>
      </c>
      <c r="C638" s="1" t="n">
        <v>45190</v>
      </c>
      <c r="D638" t="inlineStr">
        <is>
          <t>SKÅNE LÄN</t>
        </is>
      </c>
      <c r="E638" t="inlineStr">
        <is>
          <t>HÖRBY</t>
        </is>
      </c>
      <c r="G638" t="n">
        <v>2</v>
      </c>
      <c r="H638" t="n">
        <v>0</v>
      </c>
      <c r="I638" t="n">
        <v>0</v>
      </c>
      <c r="J638" t="n">
        <v>0</v>
      </c>
      <c r="K638" t="n">
        <v>0</v>
      </c>
      <c r="L638" t="n">
        <v>0</v>
      </c>
      <c r="M638" t="n">
        <v>0</v>
      </c>
      <c r="N638" t="n">
        <v>0</v>
      </c>
      <c r="O638" t="n">
        <v>0</v>
      </c>
      <c r="P638" t="n">
        <v>0</v>
      </c>
      <c r="Q638" t="n">
        <v>0</v>
      </c>
      <c r="R638" s="2" t="inlineStr"/>
    </row>
    <row r="639" ht="15" customHeight="1">
      <c r="A639" t="inlineStr">
        <is>
          <t>A 11529-2019</t>
        </is>
      </c>
      <c r="B639" s="1" t="n">
        <v>43517</v>
      </c>
      <c r="C639" s="1" t="n">
        <v>45190</v>
      </c>
      <c r="D639" t="inlineStr">
        <is>
          <t>SKÅNE LÄN</t>
        </is>
      </c>
      <c r="E639" t="inlineStr">
        <is>
          <t>HÄSSLEHOLM</t>
        </is>
      </c>
      <c r="G639" t="n">
        <v>3.1</v>
      </c>
      <c r="H639" t="n">
        <v>0</v>
      </c>
      <c r="I639" t="n">
        <v>0</v>
      </c>
      <c r="J639" t="n">
        <v>0</v>
      </c>
      <c r="K639" t="n">
        <v>0</v>
      </c>
      <c r="L639" t="n">
        <v>0</v>
      </c>
      <c r="M639" t="n">
        <v>0</v>
      </c>
      <c r="N639" t="n">
        <v>0</v>
      </c>
      <c r="O639" t="n">
        <v>0</v>
      </c>
      <c r="P639" t="n">
        <v>0</v>
      </c>
      <c r="Q639" t="n">
        <v>0</v>
      </c>
      <c r="R639" s="2" t="inlineStr"/>
    </row>
    <row r="640" ht="15" customHeight="1">
      <c r="A640" t="inlineStr">
        <is>
          <t>A 11543-2019</t>
        </is>
      </c>
      <c r="B640" s="1" t="n">
        <v>43517</v>
      </c>
      <c r="C640" s="1" t="n">
        <v>45190</v>
      </c>
      <c r="D640" t="inlineStr">
        <is>
          <t>SKÅNE LÄN</t>
        </is>
      </c>
      <c r="E640" t="inlineStr">
        <is>
          <t>HÖÖR</t>
        </is>
      </c>
      <c r="G640" t="n">
        <v>1.3</v>
      </c>
      <c r="H640" t="n">
        <v>0</v>
      </c>
      <c r="I640" t="n">
        <v>0</v>
      </c>
      <c r="J640" t="n">
        <v>0</v>
      </c>
      <c r="K640" t="n">
        <v>0</v>
      </c>
      <c r="L640" t="n">
        <v>0</v>
      </c>
      <c r="M640" t="n">
        <v>0</v>
      </c>
      <c r="N640" t="n">
        <v>0</v>
      </c>
      <c r="O640" t="n">
        <v>0</v>
      </c>
      <c r="P640" t="n">
        <v>0</v>
      </c>
      <c r="Q640" t="n">
        <v>0</v>
      </c>
      <c r="R640" s="2" t="inlineStr"/>
    </row>
    <row r="641" ht="15" customHeight="1">
      <c r="A641" t="inlineStr">
        <is>
          <t>A 11684-2019</t>
        </is>
      </c>
      <c r="B641" s="1" t="n">
        <v>43518</v>
      </c>
      <c r="C641" s="1" t="n">
        <v>45190</v>
      </c>
      <c r="D641" t="inlineStr">
        <is>
          <t>SKÅNE LÄN</t>
        </is>
      </c>
      <c r="E641" t="inlineStr">
        <is>
          <t>OSBY</t>
        </is>
      </c>
      <c r="G641" t="n">
        <v>1.6</v>
      </c>
      <c r="H641" t="n">
        <v>0</v>
      </c>
      <c r="I641" t="n">
        <v>0</v>
      </c>
      <c r="J641" t="n">
        <v>0</v>
      </c>
      <c r="K641" t="n">
        <v>0</v>
      </c>
      <c r="L641" t="n">
        <v>0</v>
      </c>
      <c r="M641" t="n">
        <v>0</v>
      </c>
      <c r="N641" t="n">
        <v>0</v>
      </c>
      <c r="O641" t="n">
        <v>0</v>
      </c>
      <c r="P641" t="n">
        <v>0</v>
      </c>
      <c r="Q641" t="n">
        <v>0</v>
      </c>
      <c r="R641" s="2" t="inlineStr"/>
    </row>
    <row r="642" ht="15" customHeight="1">
      <c r="A642" t="inlineStr">
        <is>
          <t>A 11671-2019</t>
        </is>
      </c>
      <c r="B642" s="1" t="n">
        <v>43518</v>
      </c>
      <c r="C642" s="1" t="n">
        <v>45190</v>
      </c>
      <c r="D642" t="inlineStr">
        <is>
          <t>SKÅNE LÄN</t>
        </is>
      </c>
      <c r="E642" t="inlineStr">
        <is>
          <t>OSBY</t>
        </is>
      </c>
      <c r="G642" t="n">
        <v>1</v>
      </c>
      <c r="H642" t="n">
        <v>0</v>
      </c>
      <c r="I642" t="n">
        <v>0</v>
      </c>
      <c r="J642" t="n">
        <v>0</v>
      </c>
      <c r="K642" t="n">
        <v>0</v>
      </c>
      <c r="L642" t="n">
        <v>0</v>
      </c>
      <c r="M642" t="n">
        <v>0</v>
      </c>
      <c r="N642" t="n">
        <v>0</v>
      </c>
      <c r="O642" t="n">
        <v>0</v>
      </c>
      <c r="P642" t="n">
        <v>0</v>
      </c>
      <c r="Q642" t="n">
        <v>0</v>
      </c>
      <c r="R642" s="2" t="inlineStr"/>
    </row>
    <row r="643" ht="15" customHeight="1">
      <c r="A643" t="inlineStr">
        <is>
          <t>A 12042-2019</t>
        </is>
      </c>
      <c r="B643" s="1" t="n">
        <v>43518</v>
      </c>
      <c r="C643" s="1" t="n">
        <v>45190</v>
      </c>
      <c r="D643" t="inlineStr">
        <is>
          <t>SKÅNE LÄN</t>
        </is>
      </c>
      <c r="E643" t="inlineStr">
        <is>
          <t>ÖSTRA GÖINGE</t>
        </is>
      </c>
      <c r="G643" t="n">
        <v>3.5</v>
      </c>
      <c r="H643" t="n">
        <v>0</v>
      </c>
      <c r="I643" t="n">
        <v>0</v>
      </c>
      <c r="J643" t="n">
        <v>0</v>
      </c>
      <c r="K643" t="n">
        <v>0</v>
      </c>
      <c r="L643" t="n">
        <v>0</v>
      </c>
      <c r="M643" t="n">
        <v>0</v>
      </c>
      <c r="N643" t="n">
        <v>0</v>
      </c>
      <c r="O643" t="n">
        <v>0</v>
      </c>
      <c r="P643" t="n">
        <v>0</v>
      </c>
      <c r="Q643" t="n">
        <v>0</v>
      </c>
      <c r="R643" s="2" t="inlineStr"/>
    </row>
    <row r="644" ht="15" customHeight="1">
      <c r="A644" t="inlineStr">
        <is>
          <t>A 11694-2019</t>
        </is>
      </c>
      <c r="B644" s="1" t="n">
        <v>43518</v>
      </c>
      <c r="C644" s="1" t="n">
        <v>45190</v>
      </c>
      <c r="D644" t="inlineStr">
        <is>
          <t>SKÅNE LÄN</t>
        </is>
      </c>
      <c r="E644" t="inlineStr">
        <is>
          <t>KRISTIANSTAD</t>
        </is>
      </c>
      <c r="G644" t="n">
        <v>0.6</v>
      </c>
      <c r="H644" t="n">
        <v>0</v>
      </c>
      <c r="I644" t="n">
        <v>0</v>
      </c>
      <c r="J644" t="n">
        <v>0</v>
      </c>
      <c r="K644" t="n">
        <v>0</v>
      </c>
      <c r="L644" t="n">
        <v>0</v>
      </c>
      <c r="M644" t="n">
        <v>0</v>
      </c>
      <c r="N644" t="n">
        <v>0</v>
      </c>
      <c r="O644" t="n">
        <v>0</v>
      </c>
      <c r="P644" t="n">
        <v>0</v>
      </c>
      <c r="Q644" t="n">
        <v>0</v>
      </c>
      <c r="R644" s="2" t="inlineStr"/>
    </row>
    <row r="645" ht="15" customHeight="1">
      <c r="A645" t="inlineStr">
        <is>
          <t>A 11756-2019</t>
        </is>
      </c>
      <c r="B645" s="1" t="n">
        <v>43520</v>
      </c>
      <c r="C645" s="1" t="n">
        <v>45190</v>
      </c>
      <c r="D645" t="inlineStr">
        <is>
          <t>SKÅNE LÄN</t>
        </is>
      </c>
      <c r="E645" t="inlineStr">
        <is>
          <t>ÖSTRA GÖINGE</t>
        </is>
      </c>
      <c r="G645" t="n">
        <v>2.5</v>
      </c>
      <c r="H645" t="n">
        <v>0</v>
      </c>
      <c r="I645" t="n">
        <v>0</v>
      </c>
      <c r="J645" t="n">
        <v>0</v>
      </c>
      <c r="K645" t="n">
        <v>0</v>
      </c>
      <c r="L645" t="n">
        <v>0</v>
      </c>
      <c r="M645" t="n">
        <v>0</v>
      </c>
      <c r="N645" t="n">
        <v>0</v>
      </c>
      <c r="O645" t="n">
        <v>0</v>
      </c>
      <c r="P645" t="n">
        <v>0</v>
      </c>
      <c r="Q645" t="n">
        <v>0</v>
      </c>
      <c r="R645" s="2" t="inlineStr"/>
    </row>
    <row r="646" ht="15" customHeight="1">
      <c r="A646" t="inlineStr">
        <is>
          <t>A 11927-2019</t>
        </is>
      </c>
      <c r="B646" s="1" t="n">
        <v>43521</v>
      </c>
      <c r="C646" s="1" t="n">
        <v>45190</v>
      </c>
      <c r="D646" t="inlineStr">
        <is>
          <t>SKÅNE LÄN</t>
        </is>
      </c>
      <c r="E646" t="inlineStr">
        <is>
          <t>ÖSTRA GÖINGE</t>
        </is>
      </c>
      <c r="G646" t="n">
        <v>1.5</v>
      </c>
      <c r="H646" t="n">
        <v>0</v>
      </c>
      <c r="I646" t="n">
        <v>0</v>
      </c>
      <c r="J646" t="n">
        <v>0</v>
      </c>
      <c r="K646" t="n">
        <v>0</v>
      </c>
      <c r="L646" t="n">
        <v>0</v>
      </c>
      <c r="M646" t="n">
        <v>0</v>
      </c>
      <c r="N646" t="n">
        <v>0</v>
      </c>
      <c r="O646" t="n">
        <v>0</v>
      </c>
      <c r="P646" t="n">
        <v>0</v>
      </c>
      <c r="Q646" t="n">
        <v>0</v>
      </c>
      <c r="R646" s="2" t="inlineStr"/>
    </row>
    <row r="647" ht="15" customHeight="1">
      <c r="A647" t="inlineStr">
        <is>
          <t>A 12182-2019</t>
        </is>
      </c>
      <c r="B647" s="1" t="n">
        <v>43522</v>
      </c>
      <c r="C647" s="1" t="n">
        <v>45190</v>
      </c>
      <c r="D647" t="inlineStr">
        <is>
          <t>SKÅNE LÄN</t>
        </is>
      </c>
      <c r="E647" t="inlineStr">
        <is>
          <t>HÖRBY</t>
        </is>
      </c>
      <c r="G647" t="n">
        <v>4.9</v>
      </c>
      <c r="H647" t="n">
        <v>0</v>
      </c>
      <c r="I647" t="n">
        <v>0</v>
      </c>
      <c r="J647" t="n">
        <v>0</v>
      </c>
      <c r="K647" t="n">
        <v>0</v>
      </c>
      <c r="L647" t="n">
        <v>0</v>
      </c>
      <c r="M647" t="n">
        <v>0</v>
      </c>
      <c r="N647" t="n">
        <v>0</v>
      </c>
      <c r="O647" t="n">
        <v>0</v>
      </c>
      <c r="P647" t="n">
        <v>0</v>
      </c>
      <c r="Q647" t="n">
        <v>0</v>
      </c>
      <c r="R647" s="2" t="inlineStr"/>
    </row>
    <row r="648" ht="15" customHeight="1">
      <c r="A648" t="inlineStr">
        <is>
          <t>A 12480-2019</t>
        </is>
      </c>
      <c r="B648" s="1" t="n">
        <v>43523</v>
      </c>
      <c r="C648" s="1" t="n">
        <v>45190</v>
      </c>
      <c r="D648" t="inlineStr">
        <is>
          <t>SKÅNE LÄN</t>
        </is>
      </c>
      <c r="E648" t="inlineStr">
        <is>
          <t>ÖSTRA GÖINGE</t>
        </is>
      </c>
      <c r="G648" t="n">
        <v>3.1</v>
      </c>
      <c r="H648" t="n">
        <v>0</v>
      </c>
      <c r="I648" t="n">
        <v>0</v>
      </c>
      <c r="J648" t="n">
        <v>0</v>
      </c>
      <c r="K648" t="n">
        <v>0</v>
      </c>
      <c r="L648" t="n">
        <v>0</v>
      </c>
      <c r="M648" t="n">
        <v>0</v>
      </c>
      <c r="N648" t="n">
        <v>0</v>
      </c>
      <c r="O648" t="n">
        <v>0</v>
      </c>
      <c r="P648" t="n">
        <v>0</v>
      </c>
      <c r="Q648" t="n">
        <v>0</v>
      </c>
      <c r="R648" s="2" t="inlineStr"/>
    </row>
    <row r="649" ht="15" customHeight="1">
      <c r="A649" t="inlineStr">
        <is>
          <t>A 12541-2019</t>
        </is>
      </c>
      <c r="B649" s="1" t="n">
        <v>43523</v>
      </c>
      <c r="C649" s="1" t="n">
        <v>45190</v>
      </c>
      <c r="D649" t="inlineStr">
        <is>
          <t>SKÅNE LÄN</t>
        </is>
      </c>
      <c r="E649" t="inlineStr">
        <is>
          <t>KLIPPAN</t>
        </is>
      </c>
      <c r="G649" t="n">
        <v>11.8</v>
      </c>
      <c r="H649" t="n">
        <v>0</v>
      </c>
      <c r="I649" t="n">
        <v>0</v>
      </c>
      <c r="J649" t="n">
        <v>0</v>
      </c>
      <c r="K649" t="n">
        <v>0</v>
      </c>
      <c r="L649" t="n">
        <v>0</v>
      </c>
      <c r="M649" t="n">
        <v>0</v>
      </c>
      <c r="N649" t="n">
        <v>0</v>
      </c>
      <c r="O649" t="n">
        <v>0</v>
      </c>
      <c r="P649" t="n">
        <v>0</v>
      </c>
      <c r="Q649" t="n">
        <v>0</v>
      </c>
      <c r="R649" s="2" t="inlineStr"/>
    </row>
    <row r="650" ht="15" customHeight="1">
      <c r="A650" t="inlineStr">
        <is>
          <t>A 12460-2019</t>
        </is>
      </c>
      <c r="B650" s="1" t="n">
        <v>43523</v>
      </c>
      <c r="C650" s="1" t="n">
        <v>45190</v>
      </c>
      <c r="D650" t="inlineStr">
        <is>
          <t>SKÅNE LÄN</t>
        </is>
      </c>
      <c r="E650" t="inlineStr">
        <is>
          <t>ÖSTRA GÖINGE</t>
        </is>
      </c>
      <c r="G650" t="n">
        <v>0.5</v>
      </c>
      <c r="H650" t="n">
        <v>0</v>
      </c>
      <c r="I650" t="n">
        <v>0</v>
      </c>
      <c r="J650" t="n">
        <v>0</v>
      </c>
      <c r="K650" t="n">
        <v>0</v>
      </c>
      <c r="L650" t="n">
        <v>0</v>
      </c>
      <c r="M650" t="n">
        <v>0</v>
      </c>
      <c r="N650" t="n">
        <v>0</v>
      </c>
      <c r="O650" t="n">
        <v>0</v>
      </c>
      <c r="P650" t="n">
        <v>0</v>
      </c>
      <c r="Q650" t="n">
        <v>0</v>
      </c>
      <c r="R650" s="2" t="inlineStr"/>
    </row>
    <row r="651" ht="15" customHeight="1">
      <c r="A651" t="inlineStr">
        <is>
          <t>A 12474-2019</t>
        </is>
      </c>
      <c r="B651" s="1" t="n">
        <v>43523</v>
      </c>
      <c r="C651" s="1" t="n">
        <v>45190</v>
      </c>
      <c r="D651" t="inlineStr">
        <is>
          <t>SKÅNE LÄN</t>
        </is>
      </c>
      <c r="E651" t="inlineStr">
        <is>
          <t>ÖSTRA GÖINGE</t>
        </is>
      </c>
      <c r="G651" t="n">
        <v>4.1</v>
      </c>
      <c r="H651" t="n">
        <v>0</v>
      </c>
      <c r="I651" t="n">
        <v>0</v>
      </c>
      <c r="J651" t="n">
        <v>0</v>
      </c>
      <c r="K651" t="n">
        <v>0</v>
      </c>
      <c r="L651" t="n">
        <v>0</v>
      </c>
      <c r="M651" t="n">
        <v>0</v>
      </c>
      <c r="N651" t="n">
        <v>0</v>
      </c>
      <c r="O651" t="n">
        <v>0</v>
      </c>
      <c r="P651" t="n">
        <v>0</v>
      </c>
      <c r="Q651" t="n">
        <v>0</v>
      </c>
      <c r="R651" s="2" t="inlineStr"/>
    </row>
    <row r="652" ht="15" customHeight="1">
      <c r="A652" t="inlineStr">
        <is>
          <t>A 12476-2019</t>
        </is>
      </c>
      <c r="B652" s="1" t="n">
        <v>43523</v>
      </c>
      <c r="C652" s="1" t="n">
        <v>45190</v>
      </c>
      <c r="D652" t="inlineStr">
        <is>
          <t>SKÅNE LÄN</t>
        </is>
      </c>
      <c r="E652" t="inlineStr">
        <is>
          <t>KLIPPAN</t>
        </is>
      </c>
      <c r="G652" t="n">
        <v>0.6</v>
      </c>
      <c r="H652" t="n">
        <v>0</v>
      </c>
      <c r="I652" t="n">
        <v>0</v>
      </c>
      <c r="J652" t="n">
        <v>0</v>
      </c>
      <c r="K652" t="n">
        <v>0</v>
      </c>
      <c r="L652" t="n">
        <v>0</v>
      </c>
      <c r="M652" t="n">
        <v>0</v>
      </c>
      <c r="N652" t="n">
        <v>0</v>
      </c>
      <c r="O652" t="n">
        <v>0</v>
      </c>
      <c r="P652" t="n">
        <v>0</v>
      </c>
      <c r="Q652" t="n">
        <v>0</v>
      </c>
      <c r="R652" s="2" t="inlineStr"/>
    </row>
    <row r="653" ht="15" customHeight="1">
      <c r="A653" t="inlineStr">
        <is>
          <t>A 12486-2019</t>
        </is>
      </c>
      <c r="B653" s="1" t="n">
        <v>43523</v>
      </c>
      <c r="C653" s="1" t="n">
        <v>45190</v>
      </c>
      <c r="D653" t="inlineStr">
        <is>
          <t>SKÅNE LÄN</t>
        </is>
      </c>
      <c r="E653" t="inlineStr">
        <is>
          <t>ÖSTRA GÖINGE</t>
        </is>
      </c>
      <c r="G653" t="n">
        <v>2.9</v>
      </c>
      <c r="H653" t="n">
        <v>0</v>
      </c>
      <c r="I653" t="n">
        <v>0</v>
      </c>
      <c r="J653" t="n">
        <v>0</v>
      </c>
      <c r="K653" t="n">
        <v>0</v>
      </c>
      <c r="L653" t="n">
        <v>0</v>
      </c>
      <c r="M653" t="n">
        <v>0</v>
      </c>
      <c r="N653" t="n">
        <v>0</v>
      </c>
      <c r="O653" t="n">
        <v>0</v>
      </c>
      <c r="P653" t="n">
        <v>0</v>
      </c>
      <c r="Q653" t="n">
        <v>0</v>
      </c>
      <c r="R653" s="2" t="inlineStr"/>
    </row>
    <row r="654" ht="15" customHeight="1">
      <c r="A654" t="inlineStr">
        <is>
          <t>A 12536-2019</t>
        </is>
      </c>
      <c r="B654" s="1" t="n">
        <v>43523</v>
      </c>
      <c r="C654" s="1" t="n">
        <v>45190</v>
      </c>
      <c r="D654" t="inlineStr">
        <is>
          <t>SKÅNE LÄN</t>
        </is>
      </c>
      <c r="E654" t="inlineStr">
        <is>
          <t>ÖSTRA GÖINGE</t>
        </is>
      </c>
      <c r="G654" t="n">
        <v>1.9</v>
      </c>
      <c r="H654" t="n">
        <v>0</v>
      </c>
      <c r="I654" t="n">
        <v>0</v>
      </c>
      <c r="J654" t="n">
        <v>0</v>
      </c>
      <c r="K654" t="n">
        <v>0</v>
      </c>
      <c r="L654" t="n">
        <v>0</v>
      </c>
      <c r="M654" t="n">
        <v>0</v>
      </c>
      <c r="N654" t="n">
        <v>0</v>
      </c>
      <c r="O654" t="n">
        <v>0</v>
      </c>
      <c r="P654" t="n">
        <v>0</v>
      </c>
      <c r="Q654" t="n">
        <v>0</v>
      </c>
      <c r="R654" s="2" t="inlineStr"/>
    </row>
    <row r="655" ht="15" customHeight="1">
      <c r="A655" t="inlineStr">
        <is>
          <t>A 12529-2019</t>
        </is>
      </c>
      <c r="B655" s="1" t="n">
        <v>43523</v>
      </c>
      <c r="C655" s="1" t="n">
        <v>45190</v>
      </c>
      <c r="D655" t="inlineStr">
        <is>
          <t>SKÅNE LÄN</t>
        </is>
      </c>
      <c r="E655" t="inlineStr">
        <is>
          <t>ÖSTRA GÖINGE</t>
        </is>
      </c>
      <c r="G655" t="n">
        <v>2</v>
      </c>
      <c r="H655" t="n">
        <v>0</v>
      </c>
      <c r="I655" t="n">
        <v>0</v>
      </c>
      <c r="J655" t="n">
        <v>0</v>
      </c>
      <c r="K655" t="n">
        <v>0</v>
      </c>
      <c r="L655" t="n">
        <v>0</v>
      </c>
      <c r="M655" t="n">
        <v>0</v>
      </c>
      <c r="N655" t="n">
        <v>0</v>
      </c>
      <c r="O655" t="n">
        <v>0</v>
      </c>
      <c r="P655" t="n">
        <v>0</v>
      </c>
      <c r="Q655" t="n">
        <v>0</v>
      </c>
      <c r="R655" s="2" t="inlineStr"/>
    </row>
    <row r="656" ht="15" customHeight="1">
      <c r="A656" t="inlineStr">
        <is>
          <t>A 12708-2019</t>
        </is>
      </c>
      <c r="B656" s="1" t="n">
        <v>43524</v>
      </c>
      <c r="C656" s="1" t="n">
        <v>45190</v>
      </c>
      <c r="D656" t="inlineStr">
        <is>
          <t>SKÅNE LÄN</t>
        </is>
      </c>
      <c r="E656" t="inlineStr">
        <is>
          <t>PERSTORP</t>
        </is>
      </c>
      <c r="G656" t="n">
        <v>0.8</v>
      </c>
      <c r="H656" t="n">
        <v>0</v>
      </c>
      <c r="I656" t="n">
        <v>0</v>
      </c>
      <c r="J656" t="n">
        <v>0</v>
      </c>
      <c r="K656" t="n">
        <v>0</v>
      </c>
      <c r="L656" t="n">
        <v>0</v>
      </c>
      <c r="M656" t="n">
        <v>0</v>
      </c>
      <c r="N656" t="n">
        <v>0</v>
      </c>
      <c r="O656" t="n">
        <v>0</v>
      </c>
      <c r="P656" t="n">
        <v>0</v>
      </c>
      <c r="Q656" t="n">
        <v>0</v>
      </c>
      <c r="R656" s="2" t="inlineStr"/>
    </row>
    <row r="657" ht="15" customHeight="1">
      <c r="A657" t="inlineStr">
        <is>
          <t>A 12561-2019</t>
        </is>
      </c>
      <c r="B657" s="1" t="n">
        <v>43524</v>
      </c>
      <c r="C657" s="1" t="n">
        <v>45190</v>
      </c>
      <c r="D657" t="inlineStr">
        <is>
          <t>SKÅNE LÄN</t>
        </is>
      </c>
      <c r="E657" t="inlineStr">
        <is>
          <t>OSBY</t>
        </is>
      </c>
      <c r="G657" t="n">
        <v>1</v>
      </c>
      <c r="H657" t="n">
        <v>0</v>
      </c>
      <c r="I657" t="n">
        <v>0</v>
      </c>
      <c r="J657" t="n">
        <v>0</v>
      </c>
      <c r="K657" t="n">
        <v>0</v>
      </c>
      <c r="L657" t="n">
        <v>0</v>
      </c>
      <c r="M657" t="n">
        <v>0</v>
      </c>
      <c r="N657" t="n">
        <v>0</v>
      </c>
      <c r="O657" t="n">
        <v>0</v>
      </c>
      <c r="P657" t="n">
        <v>0</v>
      </c>
      <c r="Q657" t="n">
        <v>0</v>
      </c>
      <c r="R657" s="2" t="inlineStr"/>
    </row>
    <row r="658" ht="15" customHeight="1">
      <c r="A658" t="inlineStr">
        <is>
          <t>A 12602-2019</t>
        </is>
      </c>
      <c r="B658" s="1" t="n">
        <v>43524</v>
      </c>
      <c r="C658" s="1" t="n">
        <v>45190</v>
      </c>
      <c r="D658" t="inlineStr">
        <is>
          <t>SKÅNE LÄN</t>
        </is>
      </c>
      <c r="E658" t="inlineStr">
        <is>
          <t>OSBY</t>
        </is>
      </c>
      <c r="G658" t="n">
        <v>2.4</v>
      </c>
      <c r="H658" t="n">
        <v>0</v>
      </c>
      <c r="I658" t="n">
        <v>0</v>
      </c>
      <c r="J658" t="n">
        <v>0</v>
      </c>
      <c r="K658" t="n">
        <v>0</v>
      </c>
      <c r="L658" t="n">
        <v>0</v>
      </c>
      <c r="M658" t="n">
        <v>0</v>
      </c>
      <c r="N658" t="n">
        <v>0</v>
      </c>
      <c r="O658" t="n">
        <v>0</v>
      </c>
      <c r="P658" t="n">
        <v>0</v>
      </c>
      <c r="Q658" t="n">
        <v>0</v>
      </c>
      <c r="R658" s="2" t="inlineStr"/>
    </row>
    <row r="659" ht="15" customHeight="1">
      <c r="A659" t="inlineStr">
        <is>
          <t>A 12567-2019</t>
        </is>
      </c>
      <c r="B659" s="1" t="n">
        <v>43524</v>
      </c>
      <c r="C659" s="1" t="n">
        <v>45190</v>
      </c>
      <c r="D659" t="inlineStr">
        <is>
          <t>SKÅNE LÄN</t>
        </is>
      </c>
      <c r="E659" t="inlineStr">
        <is>
          <t>OSBY</t>
        </is>
      </c>
      <c r="G659" t="n">
        <v>2.9</v>
      </c>
      <c r="H659" t="n">
        <v>0</v>
      </c>
      <c r="I659" t="n">
        <v>0</v>
      </c>
      <c r="J659" t="n">
        <v>0</v>
      </c>
      <c r="K659" t="n">
        <v>0</v>
      </c>
      <c r="L659" t="n">
        <v>0</v>
      </c>
      <c r="M659" t="n">
        <v>0</v>
      </c>
      <c r="N659" t="n">
        <v>0</v>
      </c>
      <c r="O659" t="n">
        <v>0</v>
      </c>
      <c r="P659" t="n">
        <v>0</v>
      </c>
      <c r="Q659" t="n">
        <v>0</v>
      </c>
      <c r="R659" s="2" t="inlineStr"/>
    </row>
    <row r="660" ht="15" customHeight="1">
      <c r="A660" t="inlineStr">
        <is>
          <t>A 12587-2019</t>
        </is>
      </c>
      <c r="B660" s="1" t="n">
        <v>43524</v>
      </c>
      <c r="C660" s="1" t="n">
        <v>45190</v>
      </c>
      <c r="D660" t="inlineStr">
        <is>
          <t>SKÅNE LÄN</t>
        </is>
      </c>
      <c r="E660" t="inlineStr">
        <is>
          <t>HÄSSLEHOLM</t>
        </is>
      </c>
      <c r="G660" t="n">
        <v>0.9</v>
      </c>
      <c r="H660" t="n">
        <v>0</v>
      </c>
      <c r="I660" t="n">
        <v>0</v>
      </c>
      <c r="J660" t="n">
        <v>0</v>
      </c>
      <c r="K660" t="n">
        <v>0</v>
      </c>
      <c r="L660" t="n">
        <v>0</v>
      </c>
      <c r="M660" t="n">
        <v>0</v>
      </c>
      <c r="N660" t="n">
        <v>0</v>
      </c>
      <c r="O660" t="n">
        <v>0</v>
      </c>
      <c r="P660" t="n">
        <v>0</v>
      </c>
      <c r="Q660" t="n">
        <v>0</v>
      </c>
      <c r="R660" s="2" t="inlineStr"/>
    </row>
    <row r="661" ht="15" customHeight="1">
      <c r="A661" t="inlineStr">
        <is>
          <t>A 12816-2019</t>
        </is>
      </c>
      <c r="B661" s="1" t="n">
        <v>43525</v>
      </c>
      <c r="C661" s="1" t="n">
        <v>45190</v>
      </c>
      <c r="D661" t="inlineStr">
        <is>
          <t>SKÅNE LÄN</t>
        </is>
      </c>
      <c r="E661" t="inlineStr">
        <is>
          <t>ÄNGELHOLM</t>
        </is>
      </c>
      <c r="G661" t="n">
        <v>1.9</v>
      </c>
      <c r="H661" t="n">
        <v>0</v>
      </c>
      <c r="I661" t="n">
        <v>0</v>
      </c>
      <c r="J661" t="n">
        <v>0</v>
      </c>
      <c r="K661" t="n">
        <v>0</v>
      </c>
      <c r="L661" t="n">
        <v>0</v>
      </c>
      <c r="M661" t="n">
        <v>0</v>
      </c>
      <c r="N661" t="n">
        <v>0</v>
      </c>
      <c r="O661" t="n">
        <v>0</v>
      </c>
      <c r="P661" t="n">
        <v>0</v>
      </c>
      <c r="Q661" t="n">
        <v>0</v>
      </c>
      <c r="R661" s="2" t="inlineStr"/>
    </row>
    <row r="662" ht="15" customHeight="1">
      <c r="A662" t="inlineStr">
        <is>
          <t>A 12837-2019</t>
        </is>
      </c>
      <c r="B662" s="1" t="n">
        <v>43525</v>
      </c>
      <c r="C662" s="1" t="n">
        <v>45190</v>
      </c>
      <c r="D662" t="inlineStr">
        <is>
          <t>SKÅNE LÄN</t>
        </is>
      </c>
      <c r="E662" t="inlineStr">
        <is>
          <t>KLIPPAN</t>
        </is>
      </c>
      <c r="G662" t="n">
        <v>1</v>
      </c>
      <c r="H662" t="n">
        <v>0</v>
      </c>
      <c r="I662" t="n">
        <v>0</v>
      </c>
      <c r="J662" t="n">
        <v>0</v>
      </c>
      <c r="K662" t="n">
        <v>0</v>
      </c>
      <c r="L662" t="n">
        <v>0</v>
      </c>
      <c r="M662" t="n">
        <v>0</v>
      </c>
      <c r="N662" t="n">
        <v>0</v>
      </c>
      <c r="O662" t="n">
        <v>0</v>
      </c>
      <c r="P662" t="n">
        <v>0</v>
      </c>
      <c r="Q662" t="n">
        <v>0</v>
      </c>
      <c r="R662" s="2" t="inlineStr"/>
    </row>
    <row r="663" ht="15" customHeight="1">
      <c r="A663" t="inlineStr">
        <is>
          <t>A 12742-2019</t>
        </is>
      </c>
      <c r="B663" s="1" t="n">
        <v>43525</v>
      </c>
      <c r="C663" s="1" t="n">
        <v>45190</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12763-2019</t>
        </is>
      </c>
      <c r="B664" s="1" t="n">
        <v>43525</v>
      </c>
      <c r="C664" s="1" t="n">
        <v>45190</v>
      </c>
      <c r="D664" t="inlineStr">
        <is>
          <t>SKÅNE LÄN</t>
        </is>
      </c>
      <c r="E664" t="inlineStr">
        <is>
          <t>ÖRKELLJUNGA</t>
        </is>
      </c>
      <c r="G664" t="n">
        <v>4.5</v>
      </c>
      <c r="H664" t="n">
        <v>0</v>
      </c>
      <c r="I664" t="n">
        <v>0</v>
      </c>
      <c r="J664" t="n">
        <v>0</v>
      </c>
      <c r="K664" t="n">
        <v>0</v>
      </c>
      <c r="L664" t="n">
        <v>0</v>
      </c>
      <c r="M664" t="n">
        <v>0</v>
      </c>
      <c r="N664" t="n">
        <v>0</v>
      </c>
      <c r="O664" t="n">
        <v>0</v>
      </c>
      <c r="P664" t="n">
        <v>0</v>
      </c>
      <c r="Q664" t="n">
        <v>0</v>
      </c>
      <c r="R664" s="2" t="inlineStr"/>
    </row>
    <row r="665" ht="15" customHeight="1">
      <c r="A665" t="inlineStr">
        <is>
          <t>A 12780-2019</t>
        </is>
      </c>
      <c r="B665" s="1" t="n">
        <v>43525</v>
      </c>
      <c r="C665" s="1" t="n">
        <v>45190</v>
      </c>
      <c r="D665" t="inlineStr">
        <is>
          <t>SKÅNE LÄN</t>
        </is>
      </c>
      <c r="E665" t="inlineStr">
        <is>
          <t>ÖRKELLJUNGA</t>
        </is>
      </c>
      <c r="G665" t="n">
        <v>1.9</v>
      </c>
      <c r="H665" t="n">
        <v>0</v>
      </c>
      <c r="I665" t="n">
        <v>0</v>
      </c>
      <c r="J665" t="n">
        <v>0</v>
      </c>
      <c r="K665" t="n">
        <v>0</v>
      </c>
      <c r="L665" t="n">
        <v>0</v>
      </c>
      <c r="M665" t="n">
        <v>0</v>
      </c>
      <c r="N665" t="n">
        <v>0</v>
      </c>
      <c r="O665" t="n">
        <v>0</v>
      </c>
      <c r="P665" t="n">
        <v>0</v>
      </c>
      <c r="Q665" t="n">
        <v>0</v>
      </c>
      <c r="R665" s="2" t="inlineStr"/>
    </row>
    <row r="666" ht="15" customHeight="1">
      <c r="A666" t="inlineStr">
        <is>
          <t>A 12832-2019</t>
        </is>
      </c>
      <c r="B666" s="1" t="n">
        <v>43525</v>
      </c>
      <c r="C666" s="1" t="n">
        <v>45190</v>
      </c>
      <c r="D666" t="inlineStr">
        <is>
          <t>SKÅNE LÄN</t>
        </is>
      </c>
      <c r="E666" t="inlineStr">
        <is>
          <t>KLIPPAN</t>
        </is>
      </c>
      <c r="G666" t="n">
        <v>2.4</v>
      </c>
      <c r="H666" t="n">
        <v>0</v>
      </c>
      <c r="I666" t="n">
        <v>0</v>
      </c>
      <c r="J666" t="n">
        <v>0</v>
      </c>
      <c r="K666" t="n">
        <v>0</v>
      </c>
      <c r="L666" t="n">
        <v>0</v>
      </c>
      <c r="M666" t="n">
        <v>0</v>
      </c>
      <c r="N666" t="n">
        <v>0</v>
      </c>
      <c r="O666" t="n">
        <v>0</v>
      </c>
      <c r="P666" t="n">
        <v>0</v>
      </c>
      <c r="Q666" t="n">
        <v>0</v>
      </c>
      <c r="R666" s="2" t="inlineStr"/>
    </row>
    <row r="667" ht="15" customHeight="1">
      <c r="A667" t="inlineStr">
        <is>
          <t>A 12925-2019</t>
        </is>
      </c>
      <c r="B667" s="1" t="n">
        <v>43525</v>
      </c>
      <c r="C667" s="1" t="n">
        <v>45190</v>
      </c>
      <c r="D667" t="inlineStr">
        <is>
          <t>SKÅNE LÄN</t>
        </is>
      </c>
      <c r="E667" t="inlineStr">
        <is>
          <t>ÖRKELLJUNGA</t>
        </is>
      </c>
      <c r="G667" t="n">
        <v>3.5</v>
      </c>
      <c r="H667" t="n">
        <v>0</v>
      </c>
      <c r="I667" t="n">
        <v>0</v>
      </c>
      <c r="J667" t="n">
        <v>0</v>
      </c>
      <c r="K667" t="n">
        <v>0</v>
      </c>
      <c r="L667" t="n">
        <v>0</v>
      </c>
      <c r="M667" t="n">
        <v>0</v>
      </c>
      <c r="N667" t="n">
        <v>0</v>
      </c>
      <c r="O667" t="n">
        <v>0</v>
      </c>
      <c r="P667" t="n">
        <v>0</v>
      </c>
      <c r="Q667" t="n">
        <v>0</v>
      </c>
      <c r="R667" s="2" t="inlineStr"/>
    </row>
    <row r="668" ht="15" customHeight="1">
      <c r="A668" t="inlineStr">
        <is>
          <t>A 12760-2019</t>
        </is>
      </c>
      <c r="B668" s="1" t="n">
        <v>43525</v>
      </c>
      <c r="C668" s="1" t="n">
        <v>45190</v>
      </c>
      <c r="D668" t="inlineStr">
        <is>
          <t>SKÅNE LÄN</t>
        </is>
      </c>
      <c r="E668" t="inlineStr">
        <is>
          <t>HÄSSLEHOLM</t>
        </is>
      </c>
      <c r="G668" t="n">
        <v>1.7</v>
      </c>
      <c r="H668" t="n">
        <v>0</v>
      </c>
      <c r="I668" t="n">
        <v>0</v>
      </c>
      <c r="J668" t="n">
        <v>0</v>
      </c>
      <c r="K668" t="n">
        <v>0</v>
      </c>
      <c r="L668" t="n">
        <v>0</v>
      </c>
      <c r="M668" t="n">
        <v>0</v>
      </c>
      <c r="N668" t="n">
        <v>0</v>
      </c>
      <c r="O668" t="n">
        <v>0</v>
      </c>
      <c r="P668" t="n">
        <v>0</v>
      </c>
      <c r="Q668" t="n">
        <v>0</v>
      </c>
      <c r="R668" s="2" t="inlineStr"/>
    </row>
    <row r="669" ht="15" customHeight="1">
      <c r="A669" t="inlineStr">
        <is>
          <t>A 13021-2019</t>
        </is>
      </c>
      <c r="B669" s="1" t="n">
        <v>43528</v>
      </c>
      <c r="C669" s="1" t="n">
        <v>45190</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13177-2019</t>
        </is>
      </c>
      <c r="B670" s="1" t="n">
        <v>43528</v>
      </c>
      <c r="C670" s="1" t="n">
        <v>45190</v>
      </c>
      <c r="D670" t="inlineStr">
        <is>
          <t>SKÅNE LÄN</t>
        </is>
      </c>
      <c r="E670" t="inlineStr">
        <is>
          <t>HÄSSLEHOLM</t>
        </is>
      </c>
      <c r="G670" t="n">
        <v>3</v>
      </c>
      <c r="H670" t="n">
        <v>0</v>
      </c>
      <c r="I670" t="n">
        <v>0</v>
      </c>
      <c r="J670" t="n">
        <v>0</v>
      </c>
      <c r="K670" t="n">
        <v>0</v>
      </c>
      <c r="L670" t="n">
        <v>0</v>
      </c>
      <c r="M670" t="n">
        <v>0</v>
      </c>
      <c r="N670" t="n">
        <v>0</v>
      </c>
      <c r="O670" t="n">
        <v>0</v>
      </c>
      <c r="P670" t="n">
        <v>0</v>
      </c>
      <c r="Q670" t="n">
        <v>0</v>
      </c>
      <c r="R670" s="2" t="inlineStr"/>
    </row>
    <row r="671" ht="15" customHeight="1">
      <c r="A671" t="inlineStr">
        <is>
          <t>A 13256-2019</t>
        </is>
      </c>
      <c r="B671" s="1" t="n">
        <v>43528</v>
      </c>
      <c r="C671" s="1" t="n">
        <v>45190</v>
      </c>
      <c r="D671" t="inlineStr">
        <is>
          <t>SKÅNE LÄN</t>
        </is>
      </c>
      <c r="E671" t="inlineStr">
        <is>
          <t>BÅSTAD</t>
        </is>
      </c>
      <c r="G671" t="n">
        <v>1.2</v>
      </c>
      <c r="H671" t="n">
        <v>0</v>
      </c>
      <c r="I671" t="n">
        <v>0</v>
      </c>
      <c r="J671" t="n">
        <v>0</v>
      </c>
      <c r="K671" t="n">
        <v>0</v>
      </c>
      <c r="L671" t="n">
        <v>0</v>
      </c>
      <c r="M671" t="n">
        <v>0</v>
      </c>
      <c r="N671" t="n">
        <v>0</v>
      </c>
      <c r="O671" t="n">
        <v>0</v>
      </c>
      <c r="P671" t="n">
        <v>0</v>
      </c>
      <c r="Q671" t="n">
        <v>0</v>
      </c>
      <c r="R671" s="2" t="inlineStr"/>
    </row>
    <row r="672" ht="15" customHeight="1">
      <c r="A672" t="inlineStr">
        <is>
          <t>A 13370-2019</t>
        </is>
      </c>
      <c r="B672" s="1" t="n">
        <v>43529</v>
      </c>
      <c r="C672" s="1" t="n">
        <v>45190</v>
      </c>
      <c r="D672" t="inlineStr">
        <is>
          <t>SKÅNE LÄN</t>
        </is>
      </c>
      <c r="E672" t="inlineStr">
        <is>
          <t>KRISTIANSTAD</t>
        </is>
      </c>
      <c r="G672" t="n">
        <v>2</v>
      </c>
      <c r="H672" t="n">
        <v>0</v>
      </c>
      <c r="I672" t="n">
        <v>0</v>
      </c>
      <c r="J672" t="n">
        <v>0</v>
      </c>
      <c r="K672" t="n">
        <v>0</v>
      </c>
      <c r="L672" t="n">
        <v>0</v>
      </c>
      <c r="M672" t="n">
        <v>0</v>
      </c>
      <c r="N672" t="n">
        <v>0</v>
      </c>
      <c r="O672" t="n">
        <v>0</v>
      </c>
      <c r="P672" t="n">
        <v>0</v>
      </c>
      <c r="Q672" t="n">
        <v>0</v>
      </c>
      <c r="R672" s="2" t="inlineStr"/>
    </row>
    <row r="673" ht="15" customHeight="1">
      <c r="A673" t="inlineStr">
        <is>
          <t>A 13355-2019</t>
        </is>
      </c>
      <c r="B673" s="1" t="n">
        <v>43529</v>
      </c>
      <c r="C673" s="1" t="n">
        <v>45190</v>
      </c>
      <c r="D673" t="inlineStr">
        <is>
          <t>SKÅNE LÄN</t>
        </is>
      </c>
      <c r="E673" t="inlineStr">
        <is>
          <t>HÖRBY</t>
        </is>
      </c>
      <c r="G673" t="n">
        <v>1.3</v>
      </c>
      <c r="H673" t="n">
        <v>0</v>
      </c>
      <c r="I673" t="n">
        <v>0</v>
      </c>
      <c r="J673" t="n">
        <v>0</v>
      </c>
      <c r="K673" t="n">
        <v>0</v>
      </c>
      <c r="L673" t="n">
        <v>0</v>
      </c>
      <c r="M673" t="n">
        <v>0</v>
      </c>
      <c r="N673" t="n">
        <v>0</v>
      </c>
      <c r="O673" t="n">
        <v>0</v>
      </c>
      <c r="P673" t="n">
        <v>0</v>
      </c>
      <c r="Q673" t="n">
        <v>0</v>
      </c>
      <c r="R673" s="2" t="inlineStr"/>
    </row>
    <row r="674" ht="15" customHeight="1">
      <c r="A674" t="inlineStr">
        <is>
          <t>A 13317-2019</t>
        </is>
      </c>
      <c r="B674" s="1" t="n">
        <v>43529</v>
      </c>
      <c r="C674" s="1" t="n">
        <v>45190</v>
      </c>
      <c r="D674" t="inlineStr">
        <is>
          <t>SKÅNE LÄN</t>
        </is>
      </c>
      <c r="E674" t="inlineStr">
        <is>
          <t>HÄSSLEHOLM</t>
        </is>
      </c>
      <c r="G674" t="n">
        <v>5.9</v>
      </c>
      <c r="H674" t="n">
        <v>0</v>
      </c>
      <c r="I674" t="n">
        <v>0</v>
      </c>
      <c r="J674" t="n">
        <v>0</v>
      </c>
      <c r="K674" t="n">
        <v>0</v>
      </c>
      <c r="L674" t="n">
        <v>0</v>
      </c>
      <c r="M674" t="n">
        <v>0</v>
      </c>
      <c r="N674" t="n">
        <v>0</v>
      </c>
      <c r="O674" t="n">
        <v>0</v>
      </c>
      <c r="P674" t="n">
        <v>0</v>
      </c>
      <c r="Q674" t="n">
        <v>0</v>
      </c>
      <c r="R674" s="2" t="inlineStr"/>
    </row>
    <row r="675" ht="15" customHeight="1">
      <c r="A675" t="inlineStr">
        <is>
          <t>A 13816-2019</t>
        </is>
      </c>
      <c r="B675" s="1" t="n">
        <v>43530</v>
      </c>
      <c r="C675" s="1" t="n">
        <v>45190</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13595-2019</t>
        </is>
      </c>
      <c r="B676" s="1" t="n">
        <v>43530</v>
      </c>
      <c r="C676" s="1" t="n">
        <v>45190</v>
      </c>
      <c r="D676" t="inlineStr">
        <is>
          <t>SKÅNE LÄN</t>
        </is>
      </c>
      <c r="E676" t="inlineStr">
        <is>
          <t>ÖSTRA GÖINGE</t>
        </is>
      </c>
      <c r="G676" t="n">
        <v>2.5</v>
      </c>
      <c r="H676" t="n">
        <v>0</v>
      </c>
      <c r="I676" t="n">
        <v>0</v>
      </c>
      <c r="J676" t="n">
        <v>0</v>
      </c>
      <c r="K676" t="n">
        <v>0</v>
      </c>
      <c r="L676" t="n">
        <v>0</v>
      </c>
      <c r="M676" t="n">
        <v>0</v>
      </c>
      <c r="N676" t="n">
        <v>0</v>
      </c>
      <c r="O676" t="n">
        <v>0</v>
      </c>
      <c r="P676" t="n">
        <v>0</v>
      </c>
      <c r="Q676" t="n">
        <v>0</v>
      </c>
      <c r="R676" s="2" t="inlineStr"/>
    </row>
    <row r="677" ht="15" customHeight="1">
      <c r="A677" t="inlineStr">
        <is>
          <t>A 13502-2019</t>
        </is>
      </c>
      <c r="B677" s="1" t="n">
        <v>43530</v>
      </c>
      <c r="C677" s="1" t="n">
        <v>45190</v>
      </c>
      <c r="D677" t="inlineStr">
        <is>
          <t>SKÅNE LÄN</t>
        </is>
      </c>
      <c r="E677" t="inlineStr">
        <is>
          <t>HÄSSLEHOLM</t>
        </is>
      </c>
      <c r="G677" t="n">
        <v>2</v>
      </c>
      <c r="H677" t="n">
        <v>0</v>
      </c>
      <c r="I677" t="n">
        <v>0</v>
      </c>
      <c r="J677" t="n">
        <v>0</v>
      </c>
      <c r="K677" t="n">
        <v>0</v>
      </c>
      <c r="L677" t="n">
        <v>0</v>
      </c>
      <c r="M677" t="n">
        <v>0</v>
      </c>
      <c r="N677" t="n">
        <v>0</v>
      </c>
      <c r="O677" t="n">
        <v>0</v>
      </c>
      <c r="P677" t="n">
        <v>0</v>
      </c>
      <c r="Q677" t="n">
        <v>0</v>
      </c>
      <c r="R677" s="2" t="inlineStr"/>
    </row>
    <row r="678" ht="15" customHeight="1">
      <c r="A678" t="inlineStr">
        <is>
          <t>A 13840-2019</t>
        </is>
      </c>
      <c r="B678" s="1" t="n">
        <v>43531</v>
      </c>
      <c r="C678" s="1" t="n">
        <v>45190</v>
      </c>
      <c r="D678" t="inlineStr">
        <is>
          <t>SKÅNE LÄN</t>
        </is>
      </c>
      <c r="E678" t="inlineStr">
        <is>
          <t>HÄSSLEHOLM</t>
        </is>
      </c>
      <c r="G678" t="n">
        <v>0.8</v>
      </c>
      <c r="H678" t="n">
        <v>0</v>
      </c>
      <c r="I678" t="n">
        <v>0</v>
      </c>
      <c r="J678" t="n">
        <v>0</v>
      </c>
      <c r="K678" t="n">
        <v>0</v>
      </c>
      <c r="L678" t="n">
        <v>0</v>
      </c>
      <c r="M678" t="n">
        <v>0</v>
      </c>
      <c r="N678" t="n">
        <v>0</v>
      </c>
      <c r="O678" t="n">
        <v>0</v>
      </c>
      <c r="P678" t="n">
        <v>0</v>
      </c>
      <c r="Q678" t="n">
        <v>0</v>
      </c>
      <c r="R678" s="2" t="inlineStr"/>
    </row>
    <row r="679" ht="15" customHeight="1">
      <c r="A679" t="inlineStr">
        <is>
          <t>A 14018-2019</t>
        </is>
      </c>
      <c r="B679" s="1" t="n">
        <v>43532</v>
      </c>
      <c r="C679" s="1" t="n">
        <v>45190</v>
      </c>
      <c r="D679" t="inlineStr">
        <is>
          <t>SKÅNE LÄN</t>
        </is>
      </c>
      <c r="E679" t="inlineStr">
        <is>
          <t>OSBY</t>
        </is>
      </c>
      <c r="G679" t="n">
        <v>1.7</v>
      </c>
      <c r="H679" t="n">
        <v>0</v>
      </c>
      <c r="I679" t="n">
        <v>0</v>
      </c>
      <c r="J679" t="n">
        <v>0</v>
      </c>
      <c r="K679" t="n">
        <v>0</v>
      </c>
      <c r="L679" t="n">
        <v>0</v>
      </c>
      <c r="M679" t="n">
        <v>0</v>
      </c>
      <c r="N679" t="n">
        <v>0</v>
      </c>
      <c r="O679" t="n">
        <v>0</v>
      </c>
      <c r="P679" t="n">
        <v>0</v>
      </c>
      <c r="Q679" t="n">
        <v>0</v>
      </c>
      <c r="R679" s="2" t="inlineStr"/>
    </row>
    <row r="680" ht="15" customHeight="1">
      <c r="A680" t="inlineStr">
        <is>
          <t>A 14223-2019</t>
        </is>
      </c>
      <c r="B680" s="1" t="n">
        <v>43532</v>
      </c>
      <c r="C680" s="1" t="n">
        <v>45190</v>
      </c>
      <c r="D680" t="inlineStr">
        <is>
          <t>SKÅNE LÄN</t>
        </is>
      </c>
      <c r="E680" t="inlineStr">
        <is>
          <t>ÖSTRA GÖINGE</t>
        </is>
      </c>
      <c r="G680" t="n">
        <v>1</v>
      </c>
      <c r="H680" t="n">
        <v>0</v>
      </c>
      <c r="I680" t="n">
        <v>0</v>
      </c>
      <c r="J680" t="n">
        <v>0</v>
      </c>
      <c r="K680" t="n">
        <v>0</v>
      </c>
      <c r="L680" t="n">
        <v>0</v>
      </c>
      <c r="M680" t="n">
        <v>0</v>
      </c>
      <c r="N680" t="n">
        <v>0</v>
      </c>
      <c r="O680" t="n">
        <v>0</v>
      </c>
      <c r="P680" t="n">
        <v>0</v>
      </c>
      <c r="Q680" t="n">
        <v>0</v>
      </c>
      <c r="R680" s="2" t="inlineStr"/>
    </row>
    <row r="681" ht="15" customHeight="1">
      <c r="A681" t="inlineStr">
        <is>
          <t>A 14196-2019</t>
        </is>
      </c>
      <c r="B681" s="1" t="n">
        <v>43534</v>
      </c>
      <c r="C681" s="1" t="n">
        <v>45190</v>
      </c>
      <c r="D681" t="inlineStr">
        <is>
          <t>SKÅNE LÄN</t>
        </is>
      </c>
      <c r="E681" t="inlineStr">
        <is>
          <t>BROMÖLLA</t>
        </is>
      </c>
      <c r="G681" t="n">
        <v>1.9</v>
      </c>
      <c r="H681" t="n">
        <v>0</v>
      </c>
      <c r="I681" t="n">
        <v>0</v>
      </c>
      <c r="J681" t="n">
        <v>0</v>
      </c>
      <c r="K681" t="n">
        <v>0</v>
      </c>
      <c r="L681" t="n">
        <v>0</v>
      </c>
      <c r="M681" t="n">
        <v>0</v>
      </c>
      <c r="N681" t="n">
        <v>0</v>
      </c>
      <c r="O681" t="n">
        <v>0</v>
      </c>
      <c r="P681" t="n">
        <v>0</v>
      </c>
      <c r="Q681" t="n">
        <v>0</v>
      </c>
      <c r="R681" s="2" t="inlineStr"/>
    </row>
    <row r="682" ht="15" customHeight="1">
      <c r="A682" t="inlineStr">
        <is>
          <t>A 14178-2019</t>
        </is>
      </c>
      <c r="B682" s="1" t="n">
        <v>43534</v>
      </c>
      <c r="C682" s="1" t="n">
        <v>45190</v>
      </c>
      <c r="D682" t="inlineStr">
        <is>
          <t>SKÅNE LÄN</t>
        </is>
      </c>
      <c r="E682" t="inlineStr">
        <is>
          <t>HÄSSLEHOLM</t>
        </is>
      </c>
      <c r="G682" t="n">
        <v>0.9</v>
      </c>
      <c r="H682" t="n">
        <v>0</v>
      </c>
      <c r="I682" t="n">
        <v>0</v>
      </c>
      <c r="J682" t="n">
        <v>0</v>
      </c>
      <c r="K682" t="n">
        <v>0</v>
      </c>
      <c r="L682" t="n">
        <v>0</v>
      </c>
      <c r="M682" t="n">
        <v>0</v>
      </c>
      <c r="N682" t="n">
        <v>0</v>
      </c>
      <c r="O682" t="n">
        <v>0</v>
      </c>
      <c r="P682" t="n">
        <v>0</v>
      </c>
      <c r="Q682" t="n">
        <v>0</v>
      </c>
      <c r="R682" s="2" t="inlineStr"/>
    </row>
    <row r="683" ht="15" customHeight="1">
      <c r="A683" t="inlineStr">
        <is>
          <t>A 14633-2019</t>
        </is>
      </c>
      <c r="B683" s="1" t="n">
        <v>43537</v>
      </c>
      <c r="C683" s="1" t="n">
        <v>45190</v>
      </c>
      <c r="D683" t="inlineStr">
        <is>
          <t>SKÅNE LÄN</t>
        </is>
      </c>
      <c r="E683" t="inlineStr">
        <is>
          <t>KLIPPAN</t>
        </is>
      </c>
      <c r="F683" t="inlineStr">
        <is>
          <t>Övriga Aktiebolag</t>
        </is>
      </c>
      <c r="G683" t="n">
        <v>2.9</v>
      </c>
      <c r="H683" t="n">
        <v>0</v>
      </c>
      <c r="I683" t="n">
        <v>0</v>
      </c>
      <c r="J683" t="n">
        <v>0</v>
      </c>
      <c r="K683" t="n">
        <v>0</v>
      </c>
      <c r="L683" t="n">
        <v>0</v>
      </c>
      <c r="M683" t="n">
        <v>0</v>
      </c>
      <c r="N683" t="n">
        <v>0</v>
      </c>
      <c r="O683" t="n">
        <v>0</v>
      </c>
      <c r="P683" t="n">
        <v>0</v>
      </c>
      <c r="Q683" t="n">
        <v>0</v>
      </c>
      <c r="R683" s="2" t="inlineStr"/>
    </row>
    <row r="684" ht="15" customHeight="1">
      <c r="A684" t="inlineStr">
        <is>
          <t>A 14934-2019</t>
        </is>
      </c>
      <c r="B684" s="1" t="n">
        <v>43537</v>
      </c>
      <c r="C684" s="1" t="n">
        <v>45190</v>
      </c>
      <c r="D684" t="inlineStr">
        <is>
          <t>SKÅNE LÄN</t>
        </is>
      </c>
      <c r="E684" t="inlineStr">
        <is>
          <t>ÅSTORP</t>
        </is>
      </c>
      <c r="G684" t="n">
        <v>3.3</v>
      </c>
      <c r="H684" t="n">
        <v>0</v>
      </c>
      <c r="I684" t="n">
        <v>0</v>
      </c>
      <c r="J684" t="n">
        <v>0</v>
      </c>
      <c r="K684" t="n">
        <v>0</v>
      </c>
      <c r="L684" t="n">
        <v>0</v>
      </c>
      <c r="M684" t="n">
        <v>0</v>
      </c>
      <c r="N684" t="n">
        <v>0</v>
      </c>
      <c r="O684" t="n">
        <v>0</v>
      </c>
      <c r="P684" t="n">
        <v>0</v>
      </c>
      <c r="Q684" t="n">
        <v>0</v>
      </c>
      <c r="R684" s="2" t="inlineStr"/>
    </row>
    <row r="685" ht="15" customHeight="1">
      <c r="A685" t="inlineStr">
        <is>
          <t>A 14971-2019</t>
        </is>
      </c>
      <c r="B685" s="1" t="n">
        <v>43537</v>
      </c>
      <c r="C685" s="1" t="n">
        <v>45190</v>
      </c>
      <c r="D685" t="inlineStr">
        <is>
          <t>SKÅNE LÄN</t>
        </is>
      </c>
      <c r="E685" t="inlineStr">
        <is>
          <t>HÄSSLEHOLM</t>
        </is>
      </c>
      <c r="G685" t="n">
        <v>10.6</v>
      </c>
      <c r="H685" t="n">
        <v>0</v>
      </c>
      <c r="I685" t="n">
        <v>0</v>
      </c>
      <c r="J685" t="n">
        <v>0</v>
      </c>
      <c r="K685" t="n">
        <v>0</v>
      </c>
      <c r="L685" t="n">
        <v>0</v>
      </c>
      <c r="M685" t="n">
        <v>0</v>
      </c>
      <c r="N685" t="n">
        <v>0</v>
      </c>
      <c r="O685" t="n">
        <v>0</v>
      </c>
      <c r="P685" t="n">
        <v>0</v>
      </c>
      <c r="Q685" t="n">
        <v>0</v>
      </c>
      <c r="R685" s="2" t="inlineStr"/>
    </row>
    <row r="686" ht="15" customHeight="1">
      <c r="A686" t="inlineStr">
        <is>
          <t>A 14628-2019</t>
        </is>
      </c>
      <c r="B686" s="1" t="n">
        <v>43537</v>
      </c>
      <c r="C686" s="1" t="n">
        <v>45190</v>
      </c>
      <c r="D686" t="inlineStr">
        <is>
          <t>SKÅNE LÄN</t>
        </is>
      </c>
      <c r="E686" t="inlineStr">
        <is>
          <t>HÄSSLEHOLM</t>
        </is>
      </c>
      <c r="F686" t="inlineStr">
        <is>
          <t>Övriga Aktiebolag</t>
        </is>
      </c>
      <c r="G686" t="n">
        <v>1.6</v>
      </c>
      <c r="H686" t="n">
        <v>0</v>
      </c>
      <c r="I686" t="n">
        <v>0</v>
      </c>
      <c r="J686" t="n">
        <v>0</v>
      </c>
      <c r="K686" t="n">
        <v>0</v>
      </c>
      <c r="L686" t="n">
        <v>0</v>
      </c>
      <c r="M686" t="n">
        <v>0</v>
      </c>
      <c r="N686" t="n">
        <v>0</v>
      </c>
      <c r="O686" t="n">
        <v>0</v>
      </c>
      <c r="P686" t="n">
        <v>0</v>
      </c>
      <c r="Q686" t="n">
        <v>0</v>
      </c>
      <c r="R686" s="2" t="inlineStr"/>
    </row>
    <row r="687" ht="15" customHeight="1">
      <c r="A687" t="inlineStr">
        <is>
          <t>A 14656-2019</t>
        </is>
      </c>
      <c r="B687" s="1" t="n">
        <v>43537</v>
      </c>
      <c r="C687" s="1" t="n">
        <v>45190</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14629-2019</t>
        </is>
      </c>
      <c r="B688" s="1" t="n">
        <v>43537</v>
      </c>
      <c r="C688" s="1" t="n">
        <v>45190</v>
      </c>
      <c r="D688" t="inlineStr">
        <is>
          <t>SKÅNE LÄN</t>
        </is>
      </c>
      <c r="E688" t="inlineStr">
        <is>
          <t>HÄSSLEHOLM</t>
        </is>
      </c>
      <c r="F688" t="inlineStr">
        <is>
          <t>Övriga Aktiebolag</t>
        </is>
      </c>
      <c r="G688" t="n">
        <v>2.5</v>
      </c>
      <c r="H688" t="n">
        <v>0</v>
      </c>
      <c r="I688" t="n">
        <v>0</v>
      </c>
      <c r="J688" t="n">
        <v>0</v>
      </c>
      <c r="K688" t="n">
        <v>0</v>
      </c>
      <c r="L688" t="n">
        <v>0</v>
      </c>
      <c r="M688" t="n">
        <v>0</v>
      </c>
      <c r="N688" t="n">
        <v>0</v>
      </c>
      <c r="O688" t="n">
        <v>0</v>
      </c>
      <c r="P688" t="n">
        <v>0</v>
      </c>
      <c r="Q688" t="n">
        <v>0</v>
      </c>
      <c r="R688" s="2" t="inlineStr"/>
    </row>
    <row r="689" ht="15" customHeight="1">
      <c r="A689" t="inlineStr">
        <is>
          <t>A 14641-2019</t>
        </is>
      </c>
      <c r="B689" s="1" t="n">
        <v>43538</v>
      </c>
      <c r="C689" s="1" t="n">
        <v>45190</v>
      </c>
      <c r="D689" t="inlineStr">
        <is>
          <t>SKÅNE LÄN</t>
        </is>
      </c>
      <c r="E689" t="inlineStr">
        <is>
          <t>HÄSSLEHOLM</t>
        </is>
      </c>
      <c r="G689" t="n">
        <v>2.2</v>
      </c>
      <c r="H689" t="n">
        <v>0</v>
      </c>
      <c r="I689" t="n">
        <v>0</v>
      </c>
      <c r="J689" t="n">
        <v>0</v>
      </c>
      <c r="K689" t="n">
        <v>0</v>
      </c>
      <c r="L689" t="n">
        <v>0</v>
      </c>
      <c r="M689" t="n">
        <v>0</v>
      </c>
      <c r="N689" t="n">
        <v>0</v>
      </c>
      <c r="O689" t="n">
        <v>0</v>
      </c>
      <c r="P689" t="n">
        <v>0</v>
      </c>
      <c r="Q689" t="n">
        <v>0</v>
      </c>
      <c r="R689" s="2" t="inlineStr"/>
    </row>
    <row r="690" ht="15" customHeight="1">
      <c r="A690" t="inlineStr">
        <is>
          <t>A 14868-2019</t>
        </is>
      </c>
      <c r="B690" s="1" t="n">
        <v>43538</v>
      </c>
      <c r="C690" s="1" t="n">
        <v>45190</v>
      </c>
      <c r="D690" t="inlineStr">
        <is>
          <t>SKÅNE LÄN</t>
        </is>
      </c>
      <c r="E690" t="inlineStr">
        <is>
          <t>KLIPPAN</t>
        </is>
      </c>
      <c r="G690" t="n">
        <v>4.6</v>
      </c>
      <c r="H690" t="n">
        <v>0</v>
      </c>
      <c r="I690" t="n">
        <v>0</v>
      </c>
      <c r="J690" t="n">
        <v>0</v>
      </c>
      <c r="K690" t="n">
        <v>0</v>
      </c>
      <c r="L690" t="n">
        <v>0</v>
      </c>
      <c r="M690" t="n">
        <v>0</v>
      </c>
      <c r="N690" t="n">
        <v>0</v>
      </c>
      <c r="O690" t="n">
        <v>0</v>
      </c>
      <c r="P690" t="n">
        <v>0</v>
      </c>
      <c r="Q690" t="n">
        <v>0</v>
      </c>
      <c r="R690" s="2" t="inlineStr"/>
    </row>
    <row r="691" ht="15" customHeight="1">
      <c r="A691" t="inlineStr">
        <is>
          <t>A 14876-2019</t>
        </is>
      </c>
      <c r="B691" s="1" t="n">
        <v>43538</v>
      </c>
      <c r="C691" s="1" t="n">
        <v>45190</v>
      </c>
      <c r="D691" t="inlineStr">
        <is>
          <t>SKÅNE LÄN</t>
        </is>
      </c>
      <c r="E691" t="inlineStr">
        <is>
          <t>KLIPPAN</t>
        </is>
      </c>
      <c r="G691" t="n">
        <v>1.1</v>
      </c>
      <c r="H691" t="n">
        <v>0</v>
      </c>
      <c r="I691" t="n">
        <v>0</v>
      </c>
      <c r="J691" t="n">
        <v>0</v>
      </c>
      <c r="K691" t="n">
        <v>0</v>
      </c>
      <c r="L691" t="n">
        <v>0</v>
      </c>
      <c r="M691" t="n">
        <v>0</v>
      </c>
      <c r="N691" t="n">
        <v>0</v>
      </c>
      <c r="O691" t="n">
        <v>0</v>
      </c>
      <c r="P691" t="n">
        <v>0</v>
      </c>
      <c r="Q691" t="n">
        <v>0</v>
      </c>
      <c r="R691" s="2" t="inlineStr"/>
    </row>
    <row r="692" ht="15" customHeight="1">
      <c r="A692" t="inlineStr">
        <is>
          <t>A 15332-2019</t>
        </is>
      </c>
      <c r="B692" s="1" t="n">
        <v>43539</v>
      </c>
      <c r="C692" s="1" t="n">
        <v>45190</v>
      </c>
      <c r="D692" t="inlineStr">
        <is>
          <t>SKÅNE LÄN</t>
        </is>
      </c>
      <c r="E692" t="inlineStr">
        <is>
          <t>PERSTORP</t>
        </is>
      </c>
      <c r="G692" t="n">
        <v>2.9</v>
      </c>
      <c r="H692" t="n">
        <v>0</v>
      </c>
      <c r="I692" t="n">
        <v>0</v>
      </c>
      <c r="J692" t="n">
        <v>0</v>
      </c>
      <c r="K692" t="n">
        <v>0</v>
      </c>
      <c r="L692" t="n">
        <v>0</v>
      </c>
      <c r="M692" t="n">
        <v>0</v>
      </c>
      <c r="N692" t="n">
        <v>0</v>
      </c>
      <c r="O692" t="n">
        <v>0</v>
      </c>
      <c r="P692" t="n">
        <v>0</v>
      </c>
      <c r="Q692" t="n">
        <v>0</v>
      </c>
      <c r="R692" s="2" t="inlineStr"/>
    </row>
    <row r="693" ht="15" customHeight="1">
      <c r="A693" t="inlineStr">
        <is>
          <t>A 15511-2019</t>
        </is>
      </c>
      <c r="B693" s="1" t="n">
        <v>43539</v>
      </c>
      <c r="C693" s="1" t="n">
        <v>45190</v>
      </c>
      <c r="D693" t="inlineStr">
        <is>
          <t>SKÅNE LÄN</t>
        </is>
      </c>
      <c r="E693" t="inlineStr">
        <is>
          <t>HÄSSLEHOLM</t>
        </is>
      </c>
      <c r="G693" t="n">
        <v>0.7</v>
      </c>
      <c r="H693" t="n">
        <v>0</v>
      </c>
      <c r="I693" t="n">
        <v>0</v>
      </c>
      <c r="J693" t="n">
        <v>0</v>
      </c>
      <c r="K693" t="n">
        <v>0</v>
      </c>
      <c r="L693" t="n">
        <v>0</v>
      </c>
      <c r="M693" t="n">
        <v>0</v>
      </c>
      <c r="N693" t="n">
        <v>0</v>
      </c>
      <c r="O693" t="n">
        <v>0</v>
      </c>
      <c r="P693" t="n">
        <v>0</v>
      </c>
      <c r="Q693" t="n">
        <v>0</v>
      </c>
      <c r="R693" s="2" t="inlineStr"/>
    </row>
    <row r="694" ht="15" customHeight="1">
      <c r="A694" t="inlineStr">
        <is>
          <t>A 15526-2019</t>
        </is>
      </c>
      <c r="B694" s="1" t="n">
        <v>43539</v>
      </c>
      <c r="C694" s="1" t="n">
        <v>45190</v>
      </c>
      <c r="D694" t="inlineStr">
        <is>
          <t>SKÅNE LÄN</t>
        </is>
      </c>
      <c r="E694" t="inlineStr">
        <is>
          <t>HÄSSLEHOLM</t>
        </is>
      </c>
      <c r="G694" t="n">
        <v>1.2</v>
      </c>
      <c r="H694" t="n">
        <v>0</v>
      </c>
      <c r="I694" t="n">
        <v>0</v>
      </c>
      <c r="J694" t="n">
        <v>0</v>
      </c>
      <c r="K694" t="n">
        <v>0</v>
      </c>
      <c r="L694" t="n">
        <v>0</v>
      </c>
      <c r="M694" t="n">
        <v>0</v>
      </c>
      <c r="N694" t="n">
        <v>0</v>
      </c>
      <c r="O694" t="n">
        <v>0</v>
      </c>
      <c r="P694" t="n">
        <v>0</v>
      </c>
      <c r="Q694" t="n">
        <v>0</v>
      </c>
      <c r="R694" s="2" t="inlineStr"/>
    </row>
    <row r="695" ht="15" customHeight="1">
      <c r="A695" t="inlineStr">
        <is>
          <t>A 15501-2019</t>
        </is>
      </c>
      <c r="B695" s="1" t="n">
        <v>43539</v>
      </c>
      <c r="C695" s="1" t="n">
        <v>45190</v>
      </c>
      <c r="D695" t="inlineStr">
        <is>
          <t>SKÅNE LÄN</t>
        </is>
      </c>
      <c r="E695" t="inlineStr">
        <is>
          <t>HÄSSLEHOLM</t>
        </is>
      </c>
      <c r="G695" t="n">
        <v>0.8</v>
      </c>
      <c r="H695" t="n">
        <v>0</v>
      </c>
      <c r="I695" t="n">
        <v>0</v>
      </c>
      <c r="J695" t="n">
        <v>0</v>
      </c>
      <c r="K695" t="n">
        <v>0</v>
      </c>
      <c r="L695" t="n">
        <v>0</v>
      </c>
      <c r="M695" t="n">
        <v>0</v>
      </c>
      <c r="N695" t="n">
        <v>0</v>
      </c>
      <c r="O695" t="n">
        <v>0</v>
      </c>
      <c r="P695" t="n">
        <v>0</v>
      </c>
      <c r="Q695" t="n">
        <v>0</v>
      </c>
      <c r="R695" s="2" t="inlineStr"/>
    </row>
    <row r="696" ht="15" customHeight="1">
      <c r="A696" t="inlineStr">
        <is>
          <t>A 15762-2019</t>
        </is>
      </c>
      <c r="B696" s="1" t="n">
        <v>43542</v>
      </c>
      <c r="C696" s="1" t="n">
        <v>45190</v>
      </c>
      <c r="D696" t="inlineStr">
        <is>
          <t>SKÅNE LÄN</t>
        </is>
      </c>
      <c r="E696" t="inlineStr">
        <is>
          <t>TOMELILLA</t>
        </is>
      </c>
      <c r="G696" t="n">
        <v>0.9</v>
      </c>
      <c r="H696" t="n">
        <v>0</v>
      </c>
      <c r="I696" t="n">
        <v>0</v>
      </c>
      <c r="J696" t="n">
        <v>0</v>
      </c>
      <c r="K696" t="n">
        <v>0</v>
      </c>
      <c r="L696" t="n">
        <v>0</v>
      </c>
      <c r="M696" t="n">
        <v>0</v>
      </c>
      <c r="N696" t="n">
        <v>0</v>
      </c>
      <c r="O696" t="n">
        <v>0</v>
      </c>
      <c r="P696" t="n">
        <v>0</v>
      </c>
      <c r="Q696" t="n">
        <v>0</v>
      </c>
      <c r="R696" s="2" t="inlineStr"/>
    </row>
    <row r="697" ht="15" customHeight="1">
      <c r="A697" t="inlineStr">
        <is>
          <t>A 15595-2019</t>
        </is>
      </c>
      <c r="B697" s="1" t="n">
        <v>43543</v>
      </c>
      <c r="C697" s="1" t="n">
        <v>45190</v>
      </c>
      <c r="D697" t="inlineStr">
        <is>
          <t>SKÅNE LÄN</t>
        </is>
      </c>
      <c r="E697" t="inlineStr">
        <is>
          <t>KRISTIANSTAD</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15810-2019</t>
        </is>
      </c>
      <c r="B698" s="1" t="n">
        <v>43543</v>
      </c>
      <c r="C698" s="1" t="n">
        <v>45190</v>
      </c>
      <c r="D698" t="inlineStr">
        <is>
          <t>SKÅNE LÄN</t>
        </is>
      </c>
      <c r="E698" t="inlineStr">
        <is>
          <t>HÄSSLEHOLM</t>
        </is>
      </c>
      <c r="G698" t="n">
        <v>1.8</v>
      </c>
      <c r="H698" t="n">
        <v>0</v>
      </c>
      <c r="I698" t="n">
        <v>0</v>
      </c>
      <c r="J698" t="n">
        <v>0</v>
      </c>
      <c r="K698" t="n">
        <v>0</v>
      </c>
      <c r="L698" t="n">
        <v>0</v>
      </c>
      <c r="M698" t="n">
        <v>0</v>
      </c>
      <c r="N698" t="n">
        <v>0</v>
      </c>
      <c r="O698" t="n">
        <v>0</v>
      </c>
      <c r="P698" t="n">
        <v>0</v>
      </c>
      <c r="Q698" t="n">
        <v>0</v>
      </c>
      <c r="R698" s="2" t="inlineStr"/>
    </row>
    <row r="699" ht="15" customHeight="1">
      <c r="A699" t="inlineStr">
        <is>
          <t>A 15609-2019</t>
        </is>
      </c>
      <c r="B699" s="1" t="n">
        <v>43543</v>
      </c>
      <c r="C699" s="1" t="n">
        <v>45190</v>
      </c>
      <c r="D699" t="inlineStr">
        <is>
          <t>SKÅNE LÄN</t>
        </is>
      </c>
      <c r="E699" t="inlineStr">
        <is>
          <t>KRISTIANSTAD</t>
        </is>
      </c>
      <c r="F699" t="inlineStr">
        <is>
          <t>Övriga Aktiebolag</t>
        </is>
      </c>
      <c r="G699" t="n">
        <v>1.9</v>
      </c>
      <c r="H699" t="n">
        <v>0</v>
      </c>
      <c r="I699" t="n">
        <v>0</v>
      </c>
      <c r="J699" t="n">
        <v>0</v>
      </c>
      <c r="K699" t="n">
        <v>0</v>
      </c>
      <c r="L699" t="n">
        <v>0</v>
      </c>
      <c r="M699" t="n">
        <v>0</v>
      </c>
      <c r="N699" t="n">
        <v>0</v>
      </c>
      <c r="O699" t="n">
        <v>0</v>
      </c>
      <c r="P699" t="n">
        <v>0</v>
      </c>
      <c r="Q699" t="n">
        <v>0</v>
      </c>
      <c r="R699" s="2" t="inlineStr"/>
    </row>
    <row r="700" ht="15" customHeight="1">
      <c r="A700" t="inlineStr">
        <is>
          <t>A 15812-2019</t>
        </is>
      </c>
      <c r="B700" s="1" t="n">
        <v>43543</v>
      </c>
      <c r="C700" s="1" t="n">
        <v>45190</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15987-2019</t>
        </is>
      </c>
      <c r="B701" s="1" t="n">
        <v>43543</v>
      </c>
      <c r="C701" s="1" t="n">
        <v>45190</v>
      </c>
      <c r="D701" t="inlineStr">
        <is>
          <t>SKÅNE LÄN</t>
        </is>
      </c>
      <c r="E701" t="inlineStr">
        <is>
          <t>HÄSSLEHOLM</t>
        </is>
      </c>
      <c r="G701" t="n">
        <v>0.4</v>
      </c>
      <c r="H701" t="n">
        <v>0</v>
      </c>
      <c r="I701" t="n">
        <v>0</v>
      </c>
      <c r="J701" t="n">
        <v>0</v>
      </c>
      <c r="K701" t="n">
        <v>0</v>
      </c>
      <c r="L701" t="n">
        <v>0</v>
      </c>
      <c r="M701" t="n">
        <v>0</v>
      </c>
      <c r="N701" t="n">
        <v>0</v>
      </c>
      <c r="O701" t="n">
        <v>0</v>
      </c>
      <c r="P701" t="n">
        <v>0</v>
      </c>
      <c r="Q701" t="n">
        <v>0</v>
      </c>
      <c r="R701" s="2" t="inlineStr"/>
    </row>
    <row r="702" ht="15" customHeight="1">
      <c r="A702" t="inlineStr">
        <is>
          <t>A 15956-2019</t>
        </is>
      </c>
      <c r="B702" s="1" t="n">
        <v>43544</v>
      </c>
      <c r="C702" s="1" t="n">
        <v>45190</v>
      </c>
      <c r="D702" t="inlineStr">
        <is>
          <t>SKÅNE LÄN</t>
        </is>
      </c>
      <c r="E702" t="inlineStr">
        <is>
          <t>LUND</t>
        </is>
      </c>
      <c r="G702" t="n">
        <v>6.7</v>
      </c>
      <c r="H702" t="n">
        <v>0</v>
      </c>
      <c r="I702" t="n">
        <v>0</v>
      </c>
      <c r="J702" t="n">
        <v>0</v>
      </c>
      <c r="K702" t="n">
        <v>0</v>
      </c>
      <c r="L702" t="n">
        <v>0</v>
      </c>
      <c r="M702" t="n">
        <v>0</v>
      </c>
      <c r="N702" t="n">
        <v>0</v>
      </c>
      <c r="O702" t="n">
        <v>0</v>
      </c>
      <c r="P702" t="n">
        <v>0</v>
      </c>
      <c r="Q702" t="n">
        <v>0</v>
      </c>
      <c r="R702" s="2" t="inlineStr"/>
    </row>
    <row r="703" ht="15" customHeight="1">
      <c r="A703" t="inlineStr">
        <is>
          <t>A 15951-2019</t>
        </is>
      </c>
      <c r="B703" s="1" t="n">
        <v>43544</v>
      </c>
      <c r="C703" s="1" t="n">
        <v>45190</v>
      </c>
      <c r="D703" t="inlineStr">
        <is>
          <t>SKÅNE LÄN</t>
        </is>
      </c>
      <c r="E703" t="inlineStr">
        <is>
          <t>LUND</t>
        </is>
      </c>
      <c r="G703" t="n">
        <v>6.6</v>
      </c>
      <c r="H703" t="n">
        <v>0</v>
      </c>
      <c r="I703" t="n">
        <v>0</v>
      </c>
      <c r="J703" t="n">
        <v>0</v>
      </c>
      <c r="K703" t="n">
        <v>0</v>
      </c>
      <c r="L703" t="n">
        <v>0</v>
      </c>
      <c r="M703" t="n">
        <v>0</v>
      </c>
      <c r="N703" t="n">
        <v>0</v>
      </c>
      <c r="O703" t="n">
        <v>0</v>
      </c>
      <c r="P703" t="n">
        <v>0</v>
      </c>
      <c r="Q703" t="n">
        <v>0</v>
      </c>
      <c r="R703" s="2" t="inlineStr"/>
    </row>
    <row r="704" ht="15" customHeight="1">
      <c r="A704" t="inlineStr">
        <is>
          <t>A 16111-2019</t>
        </is>
      </c>
      <c r="B704" s="1" t="n">
        <v>43544</v>
      </c>
      <c r="C704" s="1" t="n">
        <v>45190</v>
      </c>
      <c r="D704" t="inlineStr">
        <is>
          <t>SKÅNE LÄN</t>
        </is>
      </c>
      <c r="E704" t="inlineStr">
        <is>
          <t>OSBY</t>
        </is>
      </c>
      <c r="G704" t="n">
        <v>2.7</v>
      </c>
      <c r="H704" t="n">
        <v>0</v>
      </c>
      <c r="I704" t="n">
        <v>0</v>
      </c>
      <c r="J704" t="n">
        <v>0</v>
      </c>
      <c r="K704" t="n">
        <v>0</v>
      </c>
      <c r="L704" t="n">
        <v>0</v>
      </c>
      <c r="M704" t="n">
        <v>0</v>
      </c>
      <c r="N704" t="n">
        <v>0</v>
      </c>
      <c r="O704" t="n">
        <v>0</v>
      </c>
      <c r="P704" t="n">
        <v>0</v>
      </c>
      <c r="Q704" t="n">
        <v>0</v>
      </c>
      <c r="R704" s="2" t="inlineStr"/>
    </row>
    <row r="705" ht="15" customHeight="1">
      <c r="A705" t="inlineStr">
        <is>
          <t>A 16178-2019</t>
        </is>
      </c>
      <c r="B705" s="1" t="n">
        <v>43545</v>
      </c>
      <c r="C705" s="1" t="n">
        <v>45190</v>
      </c>
      <c r="D705" t="inlineStr">
        <is>
          <t>SKÅNE LÄN</t>
        </is>
      </c>
      <c r="E705" t="inlineStr">
        <is>
          <t>KLIPPAN</t>
        </is>
      </c>
      <c r="G705" t="n">
        <v>2.7</v>
      </c>
      <c r="H705" t="n">
        <v>0</v>
      </c>
      <c r="I705" t="n">
        <v>0</v>
      </c>
      <c r="J705" t="n">
        <v>0</v>
      </c>
      <c r="K705" t="n">
        <v>0</v>
      </c>
      <c r="L705" t="n">
        <v>0</v>
      </c>
      <c r="M705" t="n">
        <v>0</v>
      </c>
      <c r="N705" t="n">
        <v>0</v>
      </c>
      <c r="O705" t="n">
        <v>0</v>
      </c>
      <c r="P705" t="n">
        <v>0</v>
      </c>
      <c r="Q705" t="n">
        <v>0</v>
      </c>
      <c r="R705" s="2" t="inlineStr"/>
    </row>
    <row r="706" ht="15" customHeight="1">
      <c r="A706" t="inlineStr">
        <is>
          <t>A 16380-2019</t>
        </is>
      </c>
      <c r="B706" s="1" t="n">
        <v>43545</v>
      </c>
      <c r="C706" s="1" t="n">
        <v>45190</v>
      </c>
      <c r="D706" t="inlineStr">
        <is>
          <t>SKÅNE LÄN</t>
        </is>
      </c>
      <c r="E706" t="inlineStr">
        <is>
          <t>KRISTIANSTAD</t>
        </is>
      </c>
      <c r="G706" t="n">
        <v>8.4</v>
      </c>
      <c r="H706" t="n">
        <v>0</v>
      </c>
      <c r="I706" t="n">
        <v>0</v>
      </c>
      <c r="J706" t="n">
        <v>0</v>
      </c>
      <c r="K706" t="n">
        <v>0</v>
      </c>
      <c r="L706" t="n">
        <v>0</v>
      </c>
      <c r="M706" t="n">
        <v>0</v>
      </c>
      <c r="N706" t="n">
        <v>0</v>
      </c>
      <c r="O706" t="n">
        <v>0</v>
      </c>
      <c r="P706" t="n">
        <v>0</v>
      </c>
      <c r="Q706" t="n">
        <v>0</v>
      </c>
      <c r="R706" s="2" t="inlineStr"/>
    </row>
    <row r="707" ht="15" customHeight="1">
      <c r="A707" t="inlineStr">
        <is>
          <t>A 16176-2019</t>
        </is>
      </c>
      <c r="B707" s="1" t="n">
        <v>43545</v>
      </c>
      <c r="C707" s="1" t="n">
        <v>45190</v>
      </c>
      <c r="D707" t="inlineStr">
        <is>
          <t>SKÅNE LÄN</t>
        </is>
      </c>
      <c r="E707" t="inlineStr">
        <is>
          <t>ÖSTRA GÖINGE</t>
        </is>
      </c>
      <c r="G707" t="n">
        <v>2</v>
      </c>
      <c r="H707" t="n">
        <v>0</v>
      </c>
      <c r="I707" t="n">
        <v>0</v>
      </c>
      <c r="J707" t="n">
        <v>0</v>
      </c>
      <c r="K707" t="n">
        <v>0</v>
      </c>
      <c r="L707" t="n">
        <v>0</v>
      </c>
      <c r="M707" t="n">
        <v>0</v>
      </c>
      <c r="N707" t="n">
        <v>0</v>
      </c>
      <c r="O707" t="n">
        <v>0</v>
      </c>
      <c r="P707" t="n">
        <v>0</v>
      </c>
      <c r="Q707" t="n">
        <v>0</v>
      </c>
      <c r="R707" s="2" t="inlineStr"/>
    </row>
    <row r="708" ht="15" customHeight="1">
      <c r="A708" t="inlineStr">
        <is>
          <t>A 16302-2019</t>
        </is>
      </c>
      <c r="B708" s="1" t="n">
        <v>43545</v>
      </c>
      <c r="C708" s="1" t="n">
        <v>45190</v>
      </c>
      <c r="D708" t="inlineStr">
        <is>
          <t>SKÅNE LÄN</t>
        </is>
      </c>
      <c r="E708" t="inlineStr">
        <is>
          <t>KRISTIANSTAD</t>
        </is>
      </c>
      <c r="G708" t="n">
        <v>1.2</v>
      </c>
      <c r="H708" t="n">
        <v>0</v>
      </c>
      <c r="I708" t="n">
        <v>0</v>
      </c>
      <c r="J708" t="n">
        <v>0</v>
      </c>
      <c r="K708" t="n">
        <v>0</v>
      </c>
      <c r="L708" t="n">
        <v>0</v>
      </c>
      <c r="M708" t="n">
        <v>0</v>
      </c>
      <c r="N708" t="n">
        <v>0</v>
      </c>
      <c r="O708" t="n">
        <v>0</v>
      </c>
      <c r="P708" t="n">
        <v>0</v>
      </c>
      <c r="Q708" t="n">
        <v>0</v>
      </c>
      <c r="R708" s="2" t="inlineStr"/>
    </row>
    <row r="709" ht="15" customHeight="1">
      <c r="A709" t="inlineStr">
        <is>
          <t>A 16822-2019</t>
        </is>
      </c>
      <c r="B709" s="1" t="n">
        <v>43549</v>
      </c>
      <c r="C709" s="1" t="n">
        <v>45190</v>
      </c>
      <c r="D709" t="inlineStr">
        <is>
          <t>SKÅNE LÄN</t>
        </is>
      </c>
      <c r="E709" t="inlineStr">
        <is>
          <t>OSBY</t>
        </is>
      </c>
      <c r="G709" t="n">
        <v>1</v>
      </c>
      <c r="H709" t="n">
        <v>0</v>
      </c>
      <c r="I709" t="n">
        <v>0</v>
      </c>
      <c r="J709" t="n">
        <v>0</v>
      </c>
      <c r="K709" t="n">
        <v>0</v>
      </c>
      <c r="L709" t="n">
        <v>0</v>
      </c>
      <c r="M709" t="n">
        <v>0</v>
      </c>
      <c r="N709" t="n">
        <v>0</v>
      </c>
      <c r="O709" t="n">
        <v>0</v>
      </c>
      <c r="P709" t="n">
        <v>0</v>
      </c>
      <c r="Q709" t="n">
        <v>0</v>
      </c>
      <c r="R709" s="2" t="inlineStr"/>
    </row>
    <row r="710" ht="15" customHeight="1">
      <c r="A710" t="inlineStr">
        <is>
          <t>A 16759-2019</t>
        </is>
      </c>
      <c r="B710" s="1" t="n">
        <v>43549</v>
      </c>
      <c r="C710" s="1" t="n">
        <v>45190</v>
      </c>
      <c r="D710" t="inlineStr">
        <is>
          <t>SKÅNE LÄN</t>
        </is>
      </c>
      <c r="E710" t="inlineStr">
        <is>
          <t>ÄNGELHOLM</t>
        </is>
      </c>
      <c r="G710" t="n">
        <v>7.1</v>
      </c>
      <c r="H710" t="n">
        <v>0</v>
      </c>
      <c r="I710" t="n">
        <v>0</v>
      </c>
      <c r="J710" t="n">
        <v>0</v>
      </c>
      <c r="K710" t="n">
        <v>0</v>
      </c>
      <c r="L710" t="n">
        <v>0</v>
      </c>
      <c r="M710" t="n">
        <v>0</v>
      </c>
      <c r="N710" t="n">
        <v>0</v>
      </c>
      <c r="O710" t="n">
        <v>0</v>
      </c>
      <c r="P710" t="n">
        <v>0</v>
      </c>
      <c r="Q710" t="n">
        <v>0</v>
      </c>
      <c r="R710" s="2" t="inlineStr"/>
    </row>
    <row r="711" ht="15" customHeight="1">
      <c r="A711" t="inlineStr">
        <is>
          <t>A 17147-2019</t>
        </is>
      </c>
      <c r="B711" s="1" t="n">
        <v>43549</v>
      </c>
      <c r="C711" s="1" t="n">
        <v>45190</v>
      </c>
      <c r="D711" t="inlineStr">
        <is>
          <t>SKÅNE LÄN</t>
        </is>
      </c>
      <c r="E711" t="inlineStr">
        <is>
          <t>HÖÖR</t>
        </is>
      </c>
      <c r="G711" t="n">
        <v>16</v>
      </c>
      <c r="H711" t="n">
        <v>0</v>
      </c>
      <c r="I711" t="n">
        <v>0</v>
      </c>
      <c r="J711" t="n">
        <v>0</v>
      </c>
      <c r="K711" t="n">
        <v>0</v>
      </c>
      <c r="L711" t="n">
        <v>0</v>
      </c>
      <c r="M711" t="n">
        <v>0</v>
      </c>
      <c r="N711" t="n">
        <v>0</v>
      </c>
      <c r="O711" t="n">
        <v>0</v>
      </c>
      <c r="P711" t="n">
        <v>0</v>
      </c>
      <c r="Q711" t="n">
        <v>0</v>
      </c>
      <c r="R711" s="2" t="inlineStr"/>
    </row>
    <row r="712" ht="15" customHeight="1">
      <c r="A712" t="inlineStr">
        <is>
          <t>A 17219-2019</t>
        </is>
      </c>
      <c r="B712" s="1" t="n">
        <v>43550</v>
      </c>
      <c r="C712" s="1" t="n">
        <v>45190</v>
      </c>
      <c r="D712" t="inlineStr">
        <is>
          <t>SKÅNE LÄN</t>
        </is>
      </c>
      <c r="E712" t="inlineStr">
        <is>
          <t>PERSTORP</t>
        </is>
      </c>
      <c r="F712" t="inlineStr">
        <is>
          <t>Övriga Aktiebolag</t>
        </is>
      </c>
      <c r="G712" t="n">
        <v>1.1</v>
      </c>
      <c r="H712" t="n">
        <v>0</v>
      </c>
      <c r="I712" t="n">
        <v>0</v>
      </c>
      <c r="J712" t="n">
        <v>0</v>
      </c>
      <c r="K712" t="n">
        <v>0</v>
      </c>
      <c r="L712" t="n">
        <v>0</v>
      </c>
      <c r="M712" t="n">
        <v>0</v>
      </c>
      <c r="N712" t="n">
        <v>0</v>
      </c>
      <c r="O712" t="n">
        <v>0</v>
      </c>
      <c r="P712" t="n">
        <v>0</v>
      </c>
      <c r="Q712" t="n">
        <v>0</v>
      </c>
      <c r="R712" s="2" t="inlineStr"/>
    </row>
    <row r="713" ht="15" customHeight="1">
      <c r="A713" t="inlineStr">
        <is>
          <t>A 17377-2019</t>
        </is>
      </c>
      <c r="B713" s="1" t="n">
        <v>43550</v>
      </c>
      <c r="C713" s="1" t="n">
        <v>45190</v>
      </c>
      <c r="D713" t="inlineStr">
        <is>
          <t>SKÅNE LÄN</t>
        </is>
      </c>
      <c r="E713" t="inlineStr">
        <is>
          <t>SVALÖV</t>
        </is>
      </c>
      <c r="G713" t="n">
        <v>1</v>
      </c>
      <c r="H713" t="n">
        <v>0</v>
      </c>
      <c r="I713" t="n">
        <v>0</v>
      </c>
      <c r="J713" t="n">
        <v>0</v>
      </c>
      <c r="K713" t="n">
        <v>0</v>
      </c>
      <c r="L713" t="n">
        <v>0</v>
      </c>
      <c r="M713" t="n">
        <v>0</v>
      </c>
      <c r="N713" t="n">
        <v>0</v>
      </c>
      <c r="O713" t="n">
        <v>0</v>
      </c>
      <c r="P713" t="n">
        <v>0</v>
      </c>
      <c r="Q713" t="n">
        <v>0</v>
      </c>
      <c r="R713" s="2" t="inlineStr"/>
    </row>
    <row r="714" ht="15" customHeight="1">
      <c r="A714" t="inlineStr">
        <is>
          <t>A 17010-2019</t>
        </is>
      </c>
      <c r="B714" s="1" t="n">
        <v>43550</v>
      </c>
      <c r="C714" s="1" t="n">
        <v>45190</v>
      </c>
      <c r="D714" t="inlineStr">
        <is>
          <t>SKÅNE LÄN</t>
        </is>
      </c>
      <c r="E714" t="inlineStr">
        <is>
          <t>KRISTIANSTAD</t>
        </is>
      </c>
      <c r="G714" t="n">
        <v>10.5</v>
      </c>
      <c r="H714" t="n">
        <v>0</v>
      </c>
      <c r="I714" t="n">
        <v>0</v>
      </c>
      <c r="J714" t="n">
        <v>0</v>
      </c>
      <c r="K714" t="n">
        <v>0</v>
      </c>
      <c r="L714" t="n">
        <v>0</v>
      </c>
      <c r="M714" t="n">
        <v>0</v>
      </c>
      <c r="N714" t="n">
        <v>0</v>
      </c>
      <c r="O714" t="n">
        <v>0</v>
      </c>
      <c r="P714" t="n">
        <v>0</v>
      </c>
      <c r="Q714" t="n">
        <v>0</v>
      </c>
      <c r="R714" s="2" t="inlineStr"/>
    </row>
    <row r="715" ht="15" customHeight="1">
      <c r="A715" t="inlineStr">
        <is>
          <t>A 17315-2019</t>
        </is>
      </c>
      <c r="B715" s="1" t="n">
        <v>43550</v>
      </c>
      <c r="C715" s="1" t="n">
        <v>45190</v>
      </c>
      <c r="D715" t="inlineStr">
        <is>
          <t>SKÅNE LÄN</t>
        </is>
      </c>
      <c r="E715" t="inlineStr">
        <is>
          <t>SVALÖV</t>
        </is>
      </c>
      <c r="G715" t="n">
        <v>9.1</v>
      </c>
      <c r="H715" t="n">
        <v>0</v>
      </c>
      <c r="I715" t="n">
        <v>0</v>
      </c>
      <c r="J715" t="n">
        <v>0</v>
      </c>
      <c r="K715" t="n">
        <v>0</v>
      </c>
      <c r="L715" t="n">
        <v>0</v>
      </c>
      <c r="M715" t="n">
        <v>0</v>
      </c>
      <c r="N715" t="n">
        <v>0</v>
      </c>
      <c r="O715" t="n">
        <v>0</v>
      </c>
      <c r="P715" t="n">
        <v>0</v>
      </c>
      <c r="Q715" t="n">
        <v>0</v>
      </c>
      <c r="R715" s="2" t="inlineStr"/>
    </row>
    <row r="716" ht="15" customHeight="1">
      <c r="A716" t="inlineStr">
        <is>
          <t>A 17370-2019</t>
        </is>
      </c>
      <c r="B716" s="1" t="n">
        <v>43550</v>
      </c>
      <c r="C716" s="1" t="n">
        <v>45190</v>
      </c>
      <c r="D716" t="inlineStr">
        <is>
          <t>SKÅNE LÄN</t>
        </is>
      </c>
      <c r="E716" t="inlineStr">
        <is>
          <t>SVALÖV</t>
        </is>
      </c>
      <c r="G716" t="n">
        <v>13.8</v>
      </c>
      <c r="H716" t="n">
        <v>0</v>
      </c>
      <c r="I716" t="n">
        <v>0</v>
      </c>
      <c r="J716" t="n">
        <v>0</v>
      </c>
      <c r="K716" t="n">
        <v>0</v>
      </c>
      <c r="L716" t="n">
        <v>0</v>
      </c>
      <c r="M716" t="n">
        <v>0</v>
      </c>
      <c r="N716" t="n">
        <v>0</v>
      </c>
      <c r="O716" t="n">
        <v>0</v>
      </c>
      <c r="P716" t="n">
        <v>0</v>
      </c>
      <c r="Q716" t="n">
        <v>0</v>
      </c>
      <c r="R716" s="2" t="inlineStr"/>
    </row>
    <row r="717" ht="15" customHeight="1">
      <c r="A717" t="inlineStr">
        <is>
          <t>A 16997-2019</t>
        </is>
      </c>
      <c r="B717" s="1" t="n">
        <v>43550</v>
      </c>
      <c r="C717" s="1" t="n">
        <v>45190</v>
      </c>
      <c r="D717" t="inlineStr">
        <is>
          <t>SKÅNE LÄN</t>
        </is>
      </c>
      <c r="E717" t="inlineStr">
        <is>
          <t>ÖSTRA GÖINGE</t>
        </is>
      </c>
      <c r="G717" t="n">
        <v>0.5</v>
      </c>
      <c r="H717" t="n">
        <v>0</v>
      </c>
      <c r="I717" t="n">
        <v>0</v>
      </c>
      <c r="J717" t="n">
        <v>0</v>
      </c>
      <c r="K717" t="n">
        <v>0</v>
      </c>
      <c r="L717" t="n">
        <v>0</v>
      </c>
      <c r="M717" t="n">
        <v>0</v>
      </c>
      <c r="N717" t="n">
        <v>0</v>
      </c>
      <c r="O717" t="n">
        <v>0</v>
      </c>
      <c r="P717" t="n">
        <v>0</v>
      </c>
      <c r="Q717" t="n">
        <v>0</v>
      </c>
      <c r="R717" s="2" t="inlineStr"/>
    </row>
    <row r="718" ht="15" customHeight="1">
      <c r="A718" t="inlineStr">
        <is>
          <t>A 17366-2019</t>
        </is>
      </c>
      <c r="B718" s="1" t="n">
        <v>43550</v>
      </c>
      <c r="C718" s="1" t="n">
        <v>45190</v>
      </c>
      <c r="D718" t="inlineStr">
        <is>
          <t>SKÅNE LÄN</t>
        </is>
      </c>
      <c r="E718" t="inlineStr">
        <is>
          <t>SVALÖV</t>
        </is>
      </c>
      <c r="G718" t="n">
        <v>3.1</v>
      </c>
      <c r="H718" t="n">
        <v>0</v>
      </c>
      <c r="I718" t="n">
        <v>0</v>
      </c>
      <c r="J718" t="n">
        <v>0</v>
      </c>
      <c r="K718" t="n">
        <v>0</v>
      </c>
      <c r="L718" t="n">
        <v>0</v>
      </c>
      <c r="M718" t="n">
        <v>0</v>
      </c>
      <c r="N718" t="n">
        <v>0</v>
      </c>
      <c r="O718" t="n">
        <v>0</v>
      </c>
      <c r="P718" t="n">
        <v>0</v>
      </c>
      <c r="Q718" t="n">
        <v>0</v>
      </c>
      <c r="R718" s="2" t="inlineStr"/>
    </row>
    <row r="719" ht="15" customHeight="1">
      <c r="A719" t="inlineStr">
        <is>
          <t>A 17327-2019</t>
        </is>
      </c>
      <c r="B719" s="1" t="n">
        <v>43551</v>
      </c>
      <c r="C719" s="1" t="n">
        <v>45190</v>
      </c>
      <c r="D719" t="inlineStr">
        <is>
          <t>SKÅNE LÄN</t>
        </is>
      </c>
      <c r="E719" t="inlineStr">
        <is>
          <t>KRISTIANSTAD</t>
        </is>
      </c>
      <c r="G719" t="n">
        <v>2</v>
      </c>
      <c r="H719" t="n">
        <v>0</v>
      </c>
      <c r="I719" t="n">
        <v>0</v>
      </c>
      <c r="J719" t="n">
        <v>0</v>
      </c>
      <c r="K719" t="n">
        <v>0</v>
      </c>
      <c r="L719" t="n">
        <v>0</v>
      </c>
      <c r="M719" t="n">
        <v>0</v>
      </c>
      <c r="N719" t="n">
        <v>0</v>
      </c>
      <c r="O719" t="n">
        <v>0</v>
      </c>
      <c r="P719" t="n">
        <v>0</v>
      </c>
      <c r="Q719" t="n">
        <v>0</v>
      </c>
      <c r="R719" s="2" t="inlineStr"/>
    </row>
    <row r="720" ht="15" customHeight="1">
      <c r="A720" t="inlineStr">
        <is>
          <t>A 17339-2019</t>
        </is>
      </c>
      <c r="B720" s="1" t="n">
        <v>43551</v>
      </c>
      <c r="C720" s="1" t="n">
        <v>45190</v>
      </c>
      <c r="D720" t="inlineStr">
        <is>
          <t>SKÅNE LÄN</t>
        </is>
      </c>
      <c r="E720" t="inlineStr">
        <is>
          <t>ÖRKELLJUNGA</t>
        </is>
      </c>
      <c r="G720" t="n">
        <v>0.8</v>
      </c>
      <c r="H720" t="n">
        <v>0</v>
      </c>
      <c r="I720" t="n">
        <v>0</v>
      </c>
      <c r="J720" t="n">
        <v>0</v>
      </c>
      <c r="K720" t="n">
        <v>0</v>
      </c>
      <c r="L720" t="n">
        <v>0</v>
      </c>
      <c r="M720" t="n">
        <v>0</v>
      </c>
      <c r="N720" t="n">
        <v>0</v>
      </c>
      <c r="O720" t="n">
        <v>0</v>
      </c>
      <c r="P720" t="n">
        <v>0</v>
      </c>
      <c r="Q720" t="n">
        <v>0</v>
      </c>
      <c r="R720" s="2" t="inlineStr"/>
    </row>
    <row r="721" ht="15" customHeight="1">
      <c r="A721" t="inlineStr">
        <is>
          <t>A 17323-2019</t>
        </is>
      </c>
      <c r="B721" s="1" t="n">
        <v>43551</v>
      </c>
      <c r="C721" s="1" t="n">
        <v>45190</v>
      </c>
      <c r="D721" t="inlineStr">
        <is>
          <t>SKÅNE LÄN</t>
        </is>
      </c>
      <c r="E721" t="inlineStr">
        <is>
          <t>HÄSSLEHOLM</t>
        </is>
      </c>
      <c r="G721" t="n">
        <v>1</v>
      </c>
      <c r="H721" t="n">
        <v>0</v>
      </c>
      <c r="I721" t="n">
        <v>0</v>
      </c>
      <c r="J721" t="n">
        <v>0</v>
      </c>
      <c r="K721" t="n">
        <v>0</v>
      </c>
      <c r="L721" t="n">
        <v>0</v>
      </c>
      <c r="M721" t="n">
        <v>0</v>
      </c>
      <c r="N721" t="n">
        <v>0</v>
      </c>
      <c r="O721" t="n">
        <v>0</v>
      </c>
      <c r="P721" t="n">
        <v>0</v>
      </c>
      <c r="Q721" t="n">
        <v>0</v>
      </c>
      <c r="R721" s="2" t="inlineStr"/>
    </row>
    <row r="722" ht="15" customHeight="1">
      <c r="A722" t="inlineStr">
        <is>
          <t>A 17433-2019</t>
        </is>
      </c>
      <c r="B722" s="1" t="n">
        <v>43552</v>
      </c>
      <c r="C722" s="1" t="n">
        <v>45190</v>
      </c>
      <c r="D722" t="inlineStr">
        <is>
          <t>SKÅNE LÄN</t>
        </is>
      </c>
      <c r="E722" t="inlineStr">
        <is>
          <t>SJÖBO</t>
        </is>
      </c>
      <c r="G722" t="n">
        <v>5.1</v>
      </c>
      <c r="H722" t="n">
        <v>0</v>
      </c>
      <c r="I722" t="n">
        <v>0</v>
      </c>
      <c r="J722" t="n">
        <v>0</v>
      </c>
      <c r="K722" t="n">
        <v>0</v>
      </c>
      <c r="L722" t="n">
        <v>0</v>
      </c>
      <c r="M722" t="n">
        <v>0</v>
      </c>
      <c r="N722" t="n">
        <v>0</v>
      </c>
      <c r="O722" t="n">
        <v>0</v>
      </c>
      <c r="P722" t="n">
        <v>0</v>
      </c>
      <c r="Q722" t="n">
        <v>0</v>
      </c>
      <c r="R722" s="2" t="inlineStr"/>
    </row>
    <row r="723" ht="15" customHeight="1">
      <c r="A723" t="inlineStr">
        <is>
          <t>A 17922-2019</t>
        </is>
      </c>
      <c r="B723" s="1" t="n">
        <v>43553</v>
      </c>
      <c r="C723" s="1" t="n">
        <v>45190</v>
      </c>
      <c r="D723" t="inlineStr">
        <is>
          <t>SKÅNE LÄN</t>
        </is>
      </c>
      <c r="E723" t="inlineStr">
        <is>
          <t>HÖÖR</t>
        </is>
      </c>
      <c r="G723" t="n">
        <v>1.5</v>
      </c>
      <c r="H723" t="n">
        <v>0</v>
      </c>
      <c r="I723" t="n">
        <v>0</v>
      </c>
      <c r="J723" t="n">
        <v>0</v>
      </c>
      <c r="K723" t="n">
        <v>0</v>
      </c>
      <c r="L723" t="n">
        <v>0</v>
      </c>
      <c r="M723" t="n">
        <v>0</v>
      </c>
      <c r="N723" t="n">
        <v>0</v>
      </c>
      <c r="O723" t="n">
        <v>0</v>
      </c>
      <c r="P723" t="n">
        <v>0</v>
      </c>
      <c r="Q723" t="n">
        <v>0</v>
      </c>
      <c r="R723" s="2" t="inlineStr"/>
    </row>
    <row r="724" ht="15" customHeight="1">
      <c r="A724" t="inlineStr">
        <is>
          <t>A 17937-2019</t>
        </is>
      </c>
      <c r="B724" s="1" t="n">
        <v>43553</v>
      </c>
      <c r="C724" s="1" t="n">
        <v>45190</v>
      </c>
      <c r="D724" t="inlineStr">
        <is>
          <t>SKÅNE LÄN</t>
        </is>
      </c>
      <c r="E724" t="inlineStr">
        <is>
          <t>TOMELILLA</t>
        </is>
      </c>
      <c r="G724" t="n">
        <v>1.7</v>
      </c>
      <c r="H724" t="n">
        <v>0</v>
      </c>
      <c r="I724" t="n">
        <v>0</v>
      </c>
      <c r="J724" t="n">
        <v>0</v>
      </c>
      <c r="K724" t="n">
        <v>0</v>
      </c>
      <c r="L724" t="n">
        <v>0</v>
      </c>
      <c r="M724" t="n">
        <v>0</v>
      </c>
      <c r="N724" t="n">
        <v>0</v>
      </c>
      <c r="O724" t="n">
        <v>0</v>
      </c>
      <c r="P724" t="n">
        <v>0</v>
      </c>
      <c r="Q724" t="n">
        <v>0</v>
      </c>
      <c r="R724" s="2" t="inlineStr"/>
    </row>
    <row r="725" ht="15" customHeight="1">
      <c r="A725" t="inlineStr">
        <is>
          <t>A 17473-2019</t>
        </is>
      </c>
      <c r="B725" s="1" t="n">
        <v>43553</v>
      </c>
      <c r="C725" s="1" t="n">
        <v>45190</v>
      </c>
      <c r="D725" t="inlineStr">
        <is>
          <t>SKÅNE LÄN</t>
        </is>
      </c>
      <c r="E725" t="inlineStr">
        <is>
          <t>OSBY</t>
        </is>
      </c>
      <c r="G725" t="n">
        <v>6</v>
      </c>
      <c r="H725" t="n">
        <v>0</v>
      </c>
      <c r="I725" t="n">
        <v>0</v>
      </c>
      <c r="J725" t="n">
        <v>0</v>
      </c>
      <c r="K725" t="n">
        <v>0</v>
      </c>
      <c r="L725" t="n">
        <v>0</v>
      </c>
      <c r="M725" t="n">
        <v>0</v>
      </c>
      <c r="N725" t="n">
        <v>0</v>
      </c>
      <c r="O725" t="n">
        <v>0</v>
      </c>
      <c r="P725" t="n">
        <v>0</v>
      </c>
      <c r="Q725" t="n">
        <v>0</v>
      </c>
      <c r="R725" s="2" t="inlineStr"/>
    </row>
    <row r="726" ht="15" customHeight="1">
      <c r="A726" t="inlineStr">
        <is>
          <t>A 17463-2019</t>
        </is>
      </c>
      <c r="B726" s="1" t="n">
        <v>43553</v>
      </c>
      <c r="C726" s="1" t="n">
        <v>45190</v>
      </c>
      <c r="D726" t="inlineStr">
        <is>
          <t>SKÅNE LÄN</t>
        </is>
      </c>
      <c r="E726" t="inlineStr">
        <is>
          <t>OSBY</t>
        </is>
      </c>
      <c r="G726" t="n">
        <v>3</v>
      </c>
      <c r="H726" t="n">
        <v>0</v>
      </c>
      <c r="I726" t="n">
        <v>0</v>
      </c>
      <c r="J726" t="n">
        <v>0</v>
      </c>
      <c r="K726" t="n">
        <v>0</v>
      </c>
      <c r="L726" t="n">
        <v>0</v>
      </c>
      <c r="M726" t="n">
        <v>0</v>
      </c>
      <c r="N726" t="n">
        <v>0</v>
      </c>
      <c r="O726" t="n">
        <v>0</v>
      </c>
      <c r="P726" t="n">
        <v>0</v>
      </c>
      <c r="Q726" t="n">
        <v>0</v>
      </c>
      <c r="R726" s="2" t="inlineStr"/>
    </row>
    <row r="727" ht="15" customHeight="1">
      <c r="A727" t="inlineStr">
        <is>
          <t>A 18175-2019</t>
        </is>
      </c>
      <c r="B727" s="1" t="n">
        <v>43556</v>
      </c>
      <c r="C727" s="1" t="n">
        <v>45190</v>
      </c>
      <c r="D727" t="inlineStr">
        <is>
          <t>SKÅNE LÄN</t>
        </is>
      </c>
      <c r="E727" t="inlineStr">
        <is>
          <t>ÅSTORP</t>
        </is>
      </c>
      <c r="G727" t="n">
        <v>5.9</v>
      </c>
      <c r="H727" t="n">
        <v>0</v>
      </c>
      <c r="I727" t="n">
        <v>0</v>
      </c>
      <c r="J727" t="n">
        <v>0</v>
      </c>
      <c r="K727" t="n">
        <v>0</v>
      </c>
      <c r="L727" t="n">
        <v>0</v>
      </c>
      <c r="M727" t="n">
        <v>0</v>
      </c>
      <c r="N727" t="n">
        <v>0</v>
      </c>
      <c r="O727" t="n">
        <v>0</v>
      </c>
      <c r="P727" t="n">
        <v>0</v>
      </c>
      <c r="Q727" t="n">
        <v>0</v>
      </c>
      <c r="R727" s="2" t="inlineStr"/>
    </row>
    <row r="728" ht="15" customHeight="1">
      <c r="A728" t="inlineStr">
        <is>
          <t>A 18260-2019</t>
        </is>
      </c>
      <c r="B728" s="1" t="n">
        <v>43557</v>
      </c>
      <c r="C728" s="1" t="n">
        <v>45190</v>
      </c>
      <c r="D728" t="inlineStr">
        <is>
          <t>SKÅNE LÄN</t>
        </is>
      </c>
      <c r="E728" t="inlineStr">
        <is>
          <t>KRISTIANSTAD</t>
        </is>
      </c>
      <c r="G728" t="n">
        <v>7</v>
      </c>
      <c r="H728" t="n">
        <v>0</v>
      </c>
      <c r="I728" t="n">
        <v>0</v>
      </c>
      <c r="J728" t="n">
        <v>0</v>
      </c>
      <c r="K728" t="n">
        <v>0</v>
      </c>
      <c r="L728" t="n">
        <v>0</v>
      </c>
      <c r="M728" t="n">
        <v>0</v>
      </c>
      <c r="N728" t="n">
        <v>0</v>
      </c>
      <c r="O728" t="n">
        <v>0</v>
      </c>
      <c r="P728" t="n">
        <v>0</v>
      </c>
      <c r="Q728" t="n">
        <v>0</v>
      </c>
      <c r="R728" s="2" t="inlineStr"/>
    </row>
    <row r="729" ht="15" customHeight="1">
      <c r="A729" t="inlineStr">
        <is>
          <t>A 18039-2019</t>
        </is>
      </c>
      <c r="B729" s="1" t="n">
        <v>43557</v>
      </c>
      <c r="C729" s="1" t="n">
        <v>45190</v>
      </c>
      <c r="D729" t="inlineStr">
        <is>
          <t>SKÅNE LÄN</t>
        </is>
      </c>
      <c r="E729" t="inlineStr">
        <is>
          <t>HÄSSLEHOLM</t>
        </is>
      </c>
      <c r="F729" t="inlineStr">
        <is>
          <t>Kommuner</t>
        </is>
      </c>
      <c r="G729" t="n">
        <v>4.5</v>
      </c>
      <c r="H729" t="n">
        <v>0</v>
      </c>
      <c r="I729" t="n">
        <v>0</v>
      </c>
      <c r="J729" t="n">
        <v>0</v>
      </c>
      <c r="K729" t="n">
        <v>0</v>
      </c>
      <c r="L729" t="n">
        <v>0</v>
      </c>
      <c r="M729" t="n">
        <v>0</v>
      </c>
      <c r="N729" t="n">
        <v>0</v>
      </c>
      <c r="O729" t="n">
        <v>0</v>
      </c>
      <c r="P729" t="n">
        <v>0</v>
      </c>
      <c r="Q729" t="n">
        <v>0</v>
      </c>
      <c r="R729" s="2" t="inlineStr"/>
    </row>
    <row r="730" ht="15" customHeight="1">
      <c r="A730" t="inlineStr">
        <is>
          <t>A 18581-2019</t>
        </is>
      </c>
      <c r="B730" s="1" t="n">
        <v>43558</v>
      </c>
      <c r="C730" s="1" t="n">
        <v>45190</v>
      </c>
      <c r="D730" t="inlineStr">
        <is>
          <t>SKÅNE LÄN</t>
        </is>
      </c>
      <c r="E730" t="inlineStr">
        <is>
          <t>ÅSTORP</t>
        </is>
      </c>
      <c r="G730" t="n">
        <v>1.6</v>
      </c>
      <c r="H730" t="n">
        <v>0</v>
      </c>
      <c r="I730" t="n">
        <v>0</v>
      </c>
      <c r="J730" t="n">
        <v>0</v>
      </c>
      <c r="K730" t="n">
        <v>0</v>
      </c>
      <c r="L730" t="n">
        <v>0</v>
      </c>
      <c r="M730" t="n">
        <v>0</v>
      </c>
      <c r="N730" t="n">
        <v>0</v>
      </c>
      <c r="O730" t="n">
        <v>0</v>
      </c>
      <c r="P730" t="n">
        <v>0</v>
      </c>
      <c r="Q730" t="n">
        <v>0</v>
      </c>
      <c r="R730" s="2" t="inlineStr"/>
    </row>
    <row r="731" ht="15" customHeight="1">
      <c r="A731" t="inlineStr">
        <is>
          <t>A 18475-2019</t>
        </is>
      </c>
      <c r="B731" s="1" t="n">
        <v>43559</v>
      </c>
      <c r="C731" s="1" t="n">
        <v>45190</v>
      </c>
      <c r="D731" t="inlineStr">
        <is>
          <t>SKÅNE LÄN</t>
        </is>
      </c>
      <c r="E731" t="inlineStr">
        <is>
          <t>OSBY</t>
        </is>
      </c>
      <c r="G731" t="n">
        <v>0.6</v>
      </c>
      <c r="H731" t="n">
        <v>0</v>
      </c>
      <c r="I731" t="n">
        <v>0</v>
      </c>
      <c r="J731" t="n">
        <v>0</v>
      </c>
      <c r="K731" t="n">
        <v>0</v>
      </c>
      <c r="L731" t="n">
        <v>0</v>
      </c>
      <c r="M731" t="n">
        <v>0</v>
      </c>
      <c r="N731" t="n">
        <v>0</v>
      </c>
      <c r="O731" t="n">
        <v>0</v>
      </c>
      <c r="P731" t="n">
        <v>0</v>
      </c>
      <c r="Q731" t="n">
        <v>0</v>
      </c>
      <c r="R731" s="2" t="inlineStr"/>
    </row>
    <row r="732" ht="15" customHeight="1">
      <c r="A732" t="inlineStr">
        <is>
          <t>A 18412-2019</t>
        </is>
      </c>
      <c r="B732" s="1" t="n">
        <v>43559</v>
      </c>
      <c r="C732" s="1" t="n">
        <v>45190</v>
      </c>
      <c r="D732" t="inlineStr">
        <is>
          <t>SKÅNE LÄN</t>
        </is>
      </c>
      <c r="E732" t="inlineStr">
        <is>
          <t>KRISTIANSTAD</t>
        </is>
      </c>
      <c r="G732" t="n">
        <v>2.5</v>
      </c>
      <c r="H732" t="n">
        <v>0</v>
      </c>
      <c r="I732" t="n">
        <v>0</v>
      </c>
      <c r="J732" t="n">
        <v>0</v>
      </c>
      <c r="K732" t="n">
        <v>0</v>
      </c>
      <c r="L732" t="n">
        <v>0</v>
      </c>
      <c r="M732" t="n">
        <v>0</v>
      </c>
      <c r="N732" t="n">
        <v>0</v>
      </c>
      <c r="O732" t="n">
        <v>0</v>
      </c>
      <c r="P732" t="n">
        <v>0</v>
      </c>
      <c r="Q732" t="n">
        <v>0</v>
      </c>
      <c r="R732" s="2" t="inlineStr"/>
    </row>
    <row r="733" ht="15" customHeight="1">
      <c r="A733" t="inlineStr">
        <is>
          <t>A 18749-2019</t>
        </is>
      </c>
      <c r="B733" s="1" t="n">
        <v>43560</v>
      </c>
      <c r="C733" s="1" t="n">
        <v>45190</v>
      </c>
      <c r="D733" t="inlineStr">
        <is>
          <t>SKÅNE LÄN</t>
        </is>
      </c>
      <c r="E733" t="inlineStr">
        <is>
          <t>ÖSTRA GÖINGE</t>
        </is>
      </c>
      <c r="G733" t="n">
        <v>1.9</v>
      </c>
      <c r="H733" t="n">
        <v>0</v>
      </c>
      <c r="I733" t="n">
        <v>0</v>
      </c>
      <c r="J733" t="n">
        <v>0</v>
      </c>
      <c r="K733" t="n">
        <v>0</v>
      </c>
      <c r="L733" t="n">
        <v>0</v>
      </c>
      <c r="M733" t="n">
        <v>0</v>
      </c>
      <c r="N733" t="n">
        <v>0</v>
      </c>
      <c r="O733" t="n">
        <v>0</v>
      </c>
      <c r="P733" t="n">
        <v>0</v>
      </c>
      <c r="Q733" t="n">
        <v>0</v>
      </c>
      <c r="R733" s="2" t="inlineStr"/>
    </row>
    <row r="734" ht="15" customHeight="1">
      <c r="A734" t="inlineStr">
        <is>
          <t>A 18911-2019</t>
        </is>
      </c>
      <c r="B734" s="1" t="n">
        <v>43563</v>
      </c>
      <c r="C734" s="1" t="n">
        <v>45190</v>
      </c>
      <c r="D734" t="inlineStr">
        <is>
          <t>SKÅNE LÄN</t>
        </is>
      </c>
      <c r="E734" t="inlineStr">
        <is>
          <t>HÄSSLEHOLM</t>
        </is>
      </c>
      <c r="G734" t="n">
        <v>2.1</v>
      </c>
      <c r="H734" t="n">
        <v>0</v>
      </c>
      <c r="I734" t="n">
        <v>0</v>
      </c>
      <c r="J734" t="n">
        <v>0</v>
      </c>
      <c r="K734" t="n">
        <v>0</v>
      </c>
      <c r="L734" t="n">
        <v>0</v>
      </c>
      <c r="M734" t="n">
        <v>0</v>
      </c>
      <c r="N734" t="n">
        <v>0</v>
      </c>
      <c r="O734" t="n">
        <v>0</v>
      </c>
      <c r="P734" t="n">
        <v>0</v>
      </c>
      <c r="Q734" t="n">
        <v>0</v>
      </c>
      <c r="R734" s="2" t="inlineStr"/>
    </row>
    <row r="735" ht="15" customHeight="1">
      <c r="A735" t="inlineStr">
        <is>
          <t>A 18982-2019</t>
        </is>
      </c>
      <c r="B735" s="1" t="n">
        <v>43563</v>
      </c>
      <c r="C735" s="1" t="n">
        <v>45190</v>
      </c>
      <c r="D735" t="inlineStr">
        <is>
          <t>SKÅNE LÄN</t>
        </is>
      </c>
      <c r="E735" t="inlineStr">
        <is>
          <t>HÄSSLEHOLM</t>
        </is>
      </c>
      <c r="F735" t="inlineStr">
        <is>
          <t>Kommuner</t>
        </is>
      </c>
      <c r="G735" t="n">
        <v>1.8</v>
      </c>
      <c r="H735" t="n">
        <v>0</v>
      </c>
      <c r="I735" t="n">
        <v>0</v>
      </c>
      <c r="J735" t="n">
        <v>0</v>
      </c>
      <c r="K735" t="n">
        <v>0</v>
      </c>
      <c r="L735" t="n">
        <v>0</v>
      </c>
      <c r="M735" t="n">
        <v>0</v>
      </c>
      <c r="N735" t="n">
        <v>0</v>
      </c>
      <c r="O735" t="n">
        <v>0</v>
      </c>
      <c r="P735" t="n">
        <v>0</v>
      </c>
      <c r="Q735" t="n">
        <v>0</v>
      </c>
      <c r="R735" s="2" t="inlineStr"/>
    </row>
    <row r="736" ht="15" customHeight="1">
      <c r="A736" t="inlineStr">
        <is>
          <t>A 18896-2019</t>
        </is>
      </c>
      <c r="B736" s="1" t="n">
        <v>43563</v>
      </c>
      <c r="C736" s="1" t="n">
        <v>45190</v>
      </c>
      <c r="D736" t="inlineStr">
        <is>
          <t>SKÅNE LÄN</t>
        </is>
      </c>
      <c r="E736" t="inlineStr">
        <is>
          <t>OSBY</t>
        </is>
      </c>
      <c r="G736" t="n">
        <v>1.3</v>
      </c>
      <c r="H736" t="n">
        <v>0</v>
      </c>
      <c r="I736" t="n">
        <v>0</v>
      </c>
      <c r="J736" t="n">
        <v>0</v>
      </c>
      <c r="K736" t="n">
        <v>0</v>
      </c>
      <c r="L736" t="n">
        <v>0</v>
      </c>
      <c r="M736" t="n">
        <v>0</v>
      </c>
      <c r="N736" t="n">
        <v>0</v>
      </c>
      <c r="O736" t="n">
        <v>0</v>
      </c>
      <c r="P736" t="n">
        <v>0</v>
      </c>
      <c r="Q736" t="n">
        <v>0</v>
      </c>
      <c r="R736" s="2" t="inlineStr"/>
    </row>
    <row r="737" ht="15" customHeight="1">
      <c r="A737" t="inlineStr">
        <is>
          <t>A 18984-2019</t>
        </is>
      </c>
      <c r="B737" s="1" t="n">
        <v>43563</v>
      </c>
      <c r="C737" s="1" t="n">
        <v>45190</v>
      </c>
      <c r="D737" t="inlineStr">
        <is>
          <t>SKÅNE LÄN</t>
        </is>
      </c>
      <c r="E737" t="inlineStr">
        <is>
          <t>HÄSSLEHOLM</t>
        </is>
      </c>
      <c r="F737" t="inlineStr">
        <is>
          <t>Kommuner</t>
        </is>
      </c>
      <c r="G737" t="n">
        <v>1</v>
      </c>
      <c r="H737" t="n">
        <v>0</v>
      </c>
      <c r="I737" t="n">
        <v>0</v>
      </c>
      <c r="J737" t="n">
        <v>0</v>
      </c>
      <c r="K737" t="n">
        <v>0</v>
      </c>
      <c r="L737" t="n">
        <v>0</v>
      </c>
      <c r="M737" t="n">
        <v>0</v>
      </c>
      <c r="N737" t="n">
        <v>0</v>
      </c>
      <c r="O737" t="n">
        <v>0</v>
      </c>
      <c r="P737" t="n">
        <v>0</v>
      </c>
      <c r="Q737" t="n">
        <v>0</v>
      </c>
      <c r="R737" s="2" t="inlineStr"/>
    </row>
    <row r="738" ht="15" customHeight="1">
      <c r="A738" t="inlineStr">
        <is>
          <t>A 18822-2019</t>
        </is>
      </c>
      <c r="B738" s="1" t="n">
        <v>43563</v>
      </c>
      <c r="C738" s="1" t="n">
        <v>45190</v>
      </c>
      <c r="D738" t="inlineStr">
        <is>
          <t>SKÅNE LÄN</t>
        </is>
      </c>
      <c r="E738" t="inlineStr">
        <is>
          <t>ÖRKELLJUNGA</t>
        </is>
      </c>
      <c r="G738" t="n">
        <v>0.9</v>
      </c>
      <c r="H738" t="n">
        <v>0</v>
      </c>
      <c r="I738" t="n">
        <v>0</v>
      </c>
      <c r="J738" t="n">
        <v>0</v>
      </c>
      <c r="K738" t="n">
        <v>0</v>
      </c>
      <c r="L738" t="n">
        <v>0</v>
      </c>
      <c r="M738" t="n">
        <v>0</v>
      </c>
      <c r="N738" t="n">
        <v>0</v>
      </c>
      <c r="O738" t="n">
        <v>0</v>
      </c>
      <c r="P738" t="n">
        <v>0</v>
      </c>
      <c r="Q738" t="n">
        <v>0</v>
      </c>
      <c r="R738" s="2" t="inlineStr"/>
    </row>
    <row r="739" ht="15" customHeight="1">
      <c r="A739" t="inlineStr">
        <is>
          <t>A 18861-2019</t>
        </is>
      </c>
      <c r="B739" s="1" t="n">
        <v>43563</v>
      </c>
      <c r="C739" s="1" t="n">
        <v>45190</v>
      </c>
      <c r="D739" t="inlineStr">
        <is>
          <t>SKÅNE LÄN</t>
        </is>
      </c>
      <c r="E739" t="inlineStr">
        <is>
          <t>KLIPPAN</t>
        </is>
      </c>
      <c r="G739" t="n">
        <v>3</v>
      </c>
      <c r="H739" t="n">
        <v>0</v>
      </c>
      <c r="I739" t="n">
        <v>0</v>
      </c>
      <c r="J739" t="n">
        <v>0</v>
      </c>
      <c r="K739" t="n">
        <v>0</v>
      </c>
      <c r="L739" t="n">
        <v>0</v>
      </c>
      <c r="M739" t="n">
        <v>0</v>
      </c>
      <c r="N739" t="n">
        <v>0</v>
      </c>
      <c r="O739" t="n">
        <v>0</v>
      </c>
      <c r="P739" t="n">
        <v>0</v>
      </c>
      <c r="Q739" t="n">
        <v>0</v>
      </c>
      <c r="R739" s="2" t="inlineStr"/>
    </row>
    <row r="740" ht="15" customHeight="1">
      <c r="A740" t="inlineStr">
        <is>
          <t>A 18898-2019</t>
        </is>
      </c>
      <c r="B740" s="1" t="n">
        <v>43563</v>
      </c>
      <c r="C740" s="1" t="n">
        <v>45190</v>
      </c>
      <c r="D740" t="inlineStr">
        <is>
          <t>SKÅNE LÄN</t>
        </is>
      </c>
      <c r="E740" t="inlineStr">
        <is>
          <t>OSBY</t>
        </is>
      </c>
      <c r="G740" t="n">
        <v>5.2</v>
      </c>
      <c r="H740" t="n">
        <v>0</v>
      </c>
      <c r="I740" t="n">
        <v>0</v>
      </c>
      <c r="J740" t="n">
        <v>0</v>
      </c>
      <c r="K740" t="n">
        <v>0</v>
      </c>
      <c r="L740" t="n">
        <v>0</v>
      </c>
      <c r="M740" t="n">
        <v>0</v>
      </c>
      <c r="N740" t="n">
        <v>0</v>
      </c>
      <c r="O740" t="n">
        <v>0</v>
      </c>
      <c r="P740" t="n">
        <v>0</v>
      </c>
      <c r="Q740" t="n">
        <v>0</v>
      </c>
      <c r="R740" s="2" t="inlineStr"/>
    </row>
    <row r="741" ht="15" customHeight="1">
      <c r="A741" t="inlineStr">
        <is>
          <t>A 19176-2019</t>
        </is>
      </c>
      <c r="B741" s="1" t="n">
        <v>43564</v>
      </c>
      <c r="C741" s="1" t="n">
        <v>45190</v>
      </c>
      <c r="D741" t="inlineStr">
        <is>
          <t>SKÅNE LÄN</t>
        </is>
      </c>
      <c r="E741" t="inlineStr">
        <is>
          <t>ÖSTRA GÖINGE</t>
        </is>
      </c>
      <c r="G741" t="n">
        <v>3.9</v>
      </c>
      <c r="H741" t="n">
        <v>0</v>
      </c>
      <c r="I741" t="n">
        <v>0</v>
      </c>
      <c r="J741" t="n">
        <v>0</v>
      </c>
      <c r="K741" t="n">
        <v>0</v>
      </c>
      <c r="L741" t="n">
        <v>0</v>
      </c>
      <c r="M741" t="n">
        <v>0</v>
      </c>
      <c r="N741" t="n">
        <v>0</v>
      </c>
      <c r="O741" t="n">
        <v>0</v>
      </c>
      <c r="P741" t="n">
        <v>0</v>
      </c>
      <c r="Q741" t="n">
        <v>0</v>
      </c>
      <c r="R741" s="2" t="inlineStr"/>
    </row>
    <row r="742" ht="15" customHeight="1">
      <c r="A742" t="inlineStr">
        <is>
          <t>A 19078-2019</t>
        </is>
      </c>
      <c r="B742" s="1" t="n">
        <v>43564</v>
      </c>
      <c r="C742" s="1" t="n">
        <v>45190</v>
      </c>
      <c r="D742" t="inlineStr">
        <is>
          <t>SKÅNE LÄN</t>
        </is>
      </c>
      <c r="E742" t="inlineStr">
        <is>
          <t>BROMÖLLA</t>
        </is>
      </c>
      <c r="G742" t="n">
        <v>0.6</v>
      </c>
      <c r="H742" t="n">
        <v>0</v>
      </c>
      <c r="I742" t="n">
        <v>0</v>
      </c>
      <c r="J742" t="n">
        <v>0</v>
      </c>
      <c r="K742" t="n">
        <v>0</v>
      </c>
      <c r="L742" t="n">
        <v>0</v>
      </c>
      <c r="M742" t="n">
        <v>0</v>
      </c>
      <c r="N742" t="n">
        <v>0</v>
      </c>
      <c r="O742" t="n">
        <v>0</v>
      </c>
      <c r="P742" t="n">
        <v>0</v>
      </c>
      <c r="Q742" t="n">
        <v>0</v>
      </c>
      <c r="R742" s="2" t="inlineStr"/>
    </row>
    <row r="743" ht="15" customHeight="1">
      <c r="A743" t="inlineStr">
        <is>
          <t>A 19165-2019</t>
        </is>
      </c>
      <c r="B743" s="1" t="n">
        <v>43564</v>
      </c>
      <c r="C743" s="1" t="n">
        <v>45190</v>
      </c>
      <c r="D743" t="inlineStr">
        <is>
          <t>SKÅNE LÄN</t>
        </is>
      </c>
      <c r="E743" t="inlineStr">
        <is>
          <t>ÖSTRA GÖINGE</t>
        </is>
      </c>
      <c r="G743" t="n">
        <v>7.5</v>
      </c>
      <c r="H743" t="n">
        <v>0</v>
      </c>
      <c r="I743" t="n">
        <v>0</v>
      </c>
      <c r="J743" t="n">
        <v>0</v>
      </c>
      <c r="K743" t="n">
        <v>0</v>
      </c>
      <c r="L743" t="n">
        <v>0</v>
      </c>
      <c r="M743" t="n">
        <v>0</v>
      </c>
      <c r="N743" t="n">
        <v>0</v>
      </c>
      <c r="O743" t="n">
        <v>0</v>
      </c>
      <c r="P743" t="n">
        <v>0</v>
      </c>
      <c r="Q743" t="n">
        <v>0</v>
      </c>
      <c r="R743" s="2" t="inlineStr"/>
    </row>
    <row r="744" ht="15" customHeight="1">
      <c r="A744" t="inlineStr">
        <is>
          <t>A 19171-2019</t>
        </is>
      </c>
      <c r="B744" s="1" t="n">
        <v>43564</v>
      </c>
      <c r="C744" s="1" t="n">
        <v>45190</v>
      </c>
      <c r="D744" t="inlineStr">
        <is>
          <t>SKÅNE LÄN</t>
        </is>
      </c>
      <c r="E744" t="inlineStr">
        <is>
          <t>ÖSTRA GÖINGE</t>
        </is>
      </c>
      <c r="G744" t="n">
        <v>2.7</v>
      </c>
      <c r="H744" t="n">
        <v>0</v>
      </c>
      <c r="I744" t="n">
        <v>0</v>
      </c>
      <c r="J744" t="n">
        <v>0</v>
      </c>
      <c r="K744" t="n">
        <v>0</v>
      </c>
      <c r="L744" t="n">
        <v>0</v>
      </c>
      <c r="M744" t="n">
        <v>0</v>
      </c>
      <c r="N744" t="n">
        <v>0</v>
      </c>
      <c r="O744" t="n">
        <v>0</v>
      </c>
      <c r="P744" t="n">
        <v>0</v>
      </c>
      <c r="Q744" t="n">
        <v>0</v>
      </c>
      <c r="R744" s="2" t="inlineStr"/>
    </row>
    <row r="745" ht="15" customHeight="1">
      <c r="A745" t="inlineStr">
        <is>
          <t>A 19183-2019</t>
        </is>
      </c>
      <c r="B745" s="1" t="n">
        <v>43564</v>
      </c>
      <c r="C745" s="1" t="n">
        <v>45190</v>
      </c>
      <c r="D745" t="inlineStr">
        <is>
          <t>SKÅNE LÄN</t>
        </is>
      </c>
      <c r="E745" t="inlineStr">
        <is>
          <t>KRISTIANSTAD</t>
        </is>
      </c>
      <c r="G745" t="n">
        <v>0.8</v>
      </c>
      <c r="H745" t="n">
        <v>0</v>
      </c>
      <c r="I745" t="n">
        <v>0</v>
      </c>
      <c r="J745" t="n">
        <v>0</v>
      </c>
      <c r="K745" t="n">
        <v>0</v>
      </c>
      <c r="L745" t="n">
        <v>0</v>
      </c>
      <c r="M745" t="n">
        <v>0</v>
      </c>
      <c r="N745" t="n">
        <v>0</v>
      </c>
      <c r="O745" t="n">
        <v>0</v>
      </c>
      <c r="P745" t="n">
        <v>0</v>
      </c>
      <c r="Q745" t="n">
        <v>0</v>
      </c>
      <c r="R745" s="2" t="inlineStr"/>
    </row>
    <row r="746" ht="15" customHeight="1">
      <c r="A746" t="inlineStr">
        <is>
          <t>A 19473-2019</t>
        </is>
      </c>
      <c r="B746" s="1" t="n">
        <v>43565</v>
      </c>
      <c r="C746" s="1" t="n">
        <v>45190</v>
      </c>
      <c r="D746" t="inlineStr">
        <is>
          <t>SKÅNE LÄN</t>
        </is>
      </c>
      <c r="E746" t="inlineStr">
        <is>
          <t>HÄSSLEHOLM</t>
        </is>
      </c>
      <c r="G746" t="n">
        <v>1.5</v>
      </c>
      <c r="H746" t="n">
        <v>0</v>
      </c>
      <c r="I746" t="n">
        <v>0</v>
      </c>
      <c r="J746" t="n">
        <v>0</v>
      </c>
      <c r="K746" t="n">
        <v>0</v>
      </c>
      <c r="L746" t="n">
        <v>0</v>
      </c>
      <c r="M746" t="n">
        <v>0</v>
      </c>
      <c r="N746" t="n">
        <v>0</v>
      </c>
      <c r="O746" t="n">
        <v>0</v>
      </c>
      <c r="P746" t="n">
        <v>0</v>
      </c>
      <c r="Q746" t="n">
        <v>0</v>
      </c>
      <c r="R746" s="2" t="inlineStr"/>
    </row>
    <row r="747" ht="15" customHeight="1">
      <c r="A747" t="inlineStr">
        <is>
          <t>A 19596-2019</t>
        </is>
      </c>
      <c r="B747" s="1" t="n">
        <v>43565</v>
      </c>
      <c r="C747" s="1" t="n">
        <v>45190</v>
      </c>
      <c r="D747" t="inlineStr">
        <is>
          <t>SKÅNE LÄN</t>
        </is>
      </c>
      <c r="E747" t="inlineStr">
        <is>
          <t>KRISTIANSTAD</t>
        </is>
      </c>
      <c r="G747" t="n">
        <v>4.9</v>
      </c>
      <c r="H747" t="n">
        <v>0</v>
      </c>
      <c r="I747" t="n">
        <v>0</v>
      </c>
      <c r="J747" t="n">
        <v>0</v>
      </c>
      <c r="K747" t="n">
        <v>0</v>
      </c>
      <c r="L747" t="n">
        <v>0</v>
      </c>
      <c r="M747" t="n">
        <v>0</v>
      </c>
      <c r="N747" t="n">
        <v>0</v>
      </c>
      <c r="O747" t="n">
        <v>0</v>
      </c>
      <c r="P747" t="n">
        <v>0</v>
      </c>
      <c r="Q747" t="n">
        <v>0</v>
      </c>
      <c r="R747" s="2" t="inlineStr"/>
    </row>
    <row r="748" ht="15" customHeight="1">
      <c r="A748" t="inlineStr">
        <is>
          <t>A 19334-2019</t>
        </is>
      </c>
      <c r="B748" s="1" t="n">
        <v>43565</v>
      </c>
      <c r="C748" s="1" t="n">
        <v>45190</v>
      </c>
      <c r="D748" t="inlineStr">
        <is>
          <t>SKÅNE LÄN</t>
        </is>
      </c>
      <c r="E748" t="inlineStr">
        <is>
          <t>KLIPPAN</t>
        </is>
      </c>
      <c r="G748" t="n">
        <v>0.9</v>
      </c>
      <c r="H748" t="n">
        <v>0</v>
      </c>
      <c r="I748" t="n">
        <v>0</v>
      </c>
      <c r="J748" t="n">
        <v>0</v>
      </c>
      <c r="K748" t="n">
        <v>0</v>
      </c>
      <c r="L748" t="n">
        <v>0</v>
      </c>
      <c r="M748" t="n">
        <v>0</v>
      </c>
      <c r="N748" t="n">
        <v>0</v>
      </c>
      <c r="O748" t="n">
        <v>0</v>
      </c>
      <c r="P748" t="n">
        <v>0</v>
      </c>
      <c r="Q748" t="n">
        <v>0</v>
      </c>
      <c r="R748" s="2" t="inlineStr"/>
    </row>
    <row r="749" ht="15" customHeight="1">
      <c r="A749" t="inlineStr">
        <is>
          <t>A 19327-2019</t>
        </is>
      </c>
      <c r="B749" s="1" t="n">
        <v>43565</v>
      </c>
      <c r="C749" s="1" t="n">
        <v>45190</v>
      </c>
      <c r="D749" t="inlineStr">
        <is>
          <t>SKÅNE LÄN</t>
        </is>
      </c>
      <c r="E749" t="inlineStr">
        <is>
          <t>KRISTIANSTAD</t>
        </is>
      </c>
      <c r="G749" t="n">
        <v>4</v>
      </c>
      <c r="H749" t="n">
        <v>0</v>
      </c>
      <c r="I749" t="n">
        <v>0</v>
      </c>
      <c r="J749" t="n">
        <v>0</v>
      </c>
      <c r="K749" t="n">
        <v>0</v>
      </c>
      <c r="L749" t="n">
        <v>0</v>
      </c>
      <c r="M749" t="n">
        <v>0</v>
      </c>
      <c r="N749" t="n">
        <v>0</v>
      </c>
      <c r="O749" t="n">
        <v>0</v>
      </c>
      <c r="P749" t="n">
        <v>0</v>
      </c>
      <c r="Q749" t="n">
        <v>0</v>
      </c>
      <c r="R749" s="2" t="inlineStr"/>
    </row>
    <row r="750" ht="15" customHeight="1">
      <c r="A750" t="inlineStr">
        <is>
          <t>A 19508-2019</t>
        </is>
      </c>
      <c r="B750" s="1" t="n">
        <v>43565</v>
      </c>
      <c r="C750" s="1" t="n">
        <v>45190</v>
      </c>
      <c r="D750" t="inlineStr">
        <is>
          <t>SKÅNE LÄN</t>
        </is>
      </c>
      <c r="E750" t="inlineStr">
        <is>
          <t>KRISTIANSTAD</t>
        </is>
      </c>
      <c r="G750" t="n">
        <v>5.5</v>
      </c>
      <c r="H750" t="n">
        <v>0</v>
      </c>
      <c r="I750" t="n">
        <v>0</v>
      </c>
      <c r="J750" t="n">
        <v>0</v>
      </c>
      <c r="K750" t="n">
        <v>0</v>
      </c>
      <c r="L750" t="n">
        <v>0</v>
      </c>
      <c r="M750" t="n">
        <v>0</v>
      </c>
      <c r="N750" t="n">
        <v>0</v>
      </c>
      <c r="O750" t="n">
        <v>0</v>
      </c>
      <c r="P750" t="n">
        <v>0</v>
      </c>
      <c r="Q750" t="n">
        <v>0</v>
      </c>
      <c r="R750" s="2" t="inlineStr"/>
    </row>
    <row r="751" ht="15" customHeight="1">
      <c r="A751" t="inlineStr">
        <is>
          <t>A 19664-2019</t>
        </is>
      </c>
      <c r="B751" s="1" t="n">
        <v>43566</v>
      </c>
      <c r="C751" s="1" t="n">
        <v>45190</v>
      </c>
      <c r="D751" t="inlineStr">
        <is>
          <t>SKÅNE LÄN</t>
        </is>
      </c>
      <c r="E751" t="inlineStr">
        <is>
          <t>KRISTIANSTAD</t>
        </is>
      </c>
      <c r="G751" t="n">
        <v>6.8</v>
      </c>
      <c r="H751" t="n">
        <v>0</v>
      </c>
      <c r="I751" t="n">
        <v>0</v>
      </c>
      <c r="J751" t="n">
        <v>0</v>
      </c>
      <c r="K751" t="n">
        <v>0</v>
      </c>
      <c r="L751" t="n">
        <v>0</v>
      </c>
      <c r="M751" t="n">
        <v>0</v>
      </c>
      <c r="N751" t="n">
        <v>0</v>
      </c>
      <c r="O751" t="n">
        <v>0</v>
      </c>
      <c r="P751" t="n">
        <v>0</v>
      </c>
      <c r="Q751" t="n">
        <v>0</v>
      </c>
      <c r="R751" s="2" t="inlineStr"/>
    </row>
    <row r="752" ht="15" customHeight="1">
      <c r="A752" t="inlineStr">
        <is>
          <t>A 19661-2019</t>
        </is>
      </c>
      <c r="B752" s="1" t="n">
        <v>43566</v>
      </c>
      <c r="C752" s="1" t="n">
        <v>45190</v>
      </c>
      <c r="D752" t="inlineStr">
        <is>
          <t>SKÅNE LÄN</t>
        </is>
      </c>
      <c r="E752" t="inlineStr">
        <is>
          <t>KRISTIANSTAD</t>
        </is>
      </c>
      <c r="G752" t="n">
        <v>2</v>
      </c>
      <c r="H752" t="n">
        <v>0</v>
      </c>
      <c r="I752" t="n">
        <v>0</v>
      </c>
      <c r="J752" t="n">
        <v>0</v>
      </c>
      <c r="K752" t="n">
        <v>0</v>
      </c>
      <c r="L752" t="n">
        <v>0</v>
      </c>
      <c r="M752" t="n">
        <v>0</v>
      </c>
      <c r="N752" t="n">
        <v>0</v>
      </c>
      <c r="O752" t="n">
        <v>0</v>
      </c>
      <c r="P752" t="n">
        <v>0</v>
      </c>
      <c r="Q752" t="n">
        <v>0</v>
      </c>
      <c r="R752" s="2" t="inlineStr"/>
    </row>
    <row r="753" ht="15" customHeight="1">
      <c r="A753" t="inlineStr">
        <is>
          <t>A 19607-2019</t>
        </is>
      </c>
      <c r="B753" s="1" t="n">
        <v>43566</v>
      </c>
      <c r="C753" s="1" t="n">
        <v>45190</v>
      </c>
      <c r="D753" t="inlineStr">
        <is>
          <t>SKÅNE LÄN</t>
        </is>
      </c>
      <c r="E753" t="inlineStr">
        <is>
          <t>ÖRKELLJUNGA</t>
        </is>
      </c>
      <c r="G753" t="n">
        <v>6.2</v>
      </c>
      <c r="H753" t="n">
        <v>0</v>
      </c>
      <c r="I753" t="n">
        <v>0</v>
      </c>
      <c r="J753" t="n">
        <v>0</v>
      </c>
      <c r="K753" t="n">
        <v>0</v>
      </c>
      <c r="L753" t="n">
        <v>0</v>
      </c>
      <c r="M753" t="n">
        <v>0</v>
      </c>
      <c r="N753" t="n">
        <v>0</v>
      </c>
      <c r="O753" t="n">
        <v>0</v>
      </c>
      <c r="P753" t="n">
        <v>0</v>
      </c>
      <c r="Q753" t="n">
        <v>0</v>
      </c>
      <c r="R753" s="2" t="inlineStr"/>
    </row>
    <row r="754" ht="15" customHeight="1">
      <c r="A754" t="inlineStr">
        <is>
          <t>A 19972-2019</t>
        </is>
      </c>
      <c r="B754" s="1" t="n">
        <v>43567</v>
      </c>
      <c r="C754" s="1" t="n">
        <v>45190</v>
      </c>
      <c r="D754" t="inlineStr">
        <is>
          <t>SKÅNE LÄN</t>
        </is>
      </c>
      <c r="E754" t="inlineStr">
        <is>
          <t>KLIPPAN</t>
        </is>
      </c>
      <c r="F754" t="inlineStr">
        <is>
          <t>Övriga Aktiebolag</t>
        </is>
      </c>
      <c r="G754" t="n">
        <v>0.7</v>
      </c>
      <c r="H754" t="n">
        <v>0</v>
      </c>
      <c r="I754" t="n">
        <v>0</v>
      </c>
      <c r="J754" t="n">
        <v>0</v>
      </c>
      <c r="K754" t="n">
        <v>0</v>
      </c>
      <c r="L754" t="n">
        <v>0</v>
      </c>
      <c r="M754" t="n">
        <v>0</v>
      </c>
      <c r="N754" t="n">
        <v>0</v>
      </c>
      <c r="O754" t="n">
        <v>0</v>
      </c>
      <c r="P754" t="n">
        <v>0</v>
      </c>
      <c r="Q754" t="n">
        <v>0</v>
      </c>
      <c r="R754" s="2" t="inlineStr"/>
    </row>
    <row r="755" ht="15" customHeight="1">
      <c r="A755" t="inlineStr">
        <is>
          <t>A 19973-2019</t>
        </is>
      </c>
      <c r="B755" s="1" t="n">
        <v>43567</v>
      </c>
      <c r="C755" s="1" t="n">
        <v>45190</v>
      </c>
      <c r="D755" t="inlineStr">
        <is>
          <t>SKÅNE LÄN</t>
        </is>
      </c>
      <c r="E755" t="inlineStr">
        <is>
          <t>PERSTORP</t>
        </is>
      </c>
      <c r="F755" t="inlineStr">
        <is>
          <t>Övriga Aktiebolag</t>
        </is>
      </c>
      <c r="G755" t="n">
        <v>2</v>
      </c>
      <c r="H755" t="n">
        <v>0</v>
      </c>
      <c r="I755" t="n">
        <v>0</v>
      </c>
      <c r="J755" t="n">
        <v>0</v>
      </c>
      <c r="K755" t="n">
        <v>0</v>
      </c>
      <c r="L755" t="n">
        <v>0</v>
      </c>
      <c r="M755" t="n">
        <v>0</v>
      </c>
      <c r="N755" t="n">
        <v>0</v>
      </c>
      <c r="O755" t="n">
        <v>0</v>
      </c>
      <c r="P755" t="n">
        <v>0</v>
      </c>
      <c r="Q755" t="n">
        <v>0</v>
      </c>
      <c r="R755" s="2" t="inlineStr"/>
    </row>
    <row r="756" ht="15" customHeight="1">
      <c r="A756" t="inlineStr">
        <is>
          <t>A 19820-2019</t>
        </is>
      </c>
      <c r="B756" s="1" t="n">
        <v>43567</v>
      </c>
      <c r="C756" s="1" t="n">
        <v>45190</v>
      </c>
      <c r="D756" t="inlineStr">
        <is>
          <t>SKÅNE LÄN</t>
        </is>
      </c>
      <c r="E756" t="inlineStr">
        <is>
          <t>OSBY</t>
        </is>
      </c>
      <c r="G756" t="n">
        <v>2.4</v>
      </c>
      <c r="H756" t="n">
        <v>0</v>
      </c>
      <c r="I756" t="n">
        <v>0</v>
      </c>
      <c r="J756" t="n">
        <v>0</v>
      </c>
      <c r="K756" t="n">
        <v>0</v>
      </c>
      <c r="L756" t="n">
        <v>0</v>
      </c>
      <c r="M756" t="n">
        <v>0</v>
      </c>
      <c r="N756" t="n">
        <v>0</v>
      </c>
      <c r="O756" t="n">
        <v>0</v>
      </c>
      <c r="P756" t="n">
        <v>0</v>
      </c>
      <c r="Q756" t="n">
        <v>0</v>
      </c>
      <c r="R756" s="2" t="inlineStr"/>
    </row>
    <row r="757" ht="15" customHeight="1">
      <c r="A757" t="inlineStr">
        <is>
          <t>A 19988-2019</t>
        </is>
      </c>
      <c r="B757" s="1" t="n">
        <v>43567</v>
      </c>
      <c r="C757" s="1" t="n">
        <v>45190</v>
      </c>
      <c r="D757" t="inlineStr">
        <is>
          <t>SKÅNE LÄN</t>
        </is>
      </c>
      <c r="E757" t="inlineStr">
        <is>
          <t>PERSTORP</t>
        </is>
      </c>
      <c r="F757" t="inlineStr">
        <is>
          <t>Övriga Aktiebolag</t>
        </is>
      </c>
      <c r="G757" t="n">
        <v>2.6</v>
      </c>
      <c r="H757" t="n">
        <v>0</v>
      </c>
      <c r="I757" t="n">
        <v>0</v>
      </c>
      <c r="J757" t="n">
        <v>0</v>
      </c>
      <c r="K757" t="n">
        <v>0</v>
      </c>
      <c r="L757" t="n">
        <v>0</v>
      </c>
      <c r="M757" t="n">
        <v>0</v>
      </c>
      <c r="N757" t="n">
        <v>0</v>
      </c>
      <c r="O757" t="n">
        <v>0</v>
      </c>
      <c r="P757" t="n">
        <v>0</v>
      </c>
      <c r="Q757" t="n">
        <v>0</v>
      </c>
      <c r="R757" s="2" t="inlineStr"/>
    </row>
    <row r="758" ht="15" customHeight="1">
      <c r="A758" t="inlineStr">
        <is>
          <t>A 20239-2019</t>
        </is>
      </c>
      <c r="B758" s="1" t="n">
        <v>43567</v>
      </c>
      <c r="C758" s="1" t="n">
        <v>45190</v>
      </c>
      <c r="D758" t="inlineStr">
        <is>
          <t>SKÅNE LÄN</t>
        </is>
      </c>
      <c r="E758" t="inlineStr">
        <is>
          <t>OSBY</t>
        </is>
      </c>
      <c r="G758" t="n">
        <v>1.4</v>
      </c>
      <c r="H758" t="n">
        <v>0</v>
      </c>
      <c r="I758" t="n">
        <v>0</v>
      </c>
      <c r="J758" t="n">
        <v>0</v>
      </c>
      <c r="K758" t="n">
        <v>0</v>
      </c>
      <c r="L758" t="n">
        <v>0</v>
      </c>
      <c r="M758" t="n">
        <v>0</v>
      </c>
      <c r="N758" t="n">
        <v>0</v>
      </c>
      <c r="O758" t="n">
        <v>0</v>
      </c>
      <c r="P758" t="n">
        <v>0</v>
      </c>
      <c r="Q758" t="n">
        <v>0</v>
      </c>
      <c r="R758" s="2" t="inlineStr"/>
    </row>
    <row r="759" ht="15" customHeight="1">
      <c r="A759" t="inlineStr">
        <is>
          <t>A 20048-2019</t>
        </is>
      </c>
      <c r="B759" s="1" t="n">
        <v>43570</v>
      </c>
      <c r="C759" s="1" t="n">
        <v>45190</v>
      </c>
      <c r="D759" t="inlineStr">
        <is>
          <t>SKÅNE LÄN</t>
        </is>
      </c>
      <c r="E759" t="inlineStr">
        <is>
          <t>KLIPPAN</t>
        </is>
      </c>
      <c r="G759" t="n">
        <v>8.6</v>
      </c>
      <c r="H759" t="n">
        <v>0</v>
      </c>
      <c r="I759" t="n">
        <v>0</v>
      </c>
      <c r="J759" t="n">
        <v>0</v>
      </c>
      <c r="K759" t="n">
        <v>0</v>
      </c>
      <c r="L759" t="n">
        <v>0</v>
      </c>
      <c r="M759" t="n">
        <v>0</v>
      </c>
      <c r="N759" t="n">
        <v>0</v>
      </c>
      <c r="O759" t="n">
        <v>0</v>
      </c>
      <c r="P759" t="n">
        <v>0</v>
      </c>
      <c r="Q759" t="n">
        <v>0</v>
      </c>
      <c r="R759" s="2" t="inlineStr"/>
    </row>
    <row r="760" ht="15" customHeight="1">
      <c r="A760" t="inlineStr">
        <is>
          <t>A 19964-2019</t>
        </is>
      </c>
      <c r="B760" s="1" t="n">
        <v>43570</v>
      </c>
      <c r="C760" s="1" t="n">
        <v>45190</v>
      </c>
      <c r="D760" t="inlineStr">
        <is>
          <t>SKÅNE LÄN</t>
        </is>
      </c>
      <c r="E760" t="inlineStr">
        <is>
          <t>SJÖBO</t>
        </is>
      </c>
      <c r="G760" t="n">
        <v>0.1</v>
      </c>
      <c r="H760" t="n">
        <v>0</v>
      </c>
      <c r="I760" t="n">
        <v>0</v>
      </c>
      <c r="J760" t="n">
        <v>0</v>
      </c>
      <c r="K760" t="n">
        <v>0</v>
      </c>
      <c r="L760" t="n">
        <v>0</v>
      </c>
      <c r="M760" t="n">
        <v>0</v>
      </c>
      <c r="N760" t="n">
        <v>0</v>
      </c>
      <c r="O760" t="n">
        <v>0</v>
      </c>
      <c r="P760" t="n">
        <v>0</v>
      </c>
      <c r="Q760" t="n">
        <v>0</v>
      </c>
      <c r="R760" s="2" t="inlineStr"/>
    </row>
    <row r="761" ht="15" customHeight="1">
      <c r="A761" t="inlineStr">
        <is>
          <t>A 20082-2019</t>
        </is>
      </c>
      <c r="B761" s="1" t="n">
        <v>43570</v>
      </c>
      <c r="C761" s="1" t="n">
        <v>45190</v>
      </c>
      <c r="D761" t="inlineStr">
        <is>
          <t>SKÅNE LÄN</t>
        </is>
      </c>
      <c r="E761" t="inlineStr">
        <is>
          <t>OSBY</t>
        </is>
      </c>
      <c r="G761" t="n">
        <v>2.9</v>
      </c>
      <c r="H761" t="n">
        <v>0</v>
      </c>
      <c r="I761" t="n">
        <v>0</v>
      </c>
      <c r="J761" t="n">
        <v>0</v>
      </c>
      <c r="K761" t="n">
        <v>0</v>
      </c>
      <c r="L761" t="n">
        <v>0</v>
      </c>
      <c r="M761" t="n">
        <v>0</v>
      </c>
      <c r="N761" t="n">
        <v>0</v>
      </c>
      <c r="O761" t="n">
        <v>0</v>
      </c>
      <c r="P761" t="n">
        <v>0</v>
      </c>
      <c r="Q761" t="n">
        <v>0</v>
      </c>
      <c r="R761" s="2" t="inlineStr"/>
    </row>
    <row r="762" ht="15" customHeight="1">
      <c r="A762" t="inlineStr">
        <is>
          <t>A 20515-2019</t>
        </is>
      </c>
      <c r="B762" s="1" t="n">
        <v>43572</v>
      </c>
      <c r="C762" s="1" t="n">
        <v>45190</v>
      </c>
      <c r="D762" t="inlineStr">
        <is>
          <t>SKÅNE LÄN</t>
        </is>
      </c>
      <c r="E762" t="inlineStr">
        <is>
          <t>OSBY</t>
        </is>
      </c>
      <c r="G762" t="n">
        <v>0.6</v>
      </c>
      <c r="H762" t="n">
        <v>0</v>
      </c>
      <c r="I762" t="n">
        <v>0</v>
      </c>
      <c r="J762" t="n">
        <v>0</v>
      </c>
      <c r="K762" t="n">
        <v>0</v>
      </c>
      <c r="L762" t="n">
        <v>0</v>
      </c>
      <c r="M762" t="n">
        <v>0</v>
      </c>
      <c r="N762" t="n">
        <v>0</v>
      </c>
      <c r="O762" t="n">
        <v>0</v>
      </c>
      <c r="P762" t="n">
        <v>0</v>
      </c>
      <c r="Q762" t="n">
        <v>0</v>
      </c>
      <c r="R762" s="2" t="inlineStr"/>
    </row>
    <row r="763" ht="15" customHeight="1">
      <c r="A763" t="inlineStr">
        <is>
          <t>A 20530-2019</t>
        </is>
      </c>
      <c r="B763" s="1" t="n">
        <v>43572</v>
      </c>
      <c r="C763" s="1" t="n">
        <v>45190</v>
      </c>
      <c r="D763" t="inlineStr">
        <is>
          <t>SKÅNE LÄN</t>
        </is>
      </c>
      <c r="E763" t="inlineStr">
        <is>
          <t>KRISTIANSTAD</t>
        </is>
      </c>
      <c r="G763" t="n">
        <v>1.3</v>
      </c>
      <c r="H763" t="n">
        <v>0</v>
      </c>
      <c r="I763" t="n">
        <v>0</v>
      </c>
      <c r="J763" t="n">
        <v>0</v>
      </c>
      <c r="K763" t="n">
        <v>0</v>
      </c>
      <c r="L763" t="n">
        <v>0</v>
      </c>
      <c r="M763" t="n">
        <v>0</v>
      </c>
      <c r="N763" t="n">
        <v>0</v>
      </c>
      <c r="O763" t="n">
        <v>0</v>
      </c>
      <c r="P763" t="n">
        <v>0</v>
      </c>
      <c r="Q763" t="n">
        <v>0</v>
      </c>
      <c r="R763" s="2" t="inlineStr"/>
    </row>
    <row r="764" ht="15" customHeight="1">
      <c r="A764" t="inlineStr">
        <is>
          <t>A 20555-2019</t>
        </is>
      </c>
      <c r="B764" s="1" t="n">
        <v>43572</v>
      </c>
      <c r="C764" s="1" t="n">
        <v>45190</v>
      </c>
      <c r="D764" t="inlineStr">
        <is>
          <t>SKÅNE LÄN</t>
        </is>
      </c>
      <c r="E764" t="inlineStr">
        <is>
          <t>OSBY</t>
        </is>
      </c>
      <c r="G764" t="n">
        <v>2.7</v>
      </c>
      <c r="H764" t="n">
        <v>0</v>
      </c>
      <c r="I764" t="n">
        <v>0</v>
      </c>
      <c r="J764" t="n">
        <v>0</v>
      </c>
      <c r="K764" t="n">
        <v>0</v>
      </c>
      <c r="L764" t="n">
        <v>0</v>
      </c>
      <c r="M764" t="n">
        <v>0</v>
      </c>
      <c r="N764" t="n">
        <v>0</v>
      </c>
      <c r="O764" t="n">
        <v>0</v>
      </c>
      <c r="P764" t="n">
        <v>0</v>
      </c>
      <c r="Q764" t="n">
        <v>0</v>
      </c>
      <c r="R764" s="2" t="inlineStr"/>
    </row>
    <row r="765" ht="15" customHeight="1">
      <c r="A765" t="inlineStr">
        <is>
          <t>A 20765-2019</t>
        </is>
      </c>
      <c r="B765" s="1" t="n">
        <v>43573</v>
      </c>
      <c r="C765" s="1" t="n">
        <v>45190</v>
      </c>
      <c r="D765" t="inlineStr">
        <is>
          <t>SKÅNE LÄN</t>
        </is>
      </c>
      <c r="E765" t="inlineStr">
        <is>
          <t>HÄSSLEHOLM</t>
        </is>
      </c>
      <c r="G765" t="n">
        <v>0.7</v>
      </c>
      <c r="H765" t="n">
        <v>0</v>
      </c>
      <c r="I765" t="n">
        <v>0</v>
      </c>
      <c r="J765" t="n">
        <v>0</v>
      </c>
      <c r="K765" t="n">
        <v>0</v>
      </c>
      <c r="L765" t="n">
        <v>0</v>
      </c>
      <c r="M765" t="n">
        <v>0</v>
      </c>
      <c r="N765" t="n">
        <v>0</v>
      </c>
      <c r="O765" t="n">
        <v>0</v>
      </c>
      <c r="P765" t="n">
        <v>0</v>
      </c>
      <c r="Q765" t="n">
        <v>0</v>
      </c>
      <c r="R765" s="2" t="inlineStr"/>
    </row>
    <row r="766" ht="15" customHeight="1">
      <c r="A766" t="inlineStr">
        <is>
          <t>A 20732-2019</t>
        </is>
      </c>
      <c r="B766" s="1" t="n">
        <v>43573</v>
      </c>
      <c r="C766" s="1" t="n">
        <v>45190</v>
      </c>
      <c r="D766" t="inlineStr">
        <is>
          <t>SKÅNE LÄN</t>
        </is>
      </c>
      <c r="E766" t="inlineStr">
        <is>
          <t>ÖSTRA GÖINGE</t>
        </is>
      </c>
      <c r="G766" t="n">
        <v>11.1</v>
      </c>
      <c r="H766" t="n">
        <v>0</v>
      </c>
      <c r="I766" t="n">
        <v>0</v>
      </c>
      <c r="J766" t="n">
        <v>0</v>
      </c>
      <c r="K766" t="n">
        <v>0</v>
      </c>
      <c r="L766" t="n">
        <v>0</v>
      </c>
      <c r="M766" t="n">
        <v>0</v>
      </c>
      <c r="N766" t="n">
        <v>0</v>
      </c>
      <c r="O766" t="n">
        <v>0</v>
      </c>
      <c r="P766" t="n">
        <v>0</v>
      </c>
      <c r="Q766" t="n">
        <v>0</v>
      </c>
      <c r="R766" s="2" t="inlineStr"/>
    </row>
    <row r="767" ht="15" customHeight="1">
      <c r="A767" t="inlineStr">
        <is>
          <t>A 20980-2019</t>
        </is>
      </c>
      <c r="B767" s="1" t="n">
        <v>43574</v>
      </c>
      <c r="C767" s="1" t="n">
        <v>45190</v>
      </c>
      <c r="D767" t="inlineStr">
        <is>
          <t>SKÅNE LÄN</t>
        </is>
      </c>
      <c r="E767" t="inlineStr">
        <is>
          <t>OSBY</t>
        </is>
      </c>
      <c r="G767" t="n">
        <v>1.1</v>
      </c>
      <c r="H767" t="n">
        <v>0</v>
      </c>
      <c r="I767" t="n">
        <v>0</v>
      </c>
      <c r="J767" t="n">
        <v>0</v>
      </c>
      <c r="K767" t="n">
        <v>0</v>
      </c>
      <c r="L767" t="n">
        <v>0</v>
      </c>
      <c r="M767" t="n">
        <v>0</v>
      </c>
      <c r="N767" t="n">
        <v>0</v>
      </c>
      <c r="O767" t="n">
        <v>0</v>
      </c>
      <c r="P767" t="n">
        <v>0</v>
      </c>
      <c r="Q767" t="n">
        <v>0</v>
      </c>
      <c r="R767" s="2" t="inlineStr"/>
    </row>
    <row r="768" ht="15" customHeight="1">
      <c r="A768" t="inlineStr">
        <is>
          <t>A 20921-2019</t>
        </is>
      </c>
      <c r="B768" s="1" t="n">
        <v>43574</v>
      </c>
      <c r="C768" s="1" t="n">
        <v>45190</v>
      </c>
      <c r="D768" t="inlineStr">
        <is>
          <t>SKÅNE LÄN</t>
        </is>
      </c>
      <c r="E768" t="inlineStr">
        <is>
          <t>OSBY</t>
        </is>
      </c>
      <c r="G768" t="n">
        <v>1.7</v>
      </c>
      <c r="H768" t="n">
        <v>0</v>
      </c>
      <c r="I768" t="n">
        <v>0</v>
      </c>
      <c r="J768" t="n">
        <v>0</v>
      </c>
      <c r="K768" t="n">
        <v>0</v>
      </c>
      <c r="L768" t="n">
        <v>0</v>
      </c>
      <c r="M768" t="n">
        <v>0</v>
      </c>
      <c r="N768" t="n">
        <v>0</v>
      </c>
      <c r="O768" t="n">
        <v>0</v>
      </c>
      <c r="P768" t="n">
        <v>0</v>
      </c>
      <c r="Q768" t="n">
        <v>0</v>
      </c>
      <c r="R768" s="2" t="inlineStr"/>
    </row>
    <row r="769" ht="15" customHeight="1">
      <c r="A769" t="inlineStr">
        <is>
          <t>A 20934-2019</t>
        </is>
      </c>
      <c r="B769" s="1" t="n">
        <v>43574</v>
      </c>
      <c r="C769" s="1" t="n">
        <v>45190</v>
      </c>
      <c r="D769" t="inlineStr">
        <is>
          <t>SKÅNE LÄN</t>
        </is>
      </c>
      <c r="E769" t="inlineStr">
        <is>
          <t>OSBY</t>
        </is>
      </c>
      <c r="G769" t="n">
        <v>8.1</v>
      </c>
      <c r="H769" t="n">
        <v>0</v>
      </c>
      <c r="I769" t="n">
        <v>0</v>
      </c>
      <c r="J769" t="n">
        <v>0</v>
      </c>
      <c r="K769" t="n">
        <v>0</v>
      </c>
      <c r="L769" t="n">
        <v>0</v>
      </c>
      <c r="M769" t="n">
        <v>0</v>
      </c>
      <c r="N769" t="n">
        <v>0</v>
      </c>
      <c r="O769" t="n">
        <v>0</v>
      </c>
      <c r="P769" t="n">
        <v>0</v>
      </c>
      <c r="Q769" t="n">
        <v>0</v>
      </c>
      <c r="R769" s="2" t="inlineStr"/>
    </row>
    <row r="770" ht="15" customHeight="1">
      <c r="A770" t="inlineStr">
        <is>
          <t>A 21589-2019</t>
        </is>
      </c>
      <c r="B770" s="1" t="n">
        <v>43580</v>
      </c>
      <c r="C770" s="1" t="n">
        <v>45190</v>
      </c>
      <c r="D770" t="inlineStr">
        <is>
          <t>SKÅNE LÄN</t>
        </is>
      </c>
      <c r="E770" t="inlineStr">
        <is>
          <t>SIMRISHAMN</t>
        </is>
      </c>
      <c r="G770" t="n">
        <v>0.9</v>
      </c>
      <c r="H770" t="n">
        <v>0</v>
      </c>
      <c r="I770" t="n">
        <v>0</v>
      </c>
      <c r="J770" t="n">
        <v>0</v>
      </c>
      <c r="K770" t="n">
        <v>0</v>
      </c>
      <c r="L770" t="n">
        <v>0</v>
      </c>
      <c r="M770" t="n">
        <v>0</v>
      </c>
      <c r="N770" t="n">
        <v>0</v>
      </c>
      <c r="O770" t="n">
        <v>0</v>
      </c>
      <c r="P770" t="n">
        <v>0</v>
      </c>
      <c r="Q770" t="n">
        <v>0</v>
      </c>
      <c r="R770" s="2" t="inlineStr"/>
    </row>
    <row r="771" ht="15" customHeight="1">
      <c r="A771" t="inlineStr">
        <is>
          <t>A 21558-2019</t>
        </is>
      </c>
      <c r="B771" s="1" t="n">
        <v>43580</v>
      </c>
      <c r="C771" s="1" t="n">
        <v>45190</v>
      </c>
      <c r="D771" t="inlineStr">
        <is>
          <t>SKÅNE LÄN</t>
        </is>
      </c>
      <c r="E771" t="inlineStr">
        <is>
          <t>ÖRKELLJUNGA</t>
        </is>
      </c>
      <c r="G771" t="n">
        <v>1.5</v>
      </c>
      <c r="H771" t="n">
        <v>0</v>
      </c>
      <c r="I771" t="n">
        <v>0</v>
      </c>
      <c r="J771" t="n">
        <v>0</v>
      </c>
      <c r="K771" t="n">
        <v>0</v>
      </c>
      <c r="L771" t="n">
        <v>0</v>
      </c>
      <c r="M771" t="n">
        <v>0</v>
      </c>
      <c r="N771" t="n">
        <v>0</v>
      </c>
      <c r="O771" t="n">
        <v>0</v>
      </c>
      <c r="P771" t="n">
        <v>0</v>
      </c>
      <c r="Q771" t="n">
        <v>0</v>
      </c>
      <c r="R771" s="2" t="inlineStr"/>
    </row>
    <row r="772" ht="15" customHeight="1">
      <c r="A772" t="inlineStr">
        <is>
          <t>A 21422-2019</t>
        </is>
      </c>
      <c r="B772" s="1" t="n">
        <v>43580</v>
      </c>
      <c r="C772" s="1" t="n">
        <v>45190</v>
      </c>
      <c r="D772" t="inlineStr">
        <is>
          <t>SKÅNE LÄN</t>
        </is>
      </c>
      <c r="E772" t="inlineStr">
        <is>
          <t>PERSTORP</t>
        </is>
      </c>
      <c r="G772" t="n">
        <v>7.5</v>
      </c>
      <c r="H772" t="n">
        <v>0</v>
      </c>
      <c r="I772" t="n">
        <v>0</v>
      </c>
      <c r="J772" t="n">
        <v>0</v>
      </c>
      <c r="K772" t="n">
        <v>0</v>
      </c>
      <c r="L772" t="n">
        <v>0</v>
      </c>
      <c r="M772" t="n">
        <v>0</v>
      </c>
      <c r="N772" t="n">
        <v>0</v>
      </c>
      <c r="O772" t="n">
        <v>0</v>
      </c>
      <c r="P772" t="n">
        <v>0</v>
      </c>
      <c r="Q772" t="n">
        <v>0</v>
      </c>
      <c r="R772" s="2" t="inlineStr"/>
    </row>
    <row r="773" ht="15" customHeight="1">
      <c r="A773" t="inlineStr">
        <is>
          <t>A 21458-2019</t>
        </is>
      </c>
      <c r="B773" s="1" t="n">
        <v>43580</v>
      </c>
      <c r="C773" s="1" t="n">
        <v>45190</v>
      </c>
      <c r="D773" t="inlineStr">
        <is>
          <t>SKÅNE LÄN</t>
        </is>
      </c>
      <c r="E773" t="inlineStr">
        <is>
          <t>HÖRBY</t>
        </is>
      </c>
      <c r="G773" t="n">
        <v>1.3</v>
      </c>
      <c r="H773" t="n">
        <v>0</v>
      </c>
      <c r="I773" t="n">
        <v>0</v>
      </c>
      <c r="J773" t="n">
        <v>0</v>
      </c>
      <c r="K773" t="n">
        <v>0</v>
      </c>
      <c r="L773" t="n">
        <v>0</v>
      </c>
      <c r="M773" t="n">
        <v>0</v>
      </c>
      <c r="N773" t="n">
        <v>0</v>
      </c>
      <c r="O773" t="n">
        <v>0</v>
      </c>
      <c r="P773" t="n">
        <v>0</v>
      </c>
      <c r="Q773" t="n">
        <v>0</v>
      </c>
      <c r="R773" s="2" t="inlineStr"/>
    </row>
    <row r="774" ht="15" customHeight="1">
      <c r="A774" t="inlineStr">
        <is>
          <t>A 21535-2019</t>
        </is>
      </c>
      <c r="B774" s="1" t="n">
        <v>43580</v>
      </c>
      <c r="C774" s="1" t="n">
        <v>45190</v>
      </c>
      <c r="D774" t="inlineStr">
        <is>
          <t>SKÅNE LÄN</t>
        </is>
      </c>
      <c r="E774" t="inlineStr">
        <is>
          <t>HÄSSLEHOLM</t>
        </is>
      </c>
      <c r="G774" t="n">
        <v>1.1</v>
      </c>
      <c r="H774" t="n">
        <v>0</v>
      </c>
      <c r="I774" t="n">
        <v>0</v>
      </c>
      <c r="J774" t="n">
        <v>0</v>
      </c>
      <c r="K774" t="n">
        <v>0</v>
      </c>
      <c r="L774" t="n">
        <v>0</v>
      </c>
      <c r="M774" t="n">
        <v>0</v>
      </c>
      <c r="N774" t="n">
        <v>0</v>
      </c>
      <c r="O774" t="n">
        <v>0</v>
      </c>
      <c r="P774" t="n">
        <v>0</v>
      </c>
      <c r="Q774" t="n">
        <v>0</v>
      </c>
      <c r="R774" s="2" t="inlineStr"/>
    </row>
    <row r="775" ht="15" customHeight="1">
      <c r="A775" t="inlineStr">
        <is>
          <t>A 21578-2019</t>
        </is>
      </c>
      <c r="B775" s="1" t="n">
        <v>43580</v>
      </c>
      <c r="C775" s="1" t="n">
        <v>45190</v>
      </c>
      <c r="D775" t="inlineStr">
        <is>
          <t>SKÅNE LÄN</t>
        </is>
      </c>
      <c r="E775" t="inlineStr">
        <is>
          <t>KRISTIANSTAD</t>
        </is>
      </c>
      <c r="G775" t="n">
        <v>4.7</v>
      </c>
      <c r="H775" t="n">
        <v>0</v>
      </c>
      <c r="I775" t="n">
        <v>0</v>
      </c>
      <c r="J775" t="n">
        <v>0</v>
      </c>
      <c r="K775" t="n">
        <v>0</v>
      </c>
      <c r="L775" t="n">
        <v>0</v>
      </c>
      <c r="M775" t="n">
        <v>0</v>
      </c>
      <c r="N775" t="n">
        <v>0</v>
      </c>
      <c r="O775" t="n">
        <v>0</v>
      </c>
      <c r="P775" t="n">
        <v>0</v>
      </c>
      <c r="Q775" t="n">
        <v>0</v>
      </c>
      <c r="R775" s="2" t="inlineStr"/>
    </row>
    <row r="776" ht="15" customHeight="1">
      <c r="A776" t="inlineStr">
        <is>
          <t>A 21534-2019</t>
        </is>
      </c>
      <c r="B776" s="1" t="n">
        <v>43580</v>
      </c>
      <c r="C776" s="1" t="n">
        <v>45190</v>
      </c>
      <c r="D776" t="inlineStr">
        <is>
          <t>SKÅNE LÄN</t>
        </is>
      </c>
      <c r="E776" t="inlineStr">
        <is>
          <t>HÄSSLEHOLM</t>
        </is>
      </c>
      <c r="G776" t="n">
        <v>1.6</v>
      </c>
      <c r="H776" t="n">
        <v>0</v>
      </c>
      <c r="I776" t="n">
        <v>0</v>
      </c>
      <c r="J776" t="n">
        <v>0</v>
      </c>
      <c r="K776" t="n">
        <v>0</v>
      </c>
      <c r="L776" t="n">
        <v>0</v>
      </c>
      <c r="M776" t="n">
        <v>0</v>
      </c>
      <c r="N776" t="n">
        <v>0</v>
      </c>
      <c r="O776" t="n">
        <v>0</v>
      </c>
      <c r="P776" t="n">
        <v>0</v>
      </c>
      <c r="Q776" t="n">
        <v>0</v>
      </c>
      <c r="R776" s="2" t="inlineStr"/>
    </row>
    <row r="777" ht="15" customHeight="1">
      <c r="A777" t="inlineStr">
        <is>
          <t>A 21629-2019</t>
        </is>
      </c>
      <c r="B777" s="1" t="n">
        <v>43581</v>
      </c>
      <c r="C777" s="1" t="n">
        <v>45190</v>
      </c>
      <c r="D777" t="inlineStr">
        <is>
          <t>SKÅNE LÄN</t>
        </is>
      </c>
      <c r="E777" t="inlineStr">
        <is>
          <t>BROMÖLLA</t>
        </is>
      </c>
      <c r="G777" t="n">
        <v>5.9</v>
      </c>
      <c r="H777" t="n">
        <v>0</v>
      </c>
      <c r="I777" t="n">
        <v>0</v>
      </c>
      <c r="J777" t="n">
        <v>0</v>
      </c>
      <c r="K777" t="n">
        <v>0</v>
      </c>
      <c r="L777" t="n">
        <v>0</v>
      </c>
      <c r="M777" t="n">
        <v>0</v>
      </c>
      <c r="N777" t="n">
        <v>0</v>
      </c>
      <c r="O777" t="n">
        <v>0</v>
      </c>
      <c r="P777" t="n">
        <v>0</v>
      </c>
      <c r="Q777" t="n">
        <v>0</v>
      </c>
      <c r="R777" s="2" t="inlineStr"/>
    </row>
    <row r="778" ht="15" customHeight="1">
      <c r="A778" t="inlineStr">
        <is>
          <t>A 21637-2019</t>
        </is>
      </c>
      <c r="B778" s="1" t="n">
        <v>43581</v>
      </c>
      <c r="C778" s="1" t="n">
        <v>45190</v>
      </c>
      <c r="D778" t="inlineStr">
        <is>
          <t>SKÅNE LÄN</t>
        </is>
      </c>
      <c r="E778" t="inlineStr">
        <is>
          <t>OSBY</t>
        </is>
      </c>
      <c r="G778" t="n">
        <v>3.4</v>
      </c>
      <c r="H778" t="n">
        <v>0</v>
      </c>
      <c r="I778" t="n">
        <v>0</v>
      </c>
      <c r="J778" t="n">
        <v>0</v>
      </c>
      <c r="K778" t="n">
        <v>0</v>
      </c>
      <c r="L778" t="n">
        <v>0</v>
      </c>
      <c r="M778" t="n">
        <v>0</v>
      </c>
      <c r="N778" t="n">
        <v>0</v>
      </c>
      <c r="O778" t="n">
        <v>0</v>
      </c>
      <c r="P778" t="n">
        <v>0</v>
      </c>
      <c r="Q778" t="n">
        <v>0</v>
      </c>
      <c r="R778" s="2" t="inlineStr"/>
    </row>
    <row r="779" ht="15" customHeight="1">
      <c r="A779" t="inlineStr">
        <is>
          <t>A 21976-2019</t>
        </is>
      </c>
      <c r="B779" s="1" t="n">
        <v>43584</v>
      </c>
      <c r="C779" s="1" t="n">
        <v>45190</v>
      </c>
      <c r="D779" t="inlineStr">
        <is>
          <t>SKÅNE LÄN</t>
        </is>
      </c>
      <c r="E779" t="inlineStr">
        <is>
          <t>HÄSSLEHOLM</t>
        </is>
      </c>
      <c r="F779" t="inlineStr">
        <is>
          <t>Övriga Aktiebolag</t>
        </is>
      </c>
      <c r="G779" t="n">
        <v>1.9</v>
      </c>
      <c r="H779" t="n">
        <v>0</v>
      </c>
      <c r="I779" t="n">
        <v>0</v>
      </c>
      <c r="J779" t="n">
        <v>0</v>
      </c>
      <c r="K779" t="n">
        <v>0</v>
      </c>
      <c r="L779" t="n">
        <v>0</v>
      </c>
      <c r="M779" t="n">
        <v>0</v>
      </c>
      <c r="N779" t="n">
        <v>0</v>
      </c>
      <c r="O779" t="n">
        <v>0</v>
      </c>
      <c r="P779" t="n">
        <v>0</v>
      </c>
      <c r="Q779" t="n">
        <v>0</v>
      </c>
      <c r="R779" s="2" t="inlineStr"/>
    </row>
    <row r="780" ht="15" customHeight="1">
      <c r="A780" t="inlineStr">
        <is>
          <t>A 21901-2019</t>
        </is>
      </c>
      <c r="B780" s="1" t="n">
        <v>43584</v>
      </c>
      <c r="C780" s="1" t="n">
        <v>45190</v>
      </c>
      <c r="D780" t="inlineStr">
        <is>
          <t>SKÅNE LÄN</t>
        </is>
      </c>
      <c r="E780" t="inlineStr">
        <is>
          <t>PERSTORP</t>
        </is>
      </c>
      <c r="F780" t="inlineStr">
        <is>
          <t>Övriga Aktiebolag</t>
        </is>
      </c>
      <c r="G780" t="n">
        <v>2.9</v>
      </c>
      <c r="H780" t="n">
        <v>0</v>
      </c>
      <c r="I780" t="n">
        <v>0</v>
      </c>
      <c r="J780" t="n">
        <v>0</v>
      </c>
      <c r="K780" t="n">
        <v>0</v>
      </c>
      <c r="L780" t="n">
        <v>0</v>
      </c>
      <c r="M780" t="n">
        <v>0</v>
      </c>
      <c r="N780" t="n">
        <v>0</v>
      </c>
      <c r="O780" t="n">
        <v>0</v>
      </c>
      <c r="P780" t="n">
        <v>0</v>
      </c>
      <c r="Q780" t="n">
        <v>0</v>
      </c>
      <c r="R780" s="2" t="inlineStr"/>
    </row>
    <row r="781" ht="15" customHeight="1">
      <c r="A781" t="inlineStr">
        <is>
          <t>A 21927-2019</t>
        </is>
      </c>
      <c r="B781" s="1" t="n">
        <v>43584</v>
      </c>
      <c r="C781" s="1" t="n">
        <v>45190</v>
      </c>
      <c r="D781" t="inlineStr">
        <is>
          <t>SKÅNE LÄN</t>
        </is>
      </c>
      <c r="E781" t="inlineStr">
        <is>
          <t>KLIPPAN</t>
        </is>
      </c>
      <c r="G781" t="n">
        <v>1.8</v>
      </c>
      <c r="H781" t="n">
        <v>0</v>
      </c>
      <c r="I781" t="n">
        <v>0</v>
      </c>
      <c r="J781" t="n">
        <v>0</v>
      </c>
      <c r="K781" t="n">
        <v>0</v>
      </c>
      <c r="L781" t="n">
        <v>0</v>
      </c>
      <c r="M781" t="n">
        <v>0</v>
      </c>
      <c r="N781" t="n">
        <v>0</v>
      </c>
      <c r="O781" t="n">
        <v>0</v>
      </c>
      <c r="P781" t="n">
        <v>0</v>
      </c>
      <c r="Q781" t="n">
        <v>0</v>
      </c>
      <c r="R781" s="2" t="inlineStr"/>
    </row>
    <row r="782" ht="15" customHeight="1">
      <c r="A782" t="inlineStr">
        <is>
          <t>A 22121-2019</t>
        </is>
      </c>
      <c r="B782" s="1" t="n">
        <v>43585</v>
      </c>
      <c r="C782" s="1" t="n">
        <v>45190</v>
      </c>
      <c r="D782" t="inlineStr">
        <is>
          <t>SKÅNE LÄN</t>
        </is>
      </c>
      <c r="E782" t="inlineStr">
        <is>
          <t>KLIPPAN</t>
        </is>
      </c>
      <c r="G782" t="n">
        <v>4.7</v>
      </c>
      <c r="H782" t="n">
        <v>0</v>
      </c>
      <c r="I782" t="n">
        <v>0</v>
      </c>
      <c r="J782" t="n">
        <v>0</v>
      </c>
      <c r="K782" t="n">
        <v>0</v>
      </c>
      <c r="L782" t="n">
        <v>0</v>
      </c>
      <c r="M782" t="n">
        <v>0</v>
      </c>
      <c r="N782" t="n">
        <v>0</v>
      </c>
      <c r="O782" t="n">
        <v>0</v>
      </c>
      <c r="P782" t="n">
        <v>0</v>
      </c>
      <c r="Q782" t="n">
        <v>0</v>
      </c>
      <c r="R782" s="2" t="inlineStr"/>
    </row>
    <row r="783" ht="15" customHeight="1">
      <c r="A783" t="inlineStr">
        <is>
          <t>A 22176-2019</t>
        </is>
      </c>
      <c r="B783" s="1" t="n">
        <v>43585</v>
      </c>
      <c r="C783" s="1" t="n">
        <v>45190</v>
      </c>
      <c r="D783" t="inlineStr">
        <is>
          <t>SKÅNE LÄN</t>
        </is>
      </c>
      <c r="E783" t="inlineStr">
        <is>
          <t>OSBY</t>
        </is>
      </c>
      <c r="G783" t="n">
        <v>7.3</v>
      </c>
      <c r="H783" t="n">
        <v>0</v>
      </c>
      <c r="I783" t="n">
        <v>0</v>
      </c>
      <c r="J783" t="n">
        <v>0</v>
      </c>
      <c r="K783" t="n">
        <v>0</v>
      </c>
      <c r="L783" t="n">
        <v>0</v>
      </c>
      <c r="M783" t="n">
        <v>0</v>
      </c>
      <c r="N783" t="n">
        <v>0</v>
      </c>
      <c r="O783" t="n">
        <v>0</v>
      </c>
      <c r="P783" t="n">
        <v>0</v>
      </c>
      <c r="Q783" t="n">
        <v>0</v>
      </c>
      <c r="R783" s="2" t="inlineStr"/>
    </row>
    <row r="784" ht="15" customHeight="1">
      <c r="A784" t="inlineStr">
        <is>
          <t>A 22118-2019</t>
        </is>
      </c>
      <c r="B784" s="1" t="n">
        <v>43585</v>
      </c>
      <c r="C784" s="1" t="n">
        <v>45190</v>
      </c>
      <c r="D784" t="inlineStr">
        <is>
          <t>SKÅNE LÄN</t>
        </is>
      </c>
      <c r="E784" t="inlineStr">
        <is>
          <t>KLIPPAN</t>
        </is>
      </c>
      <c r="G784" t="n">
        <v>0.4</v>
      </c>
      <c r="H784" t="n">
        <v>0</v>
      </c>
      <c r="I784" t="n">
        <v>0</v>
      </c>
      <c r="J784" t="n">
        <v>0</v>
      </c>
      <c r="K784" t="n">
        <v>0</v>
      </c>
      <c r="L784" t="n">
        <v>0</v>
      </c>
      <c r="M784" t="n">
        <v>0</v>
      </c>
      <c r="N784" t="n">
        <v>0</v>
      </c>
      <c r="O784" t="n">
        <v>0</v>
      </c>
      <c r="P784" t="n">
        <v>0</v>
      </c>
      <c r="Q784" t="n">
        <v>0</v>
      </c>
      <c r="R784" s="2" t="inlineStr"/>
    </row>
    <row r="785" ht="15" customHeight="1">
      <c r="A785" t="inlineStr">
        <is>
          <t>A 22177-2019</t>
        </is>
      </c>
      <c r="B785" s="1" t="n">
        <v>43585</v>
      </c>
      <c r="C785" s="1" t="n">
        <v>45190</v>
      </c>
      <c r="D785" t="inlineStr">
        <is>
          <t>SKÅNE LÄN</t>
        </is>
      </c>
      <c r="E785" t="inlineStr">
        <is>
          <t>OSBY</t>
        </is>
      </c>
      <c r="G785" t="n">
        <v>0.6</v>
      </c>
      <c r="H785" t="n">
        <v>0</v>
      </c>
      <c r="I785" t="n">
        <v>0</v>
      </c>
      <c r="J785" t="n">
        <v>0</v>
      </c>
      <c r="K785" t="n">
        <v>0</v>
      </c>
      <c r="L785" t="n">
        <v>0</v>
      </c>
      <c r="M785" t="n">
        <v>0</v>
      </c>
      <c r="N785" t="n">
        <v>0</v>
      </c>
      <c r="O785" t="n">
        <v>0</v>
      </c>
      <c r="P785" t="n">
        <v>0</v>
      </c>
      <c r="Q785" t="n">
        <v>0</v>
      </c>
      <c r="R785" s="2" t="inlineStr"/>
    </row>
    <row r="786" ht="15" customHeight="1">
      <c r="A786" t="inlineStr">
        <is>
          <t>A 22164-2019</t>
        </is>
      </c>
      <c r="B786" s="1" t="n">
        <v>43585</v>
      </c>
      <c r="C786" s="1" t="n">
        <v>45190</v>
      </c>
      <c r="D786" t="inlineStr">
        <is>
          <t>SKÅNE LÄN</t>
        </is>
      </c>
      <c r="E786" t="inlineStr">
        <is>
          <t>OSBY</t>
        </is>
      </c>
      <c r="G786" t="n">
        <v>1.3</v>
      </c>
      <c r="H786" t="n">
        <v>0</v>
      </c>
      <c r="I786" t="n">
        <v>0</v>
      </c>
      <c r="J786" t="n">
        <v>0</v>
      </c>
      <c r="K786" t="n">
        <v>0</v>
      </c>
      <c r="L786" t="n">
        <v>0</v>
      </c>
      <c r="M786" t="n">
        <v>0</v>
      </c>
      <c r="N786" t="n">
        <v>0</v>
      </c>
      <c r="O786" t="n">
        <v>0</v>
      </c>
      <c r="P786" t="n">
        <v>0</v>
      </c>
      <c r="Q786" t="n">
        <v>0</v>
      </c>
      <c r="R786" s="2" t="inlineStr"/>
    </row>
    <row r="787" ht="15" customHeight="1">
      <c r="A787" t="inlineStr">
        <is>
          <t>A 22353-2019</t>
        </is>
      </c>
      <c r="B787" s="1" t="n">
        <v>43585</v>
      </c>
      <c r="C787" s="1" t="n">
        <v>45190</v>
      </c>
      <c r="D787" t="inlineStr">
        <is>
          <t>SKÅNE LÄN</t>
        </is>
      </c>
      <c r="E787" t="inlineStr">
        <is>
          <t>SJÖBO</t>
        </is>
      </c>
      <c r="G787" t="n">
        <v>7.5</v>
      </c>
      <c r="H787" t="n">
        <v>0</v>
      </c>
      <c r="I787" t="n">
        <v>0</v>
      </c>
      <c r="J787" t="n">
        <v>0</v>
      </c>
      <c r="K787" t="n">
        <v>0</v>
      </c>
      <c r="L787" t="n">
        <v>0</v>
      </c>
      <c r="M787" t="n">
        <v>0</v>
      </c>
      <c r="N787" t="n">
        <v>0</v>
      </c>
      <c r="O787" t="n">
        <v>0</v>
      </c>
      <c r="P787" t="n">
        <v>0</v>
      </c>
      <c r="Q787" t="n">
        <v>0</v>
      </c>
      <c r="R787" s="2" t="inlineStr"/>
    </row>
    <row r="788" ht="15" customHeight="1">
      <c r="A788" t="inlineStr">
        <is>
          <t>A 22328-2019</t>
        </is>
      </c>
      <c r="B788" s="1" t="n">
        <v>43586</v>
      </c>
      <c r="C788" s="1" t="n">
        <v>45190</v>
      </c>
      <c r="D788" t="inlineStr">
        <is>
          <t>SKÅNE LÄN</t>
        </is>
      </c>
      <c r="E788" t="inlineStr">
        <is>
          <t>OSBY</t>
        </is>
      </c>
      <c r="F788" t="inlineStr">
        <is>
          <t>Naturvårdsverket</t>
        </is>
      </c>
      <c r="G788" t="n">
        <v>2.3</v>
      </c>
      <c r="H788" t="n">
        <v>0</v>
      </c>
      <c r="I788" t="n">
        <v>0</v>
      </c>
      <c r="J788" t="n">
        <v>0</v>
      </c>
      <c r="K788" t="n">
        <v>0</v>
      </c>
      <c r="L788" t="n">
        <v>0</v>
      </c>
      <c r="M788" t="n">
        <v>0</v>
      </c>
      <c r="N788" t="n">
        <v>0</v>
      </c>
      <c r="O788" t="n">
        <v>0</v>
      </c>
      <c r="P788" t="n">
        <v>0</v>
      </c>
      <c r="Q788" t="n">
        <v>0</v>
      </c>
      <c r="R788" s="2" t="inlineStr"/>
    </row>
    <row r="789" ht="15" customHeight="1">
      <c r="A789" t="inlineStr">
        <is>
          <t>A 22516-2019</t>
        </is>
      </c>
      <c r="B789" s="1" t="n">
        <v>43587</v>
      </c>
      <c r="C789" s="1" t="n">
        <v>45190</v>
      </c>
      <c r="D789" t="inlineStr">
        <is>
          <t>SKÅNE LÄN</t>
        </is>
      </c>
      <c r="E789" t="inlineStr">
        <is>
          <t>ÄNGELHOLM</t>
        </is>
      </c>
      <c r="G789" t="n">
        <v>3</v>
      </c>
      <c r="H789" t="n">
        <v>0</v>
      </c>
      <c r="I789" t="n">
        <v>0</v>
      </c>
      <c r="J789" t="n">
        <v>0</v>
      </c>
      <c r="K789" t="n">
        <v>0</v>
      </c>
      <c r="L789" t="n">
        <v>0</v>
      </c>
      <c r="M789" t="n">
        <v>0</v>
      </c>
      <c r="N789" t="n">
        <v>0</v>
      </c>
      <c r="O789" t="n">
        <v>0</v>
      </c>
      <c r="P789" t="n">
        <v>0</v>
      </c>
      <c r="Q789" t="n">
        <v>0</v>
      </c>
      <c r="R789" s="2" t="inlineStr"/>
    </row>
    <row r="790" ht="15" customHeight="1">
      <c r="A790" t="inlineStr">
        <is>
          <t>A 22919-2019</t>
        </is>
      </c>
      <c r="B790" s="1" t="n">
        <v>43587</v>
      </c>
      <c r="C790" s="1" t="n">
        <v>45190</v>
      </c>
      <c r="D790" t="inlineStr">
        <is>
          <t>SKÅNE LÄN</t>
        </is>
      </c>
      <c r="E790" t="inlineStr">
        <is>
          <t>HÖÖR</t>
        </is>
      </c>
      <c r="G790" t="n">
        <v>0.6</v>
      </c>
      <c r="H790" t="n">
        <v>0</v>
      </c>
      <c r="I790" t="n">
        <v>0</v>
      </c>
      <c r="J790" t="n">
        <v>0</v>
      </c>
      <c r="K790" t="n">
        <v>0</v>
      </c>
      <c r="L790" t="n">
        <v>0</v>
      </c>
      <c r="M790" t="n">
        <v>0</v>
      </c>
      <c r="N790" t="n">
        <v>0</v>
      </c>
      <c r="O790" t="n">
        <v>0</v>
      </c>
      <c r="P790" t="n">
        <v>0</v>
      </c>
      <c r="Q790" t="n">
        <v>0</v>
      </c>
      <c r="R790" s="2" t="inlineStr"/>
    </row>
    <row r="791" ht="15" customHeight="1">
      <c r="A791" t="inlineStr">
        <is>
          <t>A 22624-2019</t>
        </is>
      </c>
      <c r="B791" s="1" t="n">
        <v>43588</v>
      </c>
      <c r="C791" s="1" t="n">
        <v>45190</v>
      </c>
      <c r="D791" t="inlineStr">
        <is>
          <t>SKÅNE LÄN</t>
        </is>
      </c>
      <c r="E791" t="inlineStr">
        <is>
          <t>HÖRBY</t>
        </is>
      </c>
      <c r="G791" t="n">
        <v>1.9</v>
      </c>
      <c r="H791" t="n">
        <v>0</v>
      </c>
      <c r="I791" t="n">
        <v>0</v>
      </c>
      <c r="J791" t="n">
        <v>0</v>
      </c>
      <c r="K791" t="n">
        <v>0</v>
      </c>
      <c r="L791" t="n">
        <v>0</v>
      </c>
      <c r="M791" t="n">
        <v>0</v>
      </c>
      <c r="N791" t="n">
        <v>0</v>
      </c>
      <c r="O791" t="n">
        <v>0</v>
      </c>
      <c r="P791" t="n">
        <v>0</v>
      </c>
      <c r="Q791" t="n">
        <v>0</v>
      </c>
      <c r="R791" s="2" t="inlineStr"/>
    </row>
    <row r="792" ht="15" customHeight="1">
      <c r="A792" t="inlineStr">
        <is>
          <t>A 22638-2019</t>
        </is>
      </c>
      <c r="B792" s="1" t="n">
        <v>43588</v>
      </c>
      <c r="C792" s="1" t="n">
        <v>45190</v>
      </c>
      <c r="D792" t="inlineStr">
        <is>
          <t>SKÅNE LÄN</t>
        </is>
      </c>
      <c r="E792" t="inlineStr">
        <is>
          <t>OSBY</t>
        </is>
      </c>
      <c r="G792" t="n">
        <v>0.2</v>
      </c>
      <c r="H792" t="n">
        <v>0</v>
      </c>
      <c r="I792" t="n">
        <v>0</v>
      </c>
      <c r="J792" t="n">
        <v>0</v>
      </c>
      <c r="K792" t="n">
        <v>0</v>
      </c>
      <c r="L792" t="n">
        <v>0</v>
      </c>
      <c r="M792" t="n">
        <v>0</v>
      </c>
      <c r="N792" t="n">
        <v>0</v>
      </c>
      <c r="O792" t="n">
        <v>0</v>
      </c>
      <c r="P792" t="n">
        <v>0</v>
      </c>
      <c r="Q792" t="n">
        <v>0</v>
      </c>
      <c r="R792" s="2" t="inlineStr"/>
    </row>
    <row r="793" ht="15" customHeight="1">
      <c r="A793" t="inlineStr">
        <is>
          <t>A 23006-2019</t>
        </is>
      </c>
      <c r="B793" s="1" t="n">
        <v>43591</v>
      </c>
      <c r="C793" s="1" t="n">
        <v>45190</v>
      </c>
      <c r="D793" t="inlineStr">
        <is>
          <t>SKÅNE LÄN</t>
        </is>
      </c>
      <c r="E793" t="inlineStr">
        <is>
          <t>HÄSSLEHOLM</t>
        </is>
      </c>
      <c r="G793" t="n">
        <v>1.6</v>
      </c>
      <c r="H793" t="n">
        <v>0</v>
      </c>
      <c r="I793" t="n">
        <v>0</v>
      </c>
      <c r="J793" t="n">
        <v>0</v>
      </c>
      <c r="K793" t="n">
        <v>0</v>
      </c>
      <c r="L793" t="n">
        <v>0</v>
      </c>
      <c r="M793" t="n">
        <v>0</v>
      </c>
      <c r="N793" t="n">
        <v>0</v>
      </c>
      <c r="O793" t="n">
        <v>0</v>
      </c>
      <c r="P793" t="n">
        <v>0</v>
      </c>
      <c r="Q793" t="n">
        <v>0</v>
      </c>
      <c r="R793" s="2" t="inlineStr"/>
    </row>
    <row r="794" ht="15" customHeight="1">
      <c r="A794" t="inlineStr">
        <is>
          <t>A 23170-2019</t>
        </is>
      </c>
      <c r="B794" s="1" t="n">
        <v>43591</v>
      </c>
      <c r="C794" s="1" t="n">
        <v>45190</v>
      </c>
      <c r="D794" t="inlineStr">
        <is>
          <t>SKÅNE LÄN</t>
        </is>
      </c>
      <c r="E794" t="inlineStr">
        <is>
          <t>ÖSTRA GÖINGE</t>
        </is>
      </c>
      <c r="G794" t="n">
        <v>11.1</v>
      </c>
      <c r="H794" t="n">
        <v>0</v>
      </c>
      <c r="I794" t="n">
        <v>0</v>
      </c>
      <c r="J794" t="n">
        <v>0</v>
      </c>
      <c r="K794" t="n">
        <v>0</v>
      </c>
      <c r="L794" t="n">
        <v>0</v>
      </c>
      <c r="M794" t="n">
        <v>0</v>
      </c>
      <c r="N794" t="n">
        <v>0</v>
      </c>
      <c r="O794" t="n">
        <v>0</v>
      </c>
      <c r="P794" t="n">
        <v>0</v>
      </c>
      <c r="Q794" t="n">
        <v>0</v>
      </c>
      <c r="R794" s="2" t="inlineStr"/>
    </row>
    <row r="795" ht="15" customHeight="1">
      <c r="A795" t="inlineStr">
        <is>
          <t>A 23505-2019</t>
        </is>
      </c>
      <c r="B795" s="1" t="n">
        <v>43593</v>
      </c>
      <c r="C795" s="1" t="n">
        <v>45190</v>
      </c>
      <c r="D795" t="inlineStr">
        <is>
          <t>SKÅNE LÄN</t>
        </is>
      </c>
      <c r="E795" t="inlineStr">
        <is>
          <t>HÄSSLEHOLM</t>
        </is>
      </c>
      <c r="F795" t="inlineStr">
        <is>
          <t>Kyrkan</t>
        </is>
      </c>
      <c r="G795" t="n">
        <v>1.2</v>
      </c>
      <c r="H795" t="n">
        <v>0</v>
      </c>
      <c r="I795" t="n">
        <v>0</v>
      </c>
      <c r="J795" t="n">
        <v>0</v>
      </c>
      <c r="K795" t="n">
        <v>0</v>
      </c>
      <c r="L795" t="n">
        <v>0</v>
      </c>
      <c r="M795" t="n">
        <v>0</v>
      </c>
      <c r="N795" t="n">
        <v>0</v>
      </c>
      <c r="O795" t="n">
        <v>0</v>
      </c>
      <c r="P795" t="n">
        <v>0</v>
      </c>
      <c r="Q795" t="n">
        <v>0</v>
      </c>
      <c r="R795" s="2" t="inlineStr"/>
    </row>
    <row r="796" ht="15" customHeight="1">
      <c r="A796" t="inlineStr">
        <is>
          <t>A 23781-2019</t>
        </is>
      </c>
      <c r="B796" s="1" t="n">
        <v>43595</v>
      </c>
      <c r="C796" s="1" t="n">
        <v>45190</v>
      </c>
      <c r="D796" t="inlineStr">
        <is>
          <t>SKÅNE LÄN</t>
        </is>
      </c>
      <c r="E796" t="inlineStr">
        <is>
          <t>ÄNGELHOLM</t>
        </is>
      </c>
      <c r="G796" t="n">
        <v>2.1</v>
      </c>
      <c r="H796" t="n">
        <v>0</v>
      </c>
      <c r="I796" t="n">
        <v>0</v>
      </c>
      <c r="J796" t="n">
        <v>0</v>
      </c>
      <c r="K796" t="n">
        <v>0</v>
      </c>
      <c r="L796" t="n">
        <v>0</v>
      </c>
      <c r="M796" t="n">
        <v>0</v>
      </c>
      <c r="N796" t="n">
        <v>0</v>
      </c>
      <c r="O796" t="n">
        <v>0</v>
      </c>
      <c r="P796" t="n">
        <v>0</v>
      </c>
      <c r="Q796" t="n">
        <v>0</v>
      </c>
      <c r="R796" s="2" t="inlineStr"/>
    </row>
    <row r="797" ht="15" customHeight="1">
      <c r="A797" t="inlineStr">
        <is>
          <t>A 24200-2019</t>
        </is>
      </c>
      <c r="B797" s="1" t="n">
        <v>43595</v>
      </c>
      <c r="C797" s="1" t="n">
        <v>45190</v>
      </c>
      <c r="D797" t="inlineStr">
        <is>
          <t>SKÅNE LÄN</t>
        </is>
      </c>
      <c r="E797" t="inlineStr">
        <is>
          <t>PERSTORP</t>
        </is>
      </c>
      <c r="G797" t="n">
        <v>0.7</v>
      </c>
      <c r="H797" t="n">
        <v>0</v>
      </c>
      <c r="I797" t="n">
        <v>0</v>
      </c>
      <c r="J797" t="n">
        <v>0</v>
      </c>
      <c r="K797" t="n">
        <v>0</v>
      </c>
      <c r="L797" t="n">
        <v>0</v>
      </c>
      <c r="M797" t="n">
        <v>0</v>
      </c>
      <c r="N797" t="n">
        <v>0</v>
      </c>
      <c r="O797" t="n">
        <v>0</v>
      </c>
      <c r="P797" t="n">
        <v>0</v>
      </c>
      <c r="Q797" t="n">
        <v>0</v>
      </c>
      <c r="R797" s="2" t="inlineStr"/>
    </row>
    <row r="798" ht="15" customHeight="1">
      <c r="A798" t="inlineStr">
        <is>
          <t>A 23837-2019</t>
        </is>
      </c>
      <c r="B798" s="1" t="n">
        <v>43595</v>
      </c>
      <c r="C798" s="1" t="n">
        <v>45190</v>
      </c>
      <c r="D798" t="inlineStr">
        <is>
          <t>SKÅNE LÄN</t>
        </is>
      </c>
      <c r="E798" t="inlineStr">
        <is>
          <t>ESLÖV</t>
        </is>
      </c>
      <c r="G798" t="n">
        <v>3.4</v>
      </c>
      <c r="H798" t="n">
        <v>0</v>
      </c>
      <c r="I798" t="n">
        <v>0</v>
      </c>
      <c r="J798" t="n">
        <v>0</v>
      </c>
      <c r="K798" t="n">
        <v>0</v>
      </c>
      <c r="L798" t="n">
        <v>0</v>
      </c>
      <c r="M798" t="n">
        <v>0</v>
      </c>
      <c r="N798" t="n">
        <v>0</v>
      </c>
      <c r="O798" t="n">
        <v>0</v>
      </c>
      <c r="P798" t="n">
        <v>0</v>
      </c>
      <c r="Q798" t="n">
        <v>0</v>
      </c>
      <c r="R798" s="2" t="inlineStr"/>
    </row>
    <row r="799" ht="15" customHeight="1">
      <c r="A799" t="inlineStr">
        <is>
          <t>A 24291-2019</t>
        </is>
      </c>
      <c r="B799" s="1" t="n">
        <v>43598</v>
      </c>
      <c r="C799" s="1" t="n">
        <v>45190</v>
      </c>
      <c r="D799" t="inlineStr">
        <is>
          <t>SKÅNE LÄN</t>
        </is>
      </c>
      <c r="E799" t="inlineStr">
        <is>
          <t>PERSTORP</t>
        </is>
      </c>
      <c r="G799" t="n">
        <v>3.5</v>
      </c>
      <c r="H799" t="n">
        <v>0</v>
      </c>
      <c r="I799" t="n">
        <v>0</v>
      </c>
      <c r="J799" t="n">
        <v>0</v>
      </c>
      <c r="K799" t="n">
        <v>0</v>
      </c>
      <c r="L799" t="n">
        <v>0</v>
      </c>
      <c r="M799" t="n">
        <v>0</v>
      </c>
      <c r="N799" t="n">
        <v>0</v>
      </c>
      <c r="O799" t="n">
        <v>0</v>
      </c>
      <c r="P799" t="n">
        <v>0</v>
      </c>
      <c r="Q799" t="n">
        <v>0</v>
      </c>
      <c r="R799" s="2" t="inlineStr"/>
    </row>
    <row r="800" ht="15" customHeight="1">
      <c r="A800" t="inlineStr">
        <is>
          <t>A 24095-2019</t>
        </is>
      </c>
      <c r="B800" s="1" t="n">
        <v>43598</v>
      </c>
      <c r="C800" s="1" t="n">
        <v>45190</v>
      </c>
      <c r="D800" t="inlineStr">
        <is>
          <t>SKÅNE LÄN</t>
        </is>
      </c>
      <c r="E800" t="inlineStr">
        <is>
          <t>ÄNGELHOLM</t>
        </is>
      </c>
      <c r="G800" t="n">
        <v>3.7</v>
      </c>
      <c r="H800" t="n">
        <v>0</v>
      </c>
      <c r="I800" t="n">
        <v>0</v>
      </c>
      <c r="J800" t="n">
        <v>0</v>
      </c>
      <c r="K800" t="n">
        <v>0</v>
      </c>
      <c r="L800" t="n">
        <v>0</v>
      </c>
      <c r="M800" t="n">
        <v>0</v>
      </c>
      <c r="N800" t="n">
        <v>0</v>
      </c>
      <c r="O800" t="n">
        <v>0</v>
      </c>
      <c r="P800" t="n">
        <v>0</v>
      </c>
      <c r="Q800" t="n">
        <v>0</v>
      </c>
      <c r="R800" s="2" t="inlineStr"/>
    </row>
    <row r="801" ht="15" customHeight="1">
      <c r="A801" t="inlineStr">
        <is>
          <t>A 24083-2019</t>
        </is>
      </c>
      <c r="B801" s="1" t="n">
        <v>43598</v>
      </c>
      <c r="C801" s="1" t="n">
        <v>45190</v>
      </c>
      <c r="D801" t="inlineStr">
        <is>
          <t>SKÅNE LÄN</t>
        </is>
      </c>
      <c r="E801" t="inlineStr">
        <is>
          <t>KRISTIANSTAD</t>
        </is>
      </c>
      <c r="G801" t="n">
        <v>0.6</v>
      </c>
      <c r="H801" t="n">
        <v>0</v>
      </c>
      <c r="I801" t="n">
        <v>0</v>
      </c>
      <c r="J801" t="n">
        <v>0</v>
      </c>
      <c r="K801" t="n">
        <v>0</v>
      </c>
      <c r="L801" t="n">
        <v>0</v>
      </c>
      <c r="M801" t="n">
        <v>0</v>
      </c>
      <c r="N801" t="n">
        <v>0</v>
      </c>
      <c r="O801" t="n">
        <v>0</v>
      </c>
      <c r="P801" t="n">
        <v>0</v>
      </c>
      <c r="Q801" t="n">
        <v>0</v>
      </c>
      <c r="R801" s="2" t="inlineStr"/>
    </row>
    <row r="802" ht="15" customHeight="1">
      <c r="A802" t="inlineStr">
        <is>
          <t>A 24086-2019</t>
        </is>
      </c>
      <c r="B802" s="1" t="n">
        <v>43598</v>
      </c>
      <c r="C802" s="1" t="n">
        <v>45190</v>
      </c>
      <c r="D802" t="inlineStr">
        <is>
          <t>SKÅNE LÄN</t>
        </is>
      </c>
      <c r="E802" t="inlineStr">
        <is>
          <t>KRISTIANSTAD</t>
        </is>
      </c>
      <c r="G802" t="n">
        <v>1.2</v>
      </c>
      <c r="H802" t="n">
        <v>0</v>
      </c>
      <c r="I802" t="n">
        <v>0</v>
      </c>
      <c r="J802" t="n">
        <v>0</v>
      </c>
      <c r="K802" t="n">
        <v>0</v>
      </c>
      <c r="L802" t="n">
        <v>0</v>
      </c>
      <c r="M802" t="n">
        <v>0</v>
      </c>
      <c r="N802" t="n">
        <v>0</v>
      </c>
      <c r="O802" t="n">
        <v>0</v>
      </c>
      <c r="P802" t="n">
        <v>0</v>
      </c>
      <c r="Q802" t="n">
        <v>0</v>
      </c>
      <c r="R802" s="2" t="inlineStr"/>
    </row>
    <row r="803" ht="15" customHeight="1">
      <c r="A803" t="inlineStr">
        <is>
          <t>A 24941-2019</t>
        </is>
      </c>
      <c r="B803" s="1" t="n">
        <v>43599</v>
      </c>
      <c r="C803" s="1" t="n">
        <v>45190</v>
      </c>
      <c r="D803" t="inlineStr">
        <is>
          <t>SKÅNE LÄN</t>
        </is>
      </c>
      <c r="E803" t="inlineStr">
        <is>
          <t>ÖSTRA GÖINGE</t>
        </is>
      </c>
      <c r="G803" t="n">
        <v>3.5</v>
      </c>
      <c r="H803" t="n">
        <v>0</v>
      </c>
      <c r="I803" t="n">
        <v>0</v>
      </c>
      <c r="J803" t="n">
        <v>0</v>
      </c>
      <c r="K803" t="n">
        <v>0</v>
      </c>
      <c r="L803" t="n">
        <v>0</v>
      </c>
      <c r="M803" t="n">
        <v>0</v>
      </c>
      <c r="N803" t="n">
        <v>0</v>
      </c>
      <c r="O803" t="n">
        <v>0</v>
      </c>
      <c r="P803" t="n">
        <v>0</v>
      </c>
      <c r="Q803" t="n">
        <v>0</v>
      </c>
      <c r="R803" s="2" t="inlineStr"/>
    </row>
    <row r="804" ht="15" customHeight="1">
      <c r="A804" t="inlineStr">
        <is>
          <t>A 25604-2019</t>
        </is>
      </c>
      <c r="B804" s="1" t="n">
        <v>43602</v>
      </c>
      <c r="C804" s="1" t="n">
        <v>45190</v>
      </c>
      <c r="D804" t="inlineStr">
        <is>
          <t>SKÅNE LÄN</t>
        </is>
      </c>
      <c r="E804" t="inlineStr">
        <is>
          <t>HÖÖR</t>
        </is>
      </c>
      <c r="G804" t="n">
        <v>1</v>
      </c>
      <c r="H804" t="n">
        <v>0</v>
      </c>
      <c r="I804" t="n">
        <v>0</v>
      </c>
      <c r="J804" t="n">
        <v>0</v>
      </c>
      <c r="K804" t="n">
        <v>0</v>
      </c>
      <c r="L804" t="n">
        <v>0</v>
      </c>
      <c r="M804" t="n">
        <v>0</v>
      </c>
      <c r="N804" t="n">
        <v>0</v>
      </c>
      <c r="O804" t="n">
        <v>0</v>
      </c>
      <c r="P804" t="n">
        <v>0</v>
      </c>
      <c r="Q804" t="n">
        <v>0</v>
      </c>
      <c r="R804" s="2" t="inlineStr"/>
    </row>
    <row r="805" ht="15" customHeight="1">
      <c r="A805" t="inlineStr">
        <is>
          <t>A 24818-2019</t>
        </is>
      </c>
      <c r="B805" s="1" t="n">
        <v>43602</v>
      </c>
      <c r="C805" s="1" t="n">
        <v>45190</v>
      </c>
      <c r="D805" t="inlineStr">
        <is>
          <t>SKÅNE LÄN</t>
        </is>
      </c>
      <c r="E805" t="inlineStr">
        <is>
          <t>SJÖBO</t>
        </is>
      </c>
      <c r="G805" t="n">
        <v>1.5</v>
      </c>
      <c r="H805" t="n">
        <v>0</v>
      </c>
      <c r="I805" t="n">
        <v>0</v>
      </c>
      <c r="J805" t="n">
        <v>0</v>
      </c>
      <c r="K805" t="n">
        <v>0</v>
      </c>
      <c r="L805" t="n">
        <v>0</v>
      </c>
      <c r="M805" t="n">
        <v>0</v>
      </c>
      <c r="N805" t="n">
        <v>0</v>
      </c>
      <c r="O805" t="n">
        <v>0</v>
      </c>
      <c r="P805" t="n">
        <v>0</v>
      </c>
      <c r="Q805" t="n">
        <v>0</v>
      </c>
      <c r="R805" s="2" t="inlineStr"/>
    </row>
    <row r="806" ht="15" customHeight="1">
      <c r="A806" t="inlineStr">
        <is>
          <t>A 24809-2019</t>
        </is>
      </c>
      <c r="B806" s="1" t="n">
        <v>43602</v>
      </c>
      <c r="C806" s="1" t="n">
        <v>45190</v>
      </c>
      <c r="D806" t="inlineStr">
        <is>
          <t>SKÅNE LÄN</t>
        </is>
      </c>
      <c r="E806" t="inlineStr">
        <is>
          <t>SJÖBO</t>
        </is>
      </c>
      <c r="G806" t="n">
        <v>3.7</v>
      </c>
      <c r="H806" t="n">
        <v>0</v>
      </c>
      <c r="I806" t="n">
        <v>0</v>
      </c>
      <c r="J806" t="n">
        <v>0</v>
      </c>
      <c r="K806" t="n">
        <v>0</v>
      </c>
      <c r="L806" t="n">
        <v>0</v>
      </c>
      <c r="M806" t="n">
        <v>0</v>
      </c>
      <c r="N806" t="n">
        <v>0</v>
      </c>
      <c r="O806" t="n">
        <v>0</v>
      </c>
      <c r="P806" t="n">
        <v>0</v>
      </c>
      <c r="Q806" t="n">
        <v>0</v>
      </c>
      <c r="R806" s="2" t="inlineStr"/>
    </row>
    <row r="807" ht="15" customHeight="1">
      <c r="A807" t="inlineStr">
        <is>
          <t>A 24824-2019</t>
        </is>
      </c>
      <c r="B807" s="1" t="n">
        <v>43602</v>
      </c>
      <c r="C807" s="1" t="n">
        <v>45190</v>
      </c>
      <c r="D807" t="inlineStr">
        <is>
          <t>SKÅNE LÄN</t>
        </is>
      </c>
      <c r="E807" t="inlineStr">
        <is>
          <t>OSBY</t>
        </is>
      </c>
      <c r="G807" t="n">
        <v>0.8</v>
      </c>
      <c r="H807" t="n">
        <v>0</v>
      </c>
      <c r="I807" t="n">
        <v>0</v>
      </c>
      <c r="J807" t="n">
        <v>0</v>
      </c>
      <c r="K807" t="n">
        <v>0</v>
      </c>
      <c r="L807" t="n">
        <v>0</v>
      </c>
      <c r="M807" t="n">
        <v>0</v>
      </c>
      <c r="N807" t="n">
        <v>0</v>
      </c>
      <c r="O807" t="n">
        <v>0</v>
      </c>
      <c r="P807" t="n">
        <v>0</v>
      </c>
      <c r="Q807" t="n">
        <v>0</v>
      </c>
      <c r="R807" s="2" t="inlineStr"/>
    </row>
    <row r="808" ht="15" customHeight="1">
      <c r="A808" t="inlineStr">
        <is>
          <t>A 24820-2019</t>
        </is>
      </c>
      <c r="B808" s="1" t="n">
        <v>43602</v>
      </c>
      <c r="C808" s="1" t="n">
        <v>45190</v>
      </c>
      <c r="D808" t="inlineStr">
        <is>
          <t>SKÅNE LÄN</t>
        </is>
      </c>
      <c r="E808" t="inlineStr">
        <is>
          <t>SJÖBO</t>
        </is>
      </c>
      <c r="G808" t="n">
        <v>5.7</v>
      </c>
      <c r="H808" t="n">
        <v>0</v>
      </c>
      <c r="I808" t="n">
        <v>0</v>
      </c>
      <c r="J808" t="n">
        <v>0</v>
      </c>
      <c r="K808" t="n">
        <v>0</v>
      </c>
      <c r="L808" t="n">
        <v>0</v>
      </c>
      <c r="M808" t="n">
        <v>0</v>
      </c>
      <c r="N808" t="n">
        <v>0</v>
      </c>
      <c r="O808" t="n">
        <v>0</v>
      </c>
      <c r="P808" t="n">
        <v>0</v>
      </c>
      <c r="Q808" t="n">
        <v>0</v>
      </c>
      <c r="R808" s="2" t="inlineStr"/>
    </row>
    <row r="809" ht="15" customHeight="1">
      <c r="A809" t="inlineStr">
        <is>
          <t>A 25285-2019</t>
        </is>
      </c>
      <c r="B809" s="1" t="n">
        <v>43605</v>
      </c>
      <c r="C809" s="1" t="n">
        <v>45190</v>
      </c>
      <c r="D809" t="inlineStr">
        <is>
          <t>SKÅNE LÄN</t>
        </is>
      </c>
      <c r="E809" t="inlineStr">
        <is>
          <t>HÄSSLEHOLM</t>
        </is>
      </c>
      <c r="G809" t="n">
        <v>25.8</v>
      </c>
      <c r="H809" t="n">
        <v>0</v>
      </c>
      <c r="I809" t="n">
        <v>0</v>
      </c>
      <c r="J809" t="n">
        <v>0</v>
      </c>
      <c r="K809" t="n">
        <v>0</v>
      </c>
      <c r="L809" t="n">
        <v>0</v>
      </c>
      <c r="M809" t="n">
        <v>0</v>
      </c>
      <c r="N809" t="n">
        <v>0</v>
      </c>
      <c r="O809" t="n">
        <v>0</v>
      </c>
      <c r="P809" t="n">
        <v>0</v>
      </c>
      <c r="Q809" t="n">
        <v>0</v>
      </c>
      <c r="R809" s="2" t="inlineStr"/>
    </row>
    <row r="810" ht="15" customHeight="1">
      <c r="A810" t="inlineStr">
        <is>
          <t>A 25286-2019</t>
        </is>
      </c>
      <c r="B810" s="1" t="n">
        <v>43605</v>
      </c>
      <c r="C810" s="1" t="n">
        <v>45190</v>
      </c>
      <c r="D810" t="inlineStr">
        <is>
          <t>SKÅNE LÄN</t>
        </is>
      </c>
      <c r="E810" t="inlineStr">
        <is>
          <t>HÄSSLEHOLM</t>
        </is>
      </c>
      <c r="G810" t="n">
        <v>1.3</v>
      </c>
      <c r="H810" t="n">
        <v>0</v>
      </c>
      <c r="I810" t="n">
        <v>0</v>
      </c>
      <c r="J810" t="n">
        <v>0</v>
      </c>
      <c r="K810" t="n">
        <v>0</v>
      </c>
      <c r="L810" t="n">
        <v>0</v>
      </c>
      <c r="M810" t="n">
        <v>0</v>
      </c>
      <c r="N810" t="n">
        <v>0</v>
      </c>
      <c r="O810" t="n">
        <v>0</v>
      </c>
      <c r="P810" t="n">
        <v>0</v>
      </c>
      <c r="Q810" t="n">
        <v>0</v>
      </c>
      <c r="R810" s="2" t="inlineStr"/>
    </row>
    <row r="811" ht="15" customHeight="1">
      <c r="A811" t="inlineStr">
        <is>
          <t>A 25866-2019</t>
        </is>
      </c>
      <c r="B811" s="1" t="n">
        <v>43605</v>
      </c>
      <c r="C811" s="1" t="n">
        <v>45190</v>
      </c>
      <c r="D811" t="inlineStr">
        <is>
          <t>SKÅNE LÄN</t>
        </is>
      </c>
      <c r="E811" t="inlineStr">
        <is>
          <t>LUND</t>
        </is>
      </c>
      <c r="G811" t="n">
        <v>0.7</v>
      </c>
      <c r="H811" t="n">
        <v>0</v>
      </c>
      <c r="I811" t="n">
        <v>0</v>
      </c>
      <c r="J811" t="n">
        <v>0</v>
      </c>
      <c r="K811" t="n">
        <v>0</v>
      </c>
      <c r="L811" t="n">
        <v>0</v>
      </c>
      <c r="M811" t="n">
        <v>0</v>
      </c>
      <c r="N811" t="n">
        <v>0</v>
      </c>
      <c r="O811" t="n">
        <v>0</v>
      </c>
      <c r="P811" t="n">
        <v>0</v>
      </c>
      <c r="Q811" t="n">
        <v>0</v>
      </c>
      <c r="R811" s="2" t="inlineStr"/>
    </row>
    <row r="812" ht="15" customHeight="1">
      <c r="A812" t="inlineStr">
        <is>
          <t>A 25501-2019</t>
        </is>
      </c>
      <c r="B812" s="1" t="n">
        <v>43606</v>
      </c>
      <c r="C812" s="1" t="n">
        <v>45190</v>
      </c>
      <c r="D812" t="inlineStr">
        <is>
          <t>SKÅNE LÄN</t>
        </is>
      </c>
      <c r="E812" t="inlineStr">
        <is>
          <t>ESLÖV</t>
        </is>
      </c>
      <c r="G812" t="n">
        <v>2.2</v>
      </c>
      <c r="H812" t="n">
        <v>0</v>
      </c>
      <c r="I812" t="n">
        <v>0</v>
      </c>
      <c r="J812" t="n">
        <v>0</v>
      </c>
      <c r="K812" t="n">
        <v>0</v>
      </c>
      <c r="L812" t="n">
        <v>0</v>
      </c>
      <c r="M812" t="n">
        <v>0</v>
      </c>
      <c r="N812" t="n">
        <v>0</v>
      </c>
      <c r="O812" t="n">
        <v>0</v>
      </c>
      <c r="P812" t="n">
        <v>0</v>
      </c>
      <c r="Q812" t="n">
        <v>0</v>
      </c>
      <c r="R812" s="2" t="inlineStr"/>
    </row>
    <row r="813" ht="15" customHeight="1">
      <c r="A813" t="inlineStr">
        <is>
          <t>A 26485-2019</t>
        </is>
      </c>
      <c r="B813" s="1" t="n">
        <v>43606</v>
      </c>
      <c r="C813" s="1" t="n">
        <v>45190</v>
      </c>
      <c r="D813" t="inlineStr">
        <is>
          <t>SKÅNE LÄN</t>
        </is>
      </c>
      <c r="E813" t="inlineStr">
        <is>
          <t>ÖSTRA GÖINGE</t>
        </is>
      </c>
      <c r="G813" t="n">
        <v>1</v>
      </c>
      <c r="H813" t="n">
        <v>0</v>
      </c>
      <c r="I813" t="n">
        <v>0</v>
      </c>
      <c r="J813" t="n">
        <v>0</v>
      </c>
      <c r="K813" t="n">
        <v>0</v>
      </c>
      <c r="L813" t="n">
        <v>0</v>
      </c>
      <c r="M813" t="n">
        <v>0</v>
      </c>
      <c r="N813" t="n">
        <v>0</v>
      </c>
      <c r="O813" t="n">
        <v>0</v>
      </c>
      <c r="P813" t="n">
        <v>0</v>
      </c>
      <c r="Q813" t="n">
        <v>0</v>
      </c>
      <c r="R813" s="2" t="inlineStr"/>
    </row>
    <row r="814" ht="15" customHeight="1">
      <c r="A814" t="inlineStr">
        <is>
          <t>A 26489-2019</t>
        </is>
      </c>
      <c r="B814" s="1" t="n">
        <v>43606</v>
      </c>
      <c r="C814" s="1" t="n">
        <v>45190</v>
      </c>
      <c r="D814" t="inlineStr">
        <is>
          <t>SKÅNE LÄN</t>
        </is>
      </c>
      <c r="E814" t="inlineStr">
        <is>
          <t>ÖSTRA GÖINGE</t>
        </is>
      </c>
      <c r="G814" t="n">
        <v>0.7</v>
      </c>
      <c r="H814" t="n">
        <v>0</v>
      </c>
      <c r="I814" t="n">
        <v>0</v>
      </c>
      <c r="J814" t="n">
        <v>0</v>
      </c>
      <c r="K814" t="n">
        <v>0</v>
      </c>
      <c r="L814" t="n">
        <v>0</v>
      </c>
      <c r="M814" t="n">
        <v>0</v>
      </c>
      <c r="N814" t="n">
        <v>0</v>
      </c>
      <c r="O814" t="n">
        <v>0</v>
      </c>
      <c r="P814" t="n">
        <v>0</v>
      </c>
      <c r="Q814" t="n">
        <v>0</v>
      </c>
      <c r="R814" s="2" t="inlineStr"/>
    </row>
    <row r="815" ht="15" customHeight="1">
      <c r="A815" t="inlineStr">
        <is>
          <t>A 26698-2019</t>
        </is>
      </c>
      <c r="B815" s="1" t="n">
        <v>43607</v>
      </c>
      <c r="C815" s="1" t="n">
        <v>45190</v>
      </c>
      <c r="D815" t="inlineStr">
        <is>
          <t>SKÅNE LÄN</t>
        </is>
      </c>
      <c r="E815" t="inlineStr">
        <is>
          <t>KRISTIANSTAD</t>
        </is>
      </c>
      <c r="G815" t="n">
        <v>1.6</v>
      </c>
      <c r="H815" t="n">
        <v>0</v>
      </c>
      <c r="I815" t="n">
        <v>0</v>
      </c>
      <c r="J815" t="n">
        <v>0</v>
      </c>
      <c r="K815" t="n">
        <v>0</v>
      </c>
      <c r="L815" t="n">
        <v>0</v>
      </c>
      <c r="M815" t="n">
        <v>0</v>
      </c>
      <c r="N815" t="n">
        <v>0</v>
      </c>
      <c r="O815" t="n">
        <v>0</v>
      </c>
      <c r="P815" t="n">
        <v>0</v>
      </c>
      <c r="Q815" t="n">
        <v>0</v>
      </c>
      <c r="R815" s="2" t="inlineStr"/>
    </row>
    <row r="816" ht="15" customHeight="1">
      <c r="A816" t="inlineStr">
        <is>
          <t>A 25627-2019</t>
        </is>
      </c>
      <c r="B816" s="1" t="n">
        <v>43607</v>
      </c>
      <c r="C816" s="1" t="n">
        <v>45190</v>
      </c>
      <c r="D816" t="inlineStr">
        <is>
          <t>SKÅNE LÄN</t>
        </is>
      </c>
      <c r="E816" t="inlineStr">
        <is>
          <t>PERSTORP</t>
        </is>
      </c>
      <c r="G816" t="n">
        <v>2.7</v>
      </c>
      <c r="H816" t="n">
        <v>0</v>
      </c>
      <c r="I816" t="n">
        <v>0</v>
      </c>
      <c r="J816" t="n">
        <v>0</v>
      </c>
      <c r="K816" t="n">
        <v>0</v>
      </c>
      <c r="L816" t="n">
        <v>0</v>
      </c>
      <c r="M816" t="n">
        <v>0</v>
      </c>
      <c r="N816" t="n">
        <v>0</v>
      </c>
      <c r="O816" t="n">
        <v>0</v>
      </c>
      <c r="P816" t="n">
        <v>0</v>
      </c>
      <c r="Q816" t="n">
        <v>0</v>
      </c>
      <c r="R816" s="2" t="inlineStr"/>
    </row>
    <row r="817" ht="15" customHeight="1">
      <c r="A817" t="inlineStr">
        <is>
          <t>A 25690-2019</t>
        </is>
      </c>
      <c r="B817" s="1" t="n">
        <v>43607</v>
      </c>
      <c r="C817" s="1" t="n">
        <v>45190</v>
      </c>
      <c r="D817" t="inlineStr">
        <is>
          <t>SKÅNE LÄN</t>
        </is>
      </c>
      <c r="E817" t="inlineStr">
        <is>
          <t>HÄSSLEHOLM</t>
        </is>
      </c>
      <c r="G817" t="n">
        <v>0.8</v>
      </c>
      <c r="H817" t="n">
        <v>0</v>
      </c>
      <c r="I817" t="n">
        <v>0</v>
      </c>
      <c r="J817" t="n">
        <v>0</v>
      </c>
      <c r="K817" t="n">
        <v>0</v>
      </c>
      <c r="L817" t="n">
        <v>0</v>
      </c>
      <c r="M817" t="n">
        <v>0</v>
      </c>
      <c r="N817" t="n">
        <v>0</v>
      </c>
      <c r="O817" t="n">
        <v>0</v>
      </c>
      <c r="P817" t="n">
        <v>0</v>
      </c>
      <c r="Q817" t="n">
        <v>0</v>
      </c>
      <c r="R817" s="2" t="inlineStr"/>
    </row>
    <row r="818" ht="15" customHeight="1">
      <c r="A818" t="inlineStr">
        <is>
          <t>A 26037-2019</t>
        </is>
      </c>
      <c r="B818" s="1" t="n">
        <v>43609</v>
      </c>
      <c r="C818" s="1" t="n">
        <v>45190</v>
      </c>
      <c r="D818" t="inlineStr">
        <is>
          <t>SKÅNE LÄN</t>
        </is>
      </c>
      <c r="E818" t="inlineStr">
        <is>
          <t>HÄSSLEHOLM</t>
        </is>
      </c>
      <c r="G818" t="n">
        <v>4.4</v>
      </c>
      <c r="H818" t="n">
        <v>0</v>
      </c>
      <c r="I818" t="n">
        <v>0</v>
      </c>
      <c r="J818" t="n">
        <v>0</v>
      </c>
      <c r="K818" t="n">
        <v>0</v>
      </c>
      <c r="L818" t="n">
        <v>0</v>
      </c>
      <c r="M818" t="n">
        <v>0</v>
      </c>
      <c r="N818" t="n">
        <v>0</v>
      </c>
      <c r="O818" t="n">
        <v>0</v>
      </c>
      <c r="P818" t="n">
        <v>0</v>
      </c>
      <c r="Q818" t="n">
        <v>0</v>
      </c>
      <c r="R818" s="2" t="inlineStr"/>
    </row>
    <row r="819" ht="15" customHeight="1">
      <c r="A819" t="inlineStr">
        <is>
          <t>A 26916-2019</t>
        </is>
      </c>
      <c r="B819" s="1" t="n">
        <v>43609</v>
      </c>
      <c r="C819" s="1" t="n">
        <v>45190</v>
      </c>
      <c r="D819" t="inlineStr">
        <is>
          <t>SKÅNE LÄN</t>
        </is>
      </c>
      <c r="E819" t="inlineStr">
        <is>
          <t>TOMELILLA</t>
        </is>
      </c>
      <c r="G819" t="n">
        <v>2.6</v>
      </c>
      <c r="H819" t="n">
        <v>0</v>
      </c>
      <c r="I819" t="n">
        <v>0</v>
      </c>
      <c r="J819" t="n">
        <v>0</v>
      </c>
      <c r="K819" t="n">
        <v>0</v>
      </c>
      <c r="L819" t="n">
        <v>0</v>
      </c>
      <c r="M819" t="n">
        <v>0</v>
      </c>
      <c r="N819" t="n">
        <v>0</v>
      </c>
      <c r="O819" t="n">
        <v>0</v>
      </c>
      <c r="P819" t="n">
        <v>0</v>
      </c>
      <c r="Q819" t="n">
        <v>0</v>
      </c>
      <c r="R819" s="2" t="inlineStr"/>
    </row>
    <row r="820" ht="15" customHeight="1">
      <c r="A820" t="inlineStr">
        <is>
          <t>A 26036-2019</t>
        </is>
      </c>
      <c r="B820" s="1" t="n">
        <v>43609</v>
      </c>
      <c r="C820" s="1" t="n">
        <v>45190</v>
      </c>
      <c r="D820" t="inlineStr">
        <is>
          <t>SKÅNE LÄN</t>
        </is>
      </c>
      <c r="E820" t="inlineStr">
        <is>
          <t>HÄSSLEHOLM</t>
        </is>
      </c>
      <c r="G820" t="n">
        <v>3.6</v>
      </c>
      <c r="H820" t="n">
        <v>0</v>
      </c>
      <c r="I820" t="n">
        <v>0</v>
      </c>
      <c r="J820" t="n">
        <v>0</v>
      </c>
      <c r="K820" t="n">
        <v>0</v>
      </c>
      <c r="L820" t="n">
        <v>0</v>
      </c>
      <c r="M820" t="n">
        <v>0</v>
      </c>
      <c r="N820" t="n">
        <v>0</v>
      </c>
      <c r="O820" t="n">
        <v>0</v>
      </c>
      <c r="P820" t="n">
        <v>0</v>
      </c>
      <c r="Q820" t="n">
        <v>0</v>
      </c>
      <c r="R820" s="2" t="inlineStr"/>
    </row>
    <row r="821" ht="15" customHeight="1">
      <c r="A821" t="inlineStr">
        <is>
          <t>A 26100-2019</t>
        </is>
      </c>
      <c r="B821" s="1" t="n">
        <v>43609</v>
      </c>
      <c r="C821" s="1" t="n">
        <v>45190</v>
      </c>
      <c r="D821" t="inlineStr">
        <is>
          <t>SKÅNE LÄN</t>
        </is>
      </c>
      <c r="E821" t="inlineStr">
        <is>
          <t>OSBY</t>
        </is>
      </c>
      <c r="G821" t="n">
        <v>0.7</v>
      </c>
      <c r="H821" t="n">
        <v>0</v>
      </c>
      <c r="I821" t="n">
        <v>0</v>
      </c>
      <c r="J821" t="n">
        <v>0</v>
      </c>
      <c r="K821" t="n">
        <v>0</v>
      </c>
      <c r="L821" t="n">
        <v>0</v>
      </c>
      <c r="M821" t="n">
        <v>0</v>
      </c>
      <c r="N821" t="n">
        <v>0</v>
      </c>
      <c r="O821" t="n">
        <v>0</v>
      </c>
      <c r="P821" t="n">
        <v>0</v>
      </c>
      <c r="Q821" t="n">
        <v>0</v>
      </c>
      <c r="R821" s="2" t="inlineStr"/>
    </row>
    <row r="822" ht="15" customHeight="1">
      <c r="A822" t="inlineStr">
        <is>
          <t>A 26268-2019</t>
        </is>
      </c>
      <c r="B822" s="1" t="n">
        <v>43611</v>
      </c>
      <c r="C822" s="1" t="n">
        <v>45190</v>
      </c>
      <c r="D822" t="inlineStr">
        <is>
          <t>SKÅNE LÄN</t>
        </is>
      </c>
      <c r="E822" t="inlineStr">
        <is>
          <t>HÄSSLEHOLM</t>
        </is>
      </c>
      <c r="G822" t="n">
        <v>0.8</v>
      </c>
      <c r="H822" t="n">
        <v>0</v>
      </c>
      <c r="I822" t="n">
        <v>0</v>
      </c>
      <c r="J822" t="n">
        <v>0</v>
      </c>
      <c r="K822" t="n">
        <v>0</v>
      </c>
      <c r="L822" t="n">
        <v>0</v>
      </c>
      <c r="M822" t="n">
        <v>0</v>
      </c>
      <c r="N822" t="n">
        <v>0</v>
      </c>
      <c r="O822" t="n">
        <v>0</v>
      </c>
      <c r="P822" t="n">
        <v>0</v>
      </c>
      <c r="Q822" t="n">
        <v>0</v>
      </c>
      <c r="R822" s="2" t="inlineStr"/>
    </row>
    <row r="823" ht="15" customHeight="1">
      <c r="A823" t="inlineStr">
        <is>
          <t>A 28131-2019</t>
        </is>
      </c>
      <c r="B823" s="1" t="n">
        <v>43612</v>
      </c>
      <c r="C823" s="1" t="n">
        <v>45190</v>
      </c>
      <c r="D823" t="inlineStr">
        <is>
          <t>SKÅNE LÄN</t>
        </is>
      </c>
      <c r="E823" t="inlineStr">
        <is>
          <t>BJUV</t>
        </is>
      </c>
      <c r="G823" t="n">
        <v>2.1</v>
      </c>
      <c r="H823" t="n">
        <v>0</v>
      </c>
      <c r="I823" t="n">
        <v>0</v>
      </c>
      <c r="J823" t="n">
        <v>0</v>
      </c>
      <c r="K823" t="n">
        <v>0</v>
      </c>
      <c r="L823" t="n">
        <v>0</v>
      </c>
      <c r="M823" t="n">
        <v>0</v>
      </c>
      <c r="N823" t="n">
        <v>0</v>
      </c>
      <c r="O823" t="n">
        <v>0</v>
      </c>
      <c r="P823" t="n">
        <v>0</v>
      </c>
      <c r="Q823" t="n">
        <v>0</v>
      </c>
      <c r="R823" s="2" t="inlineStr"/>
    </row>
    <row r="824" ht="15" customHeight="1">
      <c r="A824" t="inlineStr">
        <is>
          <t>A 28138-2019</t>
        </is>
      </c>
      <c r="B824" s="1" t="n">
        <v>43612</v>
      </c>
      <c r="C824" s="1" t="n">
        <v>45190</v>
      </c>
      <c r="D824" t="inlineStr">
        <is>
          <t>SKÅNE LÄN</t>
        </is>
      </c>
      <c r="E824" t="inlineStr">
        <is>
          <t>BJUV</t>
        </is>
      </c>
      <c r="G824" t="n">
        <v>4.3</v>
      </c>
      <c r="H824" t="n">
        <v>0</v>
      </c>
      <c r="I824" t="n">
        <v>0</v>
      </c>
      <c r="J824" t="n">
        <v>0</v>
      </c>
      <c r="K824" t="n">
        <v>0</v>
      </c>
      <c r="L824" t="n">
        <v>0</v>
      </c>
      <c r="M824" t="n">
        <v>0</v>
      </c>
      <c r="N824" t="n">
        <v>0</v>
      </c>
      <c r="O824" t="n">
        <v>0</v>
      </c>
      <c r="P824" t="n">
        <v>0</v>
      </c>
      <c r="Q824" t="n">
        <v>0</v>
      </c>
      <c r="R824" s="2" t="inlineStr"/>
    </row>
    <row r="825" ht="15" customHeight="1">
      <c r="A825" t="inlineStr">
        <is>
          <t>A 26325-2019</t>
        </is>
      </c>
      <c r="B825" s="1" t="n">
        <v>43612</v>
      </c>
      <c r="C825" s="1" t="n">
        <v>45190</v>
      </c>
      <c r="D825" t="inlineStr">
        <is>
          <t>SKÅNE LÄN</t>
        </is>
      </c>
      <c r="E825" t="inlineStr">
        <is>
          <t>HÄSSLEHOLM</t>
        </is>
      </c>
      <c r="G825" t="n">
        <v>1.3</v>
      </c>
      <c r="H825" t="n">
        <v>0</v>
      </c>
      <c r="I825" t="n">
        <v>0</v>
      </c>
      <c r="J825" t="n">
        <v>0</v>
      </c>
      <c r="K825" t="n">
        <v>0</v>
      </c>
      <c r="L825" t="n">
        <v>0</v>
      </c>
      <c r="M825" t="n">
        <v>0</v>
      </c>
      <c r="N825" t="n">
        <v>0</v>
      </c>
      <c r="O825" t="n">
        <v>0</v>
      </c>
      <c r="P825" t="n">
        <v>0</v>
      </c>
      <c r="Q825" t="n">
        <v>0</v>
      </c>
      <c r="R825" s="2" t="inlineStr"/>
    </row>
    <row r="826" ht="15" customHeight="1">
      <c r="A826" t="inlineStr">
        <is>
          <t>A 28064-2019</t>
        </is>
      </c>
      <c r="B826" s="1" t="n">
        <v>43612</v>
      </c>
      <c r="C826" s="1" t="n">
        <v>45190</v>
      </c>
      <c r="D826" t="inlineStr">
        <is>
          <t>SKÅNE LÄN</t>
        </is>
      </c>
      <c r="E826" t="inlineStr">
        <is>
          <t>SJÖBO</t>
        </is>
      </c>
      <c r="G826" t="n">
        <v>2.1</v>
      </c>
      <c r="H826" t="n">
        <v>0</v>
      </c>
      <c r="I826" t="n">
        <v>0</v>
      </c>
      <c r="J826" t="n">
        <v>0</v>
      </c>
      <c r="K826" t="n">
        <v>0</v>
      </c>
      <c r="L826" t="n">
        <v>0</v>
      </c>
      <c r="M826" t="n">
        <v>0</v>
      </c>
      <c r="N826" t="n">
        <v>0</v>
      </c>
      <c r="O826" t="n">
        <v>0</v>
      </c>
      <c r="P826" t="n">
        <v>0</v>
      </c>
      <c r="Q826" t="n">
        <v>0</v>
      </c>
      <c r="R826" s="2" t="inlineStr"/>
    </row>
    <row r="827" ht="15" customHeight="1">
      <c r="A827" t="inlineStr">
        <is>
          <t>A 26661-2019</t>
        </is>
      </c>
      <c r="B827" s="1" t="n">
        <v>43613</v>
      </c>
      <c r="C827" s="1" t="n">
        <v>45190</v>
      </c>
      <c r="D827" t="inlineStr">
        <is>
          <t>SKÅNE LÄN</t>
        </is>
      </c>
      <c r="E827" t="inlineStr">
        <is>
          <t>TOMELILLA</t>
        </is>
      </c>
      <c r="F827" t="inlineStr">
        <is>
          <t>Övriga Aktiebolag</t>
        </is>
      </c>
      <c r="G827" t="n">
        <v>2.3</v>
      </c>
      <c r="H827" t="n">
        <v>0</v>
      </c>
      <c r="I827" t="n">
        <v>0</v>
      </c>
      <c r="J827" t="n">
        <v>0</v>
      </c>
      <c r="K827" t="n">
        <v>0</v>
      </c>
      <c r="L827" t="n">
        <v>0</v>
      </c>
      <c r="M827" t="n">
        <v>0</v>
      </c>
      <c r="N827" t="n">
        <v>0</v>
      </c>
      <c r="O827" t="n">
        <v>0</v>
      </c>
      <c r="P827" t="n">
        <v>0</v>
      </c>
      <c r="Q827" t="n">
        <v>0</v>
      </c>
      <c r="R827" s="2" t="inlineStr"/>
    </row>
    <row r="828" ht="15" customHeight="1">
      <c r="A828" t="inlineStr">
        <is>
          <t>A 26788-2019</t>
        </is>
      </c>
      <c r="B828" s="1" t="n">
        <v>43613</v>
      </c>
      <c r="C828" s="1" t="n">
        <v>45190</v>
      </c>
      <c r="D828" t="inlineStr">
        <is>
          <t>SKÅNE LÄN</t>
        </is>
      </c>
      <c r="E828" t="inlineStr">
        <is>
          <t>BROMÖLLA</t>
        </is>
      </c>
      <c r="G828" t="n">
        <v>7.2</v>
      </c>
      <c r="H828" t="n">
        <v>0</v>
      </c>
      <c r="I828" t="n">
        <v>0</v>
      </c>
      <c r="J828" t="n">
        <v>0</v>
      </c>
      <c r="K828" t="n">
        <v>0</v>
      </c>
      <c r="L828" t="n">
        <v>0</v>
      </c>
      <c r="M828" t="n">
        <v>0</v>
      </c>
      <c r="N828" t="n">
        <v>0</v>
      </c>
      <c r="O828" t="n">
        <v>0</v>
      </c>
      <c r="P828" t="n">
        <v>0</v>
      </c>
      <c r="Q828" t="n">
        <v>0</v>
      </c>
      <c r="R828" s="2" t="inlineStr"/>
    </row>
    <row r="829" ht="15" customHeight="1">
      <c r="A829" t="inlineStr">
        <is>
          <t>A 26938-2019</t>
        </is>
      </c>
      <c r="B829" s="1" t="n">
        <v>43613</v>
      </c>
      <c r="C829" s="1" t="n">
        <v>45190</v>
      </c>
      <c r="D829" t="inlineStr">
        <is>
          <t>SKÅNE LÄN</t>
        </is>
      </c>
      <c r="E829" t="inlineStr">
        <is>
          <t>HÄSSLEHOLM</t>
        </is>
      </c>
      <c r="G829" t="n">
        <v>1.1</v>
      </c>
      <c r="H829" t="n">
        <v>0</v>
      </c>
      <c r="I829" t="n">
        <v>0</v>
      </c>
      <c r="J829" t="n">
        <v>0</v>
      </c>
      <c r="K829" t="n">
        <v>0</v>
      </c>
      <c r="L829" t="n">
        <v>0</v>
      </c>
      <c r="M829" t="n">
        <v>0</v>
      </c>
      <c r="N829" t="n">
        <v>0</v>
      </c>
      <c r="O829" t="n">
        <v>0</v>
      </c>
      <c r="P829" t="n">
        <v>0</v>
      </c>
      <c r="Q829" t="n">
        <v>0</v>
      </c>
      <c r="R829" s="2" t="inlineStr"/>
    </row>
    <row r="830" ht="15" customHeight="1">
      <c r="A830" t="inlineStr">
        <is>
          <t>A 26832-2019</t>
        </is>
      </c>
      <c r="B830" s="1" t="n">
        <v>43613</v>
      </c>
      <c r="C830" s="1" t="n">
        <v>45190</v>
      </c>
      <c r="D830" t="inlineStr">
        <is>
          <t>SKÅNE LÄN</t>
        </is>
      </c>
      <c r="E830" t="inlineStr">
        <is>
          <t>ÖSTRA GÖINGE</t>
        </is>
      </c>
      <c r="G830" t="n">
        <v>4</v>
      </c>
      <c r="H830" t="n">
        <v>0</v>
      </c>
      <c r="I830" t="n">
        <v>0</v>
      </c>
      <c r="J830" t="n">
        <v>0</v>
      </c>
      <c r="K830" t="n">
        <v>0</v>
      </c>
      <c r="L830" t="n">
        <v>0</v>
      </c>
      <c r="M830" t="n">
        <v>0</v>
      </c>
      <c r="N830" t="n">
        <v>0</v>
      </c>
      <c r="O830" t="n">
        <v>0</v>
      </c>
      <c r="P830" t="n">
        <v>0</v>
      </c>
      <c r="Q830" t="n">
        <v>0</v>
      </c>
      <c r="R830" s="2" t="inlineStr"/>
    </row>
    <row r="831" ht="15" customHeight="1">
      <c r="A831" t="inlineStr">
        <is>
          <t>A 28620-2019</t>
        </is>
      </c>
      <c r="B831" s="1" t="n">
        <v>43613</v>
      </c>
      <c r="C831" s="1" t="n">
        <v>45190</v>
      </c>
      <c r="D831" t="inlineStr">
        <is>
          <t>SKÅNE LÄN</t>
        </is>
      </c>
      <c r="E831" t="inlineStr">
        <is>
          <t>HÄSSLEHOLM</t>
        </is>
      </c>
      <c r="G831" t="n">
        <v>2.8</v>
      </c>
      <c r="H831" t="n">
        <v>0</v>
      </c>
      <c r="I831" t="n">
        <v>0</v>
      </c>
      <c r="J831" t="n">
        <v>0</v>
      </c>
      <c r="K831" t="n">
        <v>0</v>
      </c>
      <c r="L831" t="n">
        <v>0</v>
      </c>
      <c r="M831" t="n">
        <v>0</v>
      </c>
      <c r="N831" t="n">
        <v>0</v>
      </c>
      <c r="O831" t="n">
        <v>0</v>
      </c>
      <c r="P831" t="n">
        <v>0</v>
      </c>
      <c r="Q831" t="n">
        <v>0</v>
      </c>
      <c r="R831" s="2" t="inlineStr"/>
    </row>
    <row r="832" ht="15" customHeight="1">
      <c r="A832" t="inlineStr">
        <is>
          <t>A 26650-2019</t>
        </is>
      </c>
      <c r="B832" s="1" t="n">
        <v>43613</v>
      </c>
      <c r="C832" s="1" t="n">
        <v>45190</v>
      </c>
      <c r="D832" t="inlineStr">
        <is>
          <t>SKÅNE LÄN</t>
        </is>
      </c>
      <c r="E832" t="inlineStr">
        <is>
          <t>SIMRISHAMN</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26940-2019</t>
        </is>
      </c>
      <c r="B833" s="1" t="n">
        <v>43613</v>
      </c>
      <c r="C833" s="1" t="n">
        <v>45190</v>
      </c>
      <c r="D833" t="inlineStr">
        <is>
          <t>SKÅNE LÄN</t>
        </is>
      </c>
      <c r="E833" t="inlineStr">
        <is>
          <t>HÄSSLEHOLM</t>
        </is>
      </c>
      <c r="G833" t="n">
        <v>0.6</v>
      </c>
      <c r="H833" t="n">
        <v>0</v>
      </c>
      <c r="I833" t="n">
        <v>0</v>
      </c>
      <c r="J833" t="n">
        <v>0</v>
      </c>
      <c r="K833" t="n">
        <v>0</v>
      </c>
      <c r="L833" t="n">
        <v>0</v>
      </c>
      <c r="M833" t="n">
        <v>0</v>
      </c>
      <c r="N833" t="n">
        <v>0</v>
      </c>
      <c r="O833" t="n">
        <v>0</v>
      </c>
      <c r="P833" t="n">
        <v>0</v>
      </c>
      <c r="Q833" t="n">
        <v>0</v>
      </c>
      <c r="R833" s="2" t="inlineStr"/>
    </row>
    <row r="834" ht="15" customHeight="1">
      <c r="A834" t="inlineStr">
        <is>
          <t>A 26701-2019</t>
        </is>
      </c>
      <c r="B834" s="1" t="n">
        <v>43613</v>
      </c>
      <c r="C834" s="1" t="n">
        <v>45190</v>
      </c>
      <c r="D834" t="inlineStr">
        <is>
          <t>SKÅNE LÄN</t>
        </is>
      </c>
      <c r="E834" t="inlineStr">
        <is>
          <t>HÄSSLEHOLM</t>
        </is>
      </c>
      <c r="G834" t="n">
        <v>0.7</v>
      </c>
      <c r="H834" t="n">
        <v>0</v>
      </c>
      <c r="I834" t="n">
        <v>0</v>
      </c>
      <c r="J834" t="n">
        <v>0</v>
      </c>
      <c r="K834" t="n">
        <v>0</v>
      </c>
      <c r="L834" t="n">
        <v>0</v>
      </c>
      <c r="M834" t="n">
        <v>0</v>
      </c>
      <c r="N834" t="n">
        <v>0</v>
      </c>
      <c r="O834" t="n">
        <v>0</v>
      </c>
      <c r="P834" t="n">
        <v>0</v>
      </c>
      <c r="Q834" t="n">
        <v>0</v>
      </c>
      <c r="R834" s="2" t="inlineStr"/>
    </row>
    <row r="835" ht="15" customHeight="1">
      <c r="A835" t="inlineStr">
        <is>
          <t>A 26828-2019</t>
        </is>
      </c>
      <c r="B835" s="1" t="n">
        <v>43613</v>
      </c>
      <c r="C835" s="1" t="n">
        <v>45190</v>
      </c>
      <c r="D835" t="inlineStr">
        <is>
          <t>SKÅNE LÄN</t>
        </is>
      </c>
      <c r="E835" t="inlineStr">
        <is>
          <t>ÖSTRA GÖINGE</t>
        </is>
      </c>
      <c r="G835" t="n">
        <v>3.2</v>
      </c>
      <c r="H835" t="n">
        <v>0</v>
      </c>
      <c r="I835" t="n">
        <v>0</v>
      </c>
      <c r="J835" t="n">
        <v>0</v>
      </c>
      <c r="K835" t="n">
        <v>0</v>
      </c>
      <c r="L835" t="n">
        <v>0</v>
      </c>
      <c r="M835" t="n">
        <v>0</v>
      </c>
      <c r="N835" t="n">
        <v>0</v>
      </c>
      <c r="O835" t="n">
        <v>0</v>
      </c>
      <c r="P835" t="n">
        <v>0</v>
      </c>
      <c r="Q835" t="n">
        <v>0</v>
      </c>
      <c r="R835" s="2" t="inlineStr"/>
    </row>
    <row r="836" ht="15" customHeight="1">
      <c r="A836" t="inlineStr">
        <is>
          <t>A 26939-2019</t>
        </is>
      </c>
      <c r="B836" s="1" t="n">
        <v>43613</v>
      </c>
      <c r="C836" s="1" t="n">
        <v>45190</v>
      </c>
      <c r="D836" t="inlineStr">
        <is>
          <t>SKÅNE LÄN</t>
        </is>
      </c>
      <c r="E836" t="inlineStr">
        <is>
          <t>HÄSSLEHOLM</t>
        </is>
      </c>
      <c r="G836" t="n">
        <v>1.7</v>
      </c>
      <c r="H836" t="n">
        <v>0</v>
      </c>
      <c r="I836" t="n">
        <v>0</v>
      </c>
      <c r="J836" t="n">
        <v>0</v>
      </c>
      <c r="K836" t="n">
        <v>0</v>
      </c>
      <c r="L836" t="n">
        <v>0</v>
      </c>
      <c r="M836" t="n">
        <v>0</v>
      </c>
      <c r="N836" t="n">
        <v>0</v>
      </c>
      <c r="O836" t="n">
        <v>0</v>
      </c>
      <c r="P836" t="n">
        <v>0</v>
      </c>
      <c r="Q836" t="n">
        <v>0</v>
      </c>
      <c r="R836" s="2" t="inlineStr"/>
    </row>
    <row r="837" ht="15" customHeight="1">
      <c r="A837" t="inlineStr">
        <is>
          <t>A 27059-2019</t>
        </is>
      </c>
      <c r="B837" s="1" t="n">
        <v>43614</v>
      </c>
      <c r="C837" s="1" t="n">
        <v>45190</v>
      </c>
      <c r="D837" t="inlineStr">
        <is>
          <t>SKÅNE LÄN</t>
        </is>
      </c>
      <c r="E837" t="inlineStr">
        <is>
          <t>ÄNGELHOLM</t>
        </is>
      </c>
      <c r="G837" t="n">
        <v>2.9</v>
      </c>
      <c r="H837" t="n">
        <v>0</v>
      </c>
      <c r="I837" t="n">
        <v>0</v>
      </c>
      <c r="J837" t="n">
        <v>0</v>
      </c>
      <c r="K837" t="n">
        <v>0</v>
      </c>
      <c r="L837" t="n">
        <v>0</v>
      </c>
      <c r="M837" t="n">
        <v>0</v>
      </c>
      <c r="N837" t="n">
        <v>0</v>
      </c>
      <c r="O837" t="n">
        <v>0</v>
      </c>
      <c r="P837" t="n">
        <v>0</v>
      </c>
      <c r="Q837" t="n">
        <v>0</v>
      </c>
      <c r="R837" s="2" t="inlineStr"/>
    </row>
    <row r="838" ht="15" customHeight="1">
      <c r="A838" t="inlineStr">
        <is>
          <t>A 28655-2019</t>
        </is>
      </c>
      <c r="B838" s="1" t="n">
        <v>43614</v>
      </c>
      <c r="C838" s="1" t="n">
        <v>45190</v>
      </c>
      <c r="D838" t="inlineStr">
        <is>
          <t>SKÅNE LÄN</t>
        </is>
      </c>
      <c r="E838" t="inlineStr">
        <is>
          <t>TOMELILLA</t>
        </is>
      </c>
      <c r="G838" t="n">
        <v>0.8</v>
      </c>
      <c r="H838" t="n">
        <v>0</v>
      </c>
      <c r="I838" t="n">
        <v>0</v>
      </c>
      <c r="J838" t="n">
        <v>0</v>
      </c>
      <c r="K838" t="n">
        <v>0</v>
      </c>
      <c r="L838" t="n">
        <v>0</v>
      </c>
      <c r="M838" t="n">
        <v>0</v>
      </c>
      <c r="N838" t="n">
        <v>0</v>
      </c>
      <c r="O838" t="n">
        <v>0</v>
      </c>
      <c r="P838" t="n">
        <v>0</v>
      </c>
      <c r="Q838" t="n">
        <v>0</v>
      </c>
      <c r="R838" s="2" t="inlineStr"/>
    </row>
    <row r="839" ht="15" customHeight="1">
      <c r="A839" t="inlineStr">
        <is>
          <t>A 27649-2019</t>
        </is>
      </c>
      <c r="B839" s="1" t="n">
        <v>43619</v>
      </c>
      <c r="C839" s="1" t="n">
        <v>45190</v>
      </c>
      <c r="D839" t="inlineStr">
        <is>
          <t>SKÅNE LÄN</t>
        </is>
      </c>
      <c r="E839" t="inlineStr">
        <is>
          <t>OSBY</t>
        </is>
      </c>
      <c r="G839" t="n">
        <v>1.4</v>
      </c>
      <c r="H839" t="n">
        <v>0</v>
      </c>
      <c r="I839" t="n">
        <v>0</v>
      </c>
      <c r="J839" t="n">
        <v>0</v>
      </c>
      <c r="K839" t="n">
        <v>0</v>
      </c>
      <c r="L839" t="n">
        <v>0</v>
      </c>
      <c r="M839" t="n">
        <v>0</v>
      </c>
      <c r="N839" t="n">
        <v>0</v>
      </c>
      <c r="O839" t="n">
        <v>0</v>
      </c>
      <c r="P839" t="n">
        <v>0</v>
      </c>
      <c r="Q839" t="n">
        <v>0</v>
      </c>
      <c r="R839" s="2" t="inlineStr"/>
    </row>
    <row r="840" ht="15" customHeight="1">
      <c r="A840" t="inlineStr">
        <is>
          <t>A 27705-2019</t>
        </is>
      </c>
      <c r="B840" s="1" t="n">
        <v>43619</v>
      </c>
      <c r="C840" s="1" t="n">
        <v>45190</v>
      </c>
      <c r="D840" t="inlineStr">
        <is>
          <t>SKÅNE LÄN</t>
        </is>
      </c>
      <c r="E840" t="inlineStr">
        <is>
          <t>ÖRKELLJUNGA</t>
        </is>
      </c>
      <c r="G840" t="n">
        <v>3.9</v>
      </c>
      <c r="H840" t="n">
        <v>0</v>
      </c>
      <c r="I840" t="n">
        <v>0</v>
      </c>
      <c r="J840" t="n">
        <v>0</v>
      </c>
      <c r="K840" t="n">
        <v>0</v>
      </c>
      <c r="L840" t="n">
        <v>0</v>
      </c>
      <c r="M840" t="n">
        <v>0</v>
      </c>
      <c r="N840" t="n">
        <v>0</v>
      </c>
      <c r="O840" t="n">
        <v>0</v>
      </c>
      <c r="P840" t="n">
        <v>0</v>
      </c>
      <c r="Q840" t="n">
        <v>0</v>
      </c>
      <c r="R840" s="2" t="inlineStr"/>
    </row>
    <row r="841" ht="15" customHeight="1">
      <c r="A841" t="inlineStr">
        <is>
          <t>A 27624-2019</t>
        </is>
      </c>
      <c r="B841" s="1" t="n">
        <v>43619</v>
      </c>
      <c r="C841" s="1" t="n">
        <v>45190</v>
      </c>
      <c r="D841" t="inlineStr">
        <is>
          <t>SKÅNE LÄN</t>
        </is>
      </c>
      <c r="E841" t="inlineStr">
        <is>
          <t>HÄSSLEHOLM</t>
        </is>
      </c>
      <c r="F841" t="inlineStr">
        <is>
          <t>Kyrkan</t>
        </is>
      </c>
      <c r="G841" t="n">
        <v>5.3</v>
      </c>
      <c r="H841" t="n">
        <v>0</v>
      </c>
      <c r="I841" t="n">
        <v>0</v>
      </c>
      <c r="J841" t="n">
        <v>0</v>
      </c>
      <c r="K841" t="n">
        <v>0</v>
      </c>
      <c r="L841" t="n">
        <v>0</v>
      </c>
      <c r="M841" t="n">
        <v>0</v>
      </c>
      <c r="N841" t="n">
        <v>0</v>
      </c>
      <c r="O841" t="n">
        <v>0</v>
      </c>
      <c r="P841" t="n">
        <v>0</v>
      </c>
      <c r="Q841" t="n">
        <v>0</v>
      </c>
      <c r="R841" s="2" t="inlineStr"/>
    </row>
    <row r="842" ht="15" customHeight="1">
      <c r="A842" t="inlineStr">
        <is>
          <t>A 27672-2019</t>
        </is>
      </c>
      <c r="B842" s="1" t="n">
        <v>43619</v>
      </c>
      <c r="C842" s="1" t="n">
        <v>45190</v>
      </c>
      <c r="D842" t="inlineStr">
        <is>
          <t>SKÅNE LÄN</t>
        </is>
      </c>
      <c r="E842" t="inlineStr">
        <is>
          <t>ESLÖV</t>
        </is>
      </c>
      <c r="G842" t="n">
        <v>1</v>
      </c>
      <c r="H842" t="n">
        <v>0</v>
      </c>
      <c r="I842" t="n">
        <v>0</v>
      </c>
      <c r="J842" t="n">
        <v>0</v>
      </c>
      <c r="K842" t="n">
        <v>0</v>
      </c>
      <c r="L842" t="n">
        <v>0</v>
      </c>
      <c r="M842" t="n">
        <v>0</v>
      </c>
      <c r="N842" t="n">
        <v>0</v>
      </c>
      <c r="O842" t="n">
        <v>0</v>
      </c>
      <c r="P842" t="n">
        <v>0</v>
      </c>
      <c r="Q842" t="n">
        <v>0</v>
      </c>
      <c r="R842" s="2" t="inlineStr"/>
    </row>
    <row r="843" ht="15" customHeight="1">
      <c r="A843" t="inlineStr">
        <is>
          <t>A 27818-2019</t>
        </is>
      </c>
      <c r="B843" s="1" t="n">
        <v>43620</v>
      </c>
      <c r="C843" s="1" t="n">
        <v>45190</v>
      </c>
      <c r="D843" t="inlineStr">
        <is>
          <t>SKÅNE LÄN</t>
        </is>
      </c>
      <c r="E843" t="inlineStr">
        <is>
          <t>HÖÖR</t>
        </is>
      </c>
      <c r="G843" t="n">
        <v>1</v>
      </c>
      <c r="H843" t="n">
        <v>0</v>
      </c>
      <c r="I843" t="n">
        <v>0</v>
      </c>
      <c r="J843" t="n">
        <v>0</v>
      </c>
      <c r="K843" t="n">
        <v>0</v>
      </c>
      <c r="L843" t="n">
        <v>0</v>
      </c>
      <c r="M843" t="n">
        <v>0</v>
      </c>
      <c r="N843" t="n">
        <v>0</v>
      </c>
      <c r="O843" t="n">
        <v>0</v>
      </c>
      <c r="P843" t="n">
        <v>0</v>
      </c>
      <c r="Q843" t="n">
        <v>0</v>
      </c>
      <c r="R843" s="2" t="inlineStr"/>
    </row>
    <row r="844" ht="15" customHeight="1">
      <c r="A844" t="inlineStr">
        <is>
          <t>A 27824-2019</t>
        </is>
      </c>
      <c r="B844" s="1" t="n">
        <v>43620</v>
      </c>
      <c r="C844" s="1" t="n">
        <v>45190</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28161-2019</t>
        </is>
      </c>
      <c r="B845" s="1" t="n">
        <v>43621</v>
      </c>
      <c r="C845" s="1" t="n">
        <v>45190</v>
      </c>
      <c r="D845" t="inlineStr">
        <is>
          <t>SKÅNE LÄN</t>
        </is>
      </c>
      <c r="E845" t="inlineStr">
        <is>
          <t>OSBY</t>
        </is>
      </c>
      <c r="G845" t="n">
        <v>0</v>
      </c>
      <c r="H845" t="n">
        <v>0</v>
      </c>
      <c r="I845" t="n">
        <v>0</v>
      </c>
      <c r="J845" t="n">
        <v>0</v>
      </c>
      <c r="K845" t="n">
        <v>0</v>
      </c>
      <c r="L845" t="n">
        <v>0</v>
      </c>
      <c r="M845" t="n">
        <v>0</v>
      </c>
      <c r="N845" t="n">
        <v>0</v>
      </c>
      <c r="O845" t="n">
        <v>0</v>
      </c>
      <c r="P845" t="n">
        <v>0</v>
      </c>
      <c r="Q845" t="n">
        <v>0</v>
      </c>
      <c r="R845" s="2" t="inlineStr"/>
    </row>
    <row r="846" ht="15" customHeight="1">
      <c r="A846" t="inlineStr">
        <is>
          <t>A 28105-2019</t>
        </is>
      </c>
      <c r="B846" s="1" t="n">
        <v>43621</v>
      </c>
      <c r="C846" s="1" t="n">
        <v>45190</v>
      </c>
      <c r="D846" t="inlineStr">
        <is>
          <t>SKÅNE LÄN</t>
        </is>
      </c>
      <c r="E846" t="inlineStr">
        <is>
          <t>HÄSSLEHOLM</t>
        </is>
      </c>
      <c r="G846" t="n">
        <v>3.3</v>
      </c>
      <c r="H846" t="n">
        <v>0</v>
      </c>
      <c r="I846" t="n">
        <v>0</v>
      </c>
      <c r="J846" t="n">
        <v>0</v>
      </c>
      <c r="K846" t="n">
        <v>0</v>
      </c>
      <c r="L846" t="n">
        <v>0</v>
      </c>
      <c r="M846" t="n">
        <v>0</v>
      </c>
      <c r="N846" t="n">
        <v>0</v>
      </c>
      <c r="O846" t="n">
        <v>0</v>
      </c>
      <c r="P846" t="n">
        <v>0</v>
      </c>
      <c r="Q846" t="n">
        <v>0</v>
      </c>
      <c r="R846" s="2" t="inlineStr"/>
    </row>
    <row r="847" ht="15" customHeight="1">
      <c r="A847" t="inlineStr">
        <is>
          <t>A 28159-2019</t>
        </is>
      </c>
      <c r="B847" s="1" t="n">
        <v>43621</v>
      </c>
      <c r="C847" s="1" t="n">
        <v>45190</v>
      </c>
      <c r="D847" t="inlineStr">
        <is>
          <t>SKÅNE LÄN</t>
        </is>
      </c>
      <c r="E847" t="inlineStr">
        <is>
          <t>ÖSTRA GÖINGE</t>
        </is>
      </c>
      <c r="G847" t="n">
        <v>1.3</v>
      </c>
      <c r="H847" t="n">
        <v>0</v>
      </c>
      <c r="I847" t="n">
        <v>0</v>
      </c>
      <c r="J847" t="n">
        <v>0</v>
      </c>
      <c r="K847" t="n">
        <v>0</v>
      </c>
      <c r="L847" t="n">
        <v>0</v>
      </c>
      <c r="M847" t="n">
        <v>0</v>
      </c>
      <c r="N847" t="n">
        <v>0</v>
      </c>
      <c r="O847" t="n">
        <v>0</v>
      </c>
      <c r="P847" t="n">
        <v>0</v>
      </c>
      <c r="Q847" t="n">
        <v>0</v>
      </c>
      <c r="R847" s="2" t="inlineStr"/>
    </row>
    <row r="848" ht="15" customHeight="1">
      <c r="A848" t="inlineStr">
        <is>
          <t>A 28371-2019</t>
        </is>
      </c>
      <c r="B848" s="1" t="n">
        <v>43622</v>
      </c>
      <c r="C848" s="1" t="n">
        <v>45190</v>
      </c>
      <c r="D848" t="inlineStr">
        <is>
          <t>SKÅNE LÄN</t>
        </is>
      </c>
      <c r="E848" t="inlineStr">
        <is>
          <t>SVALÖV</t>
        </is>
      </c>
      <c r="G848" t="n">
        <v>0.7</v>
      </c>
      <c r="H848" t="n">
        <v>0</v>
      </c>
      <c r="I848" t="n">
        <v>0</v>
      </c>
      <c r="J848" t="n">
        <v>0</v>
      </c>
      <c r="K848" t="n">
        <v>0</v>
      </c>
      <c r="L848" t="n">
        <v>0</v>
      </c>
      <c r="M848" t="n">
        <v>0</v>
      </c>
      <c r="N848" t="n">
        <v>0</v>
      </c>
      <c r="O848" t="n">
        <v>0</v>
      </c>
      <c r="P848" t="n">
        <v>0</v>
      </c>
      <c r="Q848" t="n">
        <v>0</v>
      </c>
      <c r="R848" s="2" t="inlineStr"/>
    </row>
    <row r="849" ht="15" customHeight="1">
      <c r="A849" t="inlineStr">
        <is>
          <t>A 29230-2019</t>
        </is>
      </c>
      <c r="B849" s="1" t="n">
        <v>43623</v>
      </c>
      <c r="C849" s="1" t="n">
        <v>45190</v>
      </c>
      <c r="D849" t="inlineStr">
        <is>
          <t>SKÅNE LÄN</t>
        </is>
      </c>
      <c r="E849" t="inlineStr">
        <is>
          <t>HÖÖR</t>
        </is>
      </c>
      <c r="G849" t="n">
        <v>2</v>
      </c>
      <c r="H849" t="n">
        <v>0</v>
      </c>
      <c r="I849" t="n">
        <v>0</v>
      </c>
      <c r="J849" t="n">
        <v>0</v>
      </c>
      <c r="K849" t="n">
        <v>0</v>
      </c>
      <c r="L849" t="n">
        <v>0</v>
      </c>
      <c r="M849" t="n">
        <v>0</v>
      </c>
      <c r="N849" t="n">
        <v>0</v>
      </c>
      <c r="O849" t="n">
        <v>0</v>
      </c>
      <c r="P849" t="n">
        <v>0</v>
      </c>
      <c r="Q849" t="n">
        <v>0</v>
      </c>
      <c r="R849" s="2" t="inlineStr"/>
    </row>
    <row r="850" ht="15" customHeight="1">
      <c r="A850" t="inlineStr">
        <is>
          <t>A 28410-2019</t>
        </is>
      </c>
      <c r="B850" s="1" t="n">
        <v>43626</v>
      </c>
      <c r="C850" s="1" t="n">
        <v>45190</v>
      </c>
      <c r="D850" t="inlineStr">
        <is>
          <t>SKÅNE LÄN</t>
        </is>
      </c>
      <c r="E850" t="inlineStr">
        <is>
          <t>HÄSSLEHOLM</t>
        </is>
      </c>
      <c r="G850" t="n">
        <v>2.5</v>
      </c>
      <c r="H850" t="n">
        <v>0</v>
      </c>
      <c r="I850" t="n">
        <v>0</v>
      </c>
      <c r="J850" t="n">
        <v>0</v>
      </c>
      <c r="K850" t="n">
        <v>0</v>
      </c>
      <c r="L850" t="n">
        <v>0</v>
      </c>
      <c r="M850" t="n">
        <v>0</v>
      </c>
      <c r="N850" t="n">
        <v>0</v>
      </c>
      <c r="O850" t="n">
        <v>0</v>
      </c>
      <c r="P850" t="n">
        <v>0</v>
      </c>
      <c r="Q850" t="n">
        <v>0</v>
      </c>
      <c r="R850" s="2" t="inlineStr"/>
    </row>
    <row r="851" ht="15" customHeight="1">
      <c r="A851" t="inlineStr">
        <is>
          <t>A 28413-2019</t>
        </is>
      </c>
      <c r="B851" s="1" t="n">
        <v>43626</v>
      </c>
      <c r="C851" s="1" t="n">
        <v>45190</v>
      </c>
      <c r="D851" t="inlineStr">
        <is>
          <t>SKÅNE LÄN</t>
        </is>
      </c>
      <c r="E851" t="inlineStr">
        <is>
          <t>HÄSSLEHOLM</t>
        </is>
      </c>
      <c r="G851" t="n">
        <v>2.4</v>
      </c>
      <c r="H851" t="n">
        <v>0</v>
      </c>
      <c r="I851" t="n">
        <v>0</v>
      </c>
      <c r="J851" t="n">
        <v>0</v>
      </c>
      <c r="K851" t="n">
        <v>0</v>
      </c>
      <c r="L851" t="n">
        <v>0</v>
      </c>
      <c r="M851" t="n">
        <v>0</v>
      </c>
      <c r="N851" t="n">
        <v>0</v>
      </c>
      <c r="O851" t="n">
        <v>0</v>
      </c>
      <c r="P851" t="n">
        <v>0</v>
      </c>
      <c r="Q851" t="n">
        <v>0</v>
      </c>
      <c r="R851" s="2" t="inlineStr"/>
    </row>
    <row r="852" ht="15" customHeight="1">
      <c r="A852" t="inlineStr">
        <is>
          <t>A 28996-2019</t>
        </is>
      </c>
      <c r="B852" s="1" t="n">
        <v>43628</v>
      </c>
      <c r="C852" s="1" t="n">
        <v>45190</v>
      </c>
      <c r="D852" t="inlineStr">
        <is>
          <t>SKÅNE LÄN</t>
        </is>
      </c>
      <c r="E852" t="inlineStr">
        <is>
          <t>SVALÖV</t>
        </is>
      </c>
      <c r="G852" t="n">
        <v>5.3</v>
      </c>
      <c r="H852" t="n">
        <v>0</v>
      </c>
      <c r="I852" t="n">
        <v>0</v>
      </c>
      <c r="J852" t="n">
        <v>0</v>
      </c>
      <c r="K852" t="n">
        <v>0</v>
      </c>
      <c r="L852" t="n">
        <v>0</v>
      </c>
      <c r="M852" t="n">
        <v>0</v>
      </c>
      <c r="N852" t="n">
        <v>0</v>
      </c>
      <c r="O852" t="n">
        <v>0</v>
      </c>
      <c r="P852" t="n">
        <v>0</v>
      </c>
      <c r="Q852" t="n">
        <v>0</v>
      </c>
      <c r="R852" s="2" t="inlineStr"/>
    </row>
    <row r="853" ht="15" customHeight="1">
      <c r="A853" t="inlineStr">
        <is>
          <t>A 29042-2019</t>
        </is>
      </c>
      <c r="B853" s="1" t="n">
        <v>43628</v>
      </c>
      <c r="C853" s="1" t="n">
        <v>45190</v>
      </c>
      <c r="D853" t="inlineStr">
        <is>
          <t>SKÅNE LÄN</t>
        </is>
      </c>
      <c r="E853" t="inlineStr">
        <is>
          <t>HÄSSLEHOLM</t>
        </is>
      </c>
      <c r="G853" t="n">
        <v>2.6</v>
      </c>
      <c r="H853" t="n">
        <v>0</v>
      </c>
      <c r="I853" t="n">
        <v>0</v>
      </c>
      <c r="J853" t="n">
        <v>0</v>
      </c>
      <c r="K853" t="n">
        <v>0</v>
      </c>
      <c r="L853" t="n">
        <v>0</v>
      </c>
      <c r="M853" t="n">
        <v>0</v>
      </c>
      <c r="N853" t="n">
        <v>0</v>
      </c>
      <c r="O853" t="n">
        <v>0</v>
      </c>
      <c r="P853" t="n">
        <v>0</v>
      </c>
      <c r="Q853" t="n">
        <v>0</v>
      </c>
      <c r="R853" s="2" t="inlineStr"/>
    </row>
    <row r="854" ht="15" customHeight="1">
      <c r="A854" t="inlineStr">
        <is>
          <t>A 29007-2019</t>
        </is>
      </c>
      <c r="B854" s="1" t="n">
        <v>43628</v>
      </c>
      <c r="C854" s="1" t="n">
        <v>45190</v>
      </c>
      <c r="D854" t="inlineStr">
        <is>
          <t>SKÅNE LÄN</t>
        </is>
      </c>
      <c r="E854" t="inlineStr">
        <is>
          <t>BÅSTAD</t>
        </is>
      </c>
      <c r="G854" t="n">
        <v>2.4</v>
      </c>
      <c r="H854" t="n">
        <v>0</v>
      </c>
      <c r="I854" t="n">
        <v>0</v>
      </c>
      <c r="J854" t="n">
        <v>0</v>
      </c>
      <c r="K854" t="n">
        <v>0</v>
      </c>
      <c r="L854" t="n">
        <v>0</v>
      </c>
      <c r="M854" t="n">
        <v>0</v>
      </c>
      <c r="N854" t="n">
        <v>0</v>
      </c>
      <c r="O854" t="n">
        <v>0</v>
      </c>
      <c r="P854" t="n">
        <v>0</v>
      </c>
      <c r="Q854" t="n">
        <v>0</v>
      </c>
      <c r="R854" s="2" t="inlineStr"/>
    </row>
    <row r="855" ht="15" customHeight="1">
      <c r="A855" t="inlineStr">
        <is>
          <t>A 29139-2019</t>
        </is>
      </c>
      <c r="B855" s="1" t="n">
        <v>43628</v>
      </c>
      <c r="C855" s="1" t="n">
        <v>45190</v>
      </c>
      <c r="D855" t="inlineStr">
        <is>
          <t>SKÅNE LÄN</t>
        </is>
      </c>
      <c r="E855" t="inlineStr">
        <is>
          <t>KLIPPAN</t>
        </is>
      </c>
      <c r="G855" t="n">
        <v>0.7</v>
      </c>
      <c r="H855" t="n">
        <v>0</v>
      </c>
      <c r="I855" t="n">
        <v>0</v>
      </c>
      <c r="J855" t="n">
        <v>0</v>
      </c>
      <c r="K855" t="n">
        <v>0</v>
      </c>
      <c r="L855" t="n">
        <v>0</v>
      </c>
      <c r="M855" t="n">
        <v>0</v>
      </c>
      <c r="N855" t="n">
        <v>0</v>
      </c>
      <c r="O855" t="n">
        <v>0</v>
      </c>
      <c r="P855" t="n">
        <v>0</v>
      </c>
      <c r="Q855" t="n">
        <v>0</v>
      </c>
      <c r="R855" s="2" t="inlineStr"/>
    </row>
    <row r="856" ht="15" customHeight="1">
      <c r="A856" t="inlineStr">
        <is>
          <t>A 29138-2019</t>
        </is>
      </c>
      <c r="B856" s="1" t="n">
        <v>43628</v>
      </c>
      <c r="C856" s="1" t="n">
        <v>45190</v>
      </c>
      <c r="D856" t="inlineStr">
        <is>
          <t>SKÅNE LÄN</t>
        </is>
      </c>
      <c r="E856" t="inlineStr">
        <is>
          <t>KLIPPAN</t>
        </is>
      </c>
      <c r="G856" t="n">
        <v>0.6</v>
      </c>
      <c r="H856" t="n">
        <v>0</v>
      </c>
      <c r="I856" t="n">
        <v>0</v>
      </c>
      <c r="J856" t="n">
        <v>0</v>
      </c>
      <c r="K856" t="n">
        <v>0</v>
      </c>
      <c r="L856" t="n">
        <v>0</v>
      </c>
      <c r="M856" t="n">
        <v>0</v>
      </c>
      <c r="N856" t="n">
        <v>0</v>
      </c>
      <c r="O856" t="n">
        <v>0</v>
      </c>
      <c r="P856" t="n">
        <v>0</v>
      </c>
      <c r="Q856" t="n">
        <v>0</v>
      </c>
      <c r="R856" s="2" t="inlineStr"/>
    </row>
    <row r="857" ht="15" customHeight="1">
      <c r="A857" t="inlineStr">
        <is>
          <t>A 29943-2019</t>
        </is>
      </c>
      <c r="B857" s="1" t="n">
        <v>43629</v>
      </c>
      <c r="C857" s="1" t="n">
        <v>45190</v>
      </c>
      <c r="D857" t="inlineStr">
        <is>
          <t>SKÅNE LÄN</t>
        </is>
      </c>
      <c r="E857" t="inlineStr">
        <is>
          <t>ÖRKELLJUNGA</t>
        </is>
      </c>
      <c r="G857" t="n">
        <v>2.4</v>
      </c>
      <c r="H857" t="n">
        <v>0</v>
      </c>
      <c r="I857" t="n">
        <v>0</v>
      </c>
      <c r="J857" t="n">
        <v>0</v>
      </c>
      <c r="K857" t="n">
        <v>0</v>
      </c>
      <c r="L857" t="n">
        <v>0</v>
      </c>
      <c r="M857" t="n">
        <v>0</v>
      </c>
      <c r="N857" t="n">
        <v>0</v>
      </c>
      <c r="O857" t="n">
        <v>0</v>
      </c>
      <c r="P857" t="n">
        <v>0</v>
      </c>
      <c r="Q857" t="n">
        <v>0</v>
      </c>
      <c r="R857" s="2" t="inlineStr"/>
    </row>
    <row r="858" ht="15" customHeight="1">
      <c r="A858" t="inlineStr">
        <is>
          <t>A 29305-2019</t>
        </is>
      </c>
      <c r="B858" s="1" t="n">
        <v>43629</v>
      </c>
      <c r="C858" s="1" t="n">
        <v>45190</v>
      </c>
      <c r="D858" t="inlineStr">
        <is>
          <t>SKÅNE LÄN</t>
        </is>
      </c>
      <c r="E858" t="inlineStr">
        <is>
          <t>ESLÖV</t>
        </is>
      </c>
      <c r="G858" t="n">
        <v>1.7</v>
      </c>
      <c r="H858" t="n">
        <v>0</v>
      </c>
      <c r="I858" t="n">
        <v>0</v>
      </c>
      <c r="J858" t="n">
        <v>0</v>
      </c>
      <c r="K858" t="n">
        <v>0</v>
      </c>
      <c r="L858" t="n">
        <v>0</v>
      </c>
      <c r="M858" t="n">
        <v>0</v>
      </c>
      <c r="N858" t="n">
        <v>0</v>
      </c>
      <c r="O858" t="n">
        <v>0</v>
      </c>
      <c r="P858" t="n">
        <v>0</v>
      </c>
      <c r="Q858" t="n">
        <v>0</v>
      </c>
      <c r="R858" s="2" t="inlineStr"/>
    </row>
    <row r="859" ht="15" customHeight="1">
      <c r="A859" t="inlineStr">
        <is>
          <t>A 29534-2019</t>
        </is>
      </c>
      <c r="B859" s="1" t="n">
        <v>43630</v>
      </c>
      <c r="C859" s="1" t="n">
        <v>45190</v>
      </c>
      <c r="D859" t="inlineStr">
        <is>
          <t>SKÅNE LÄN</t>
        </is>
      </c>
      <c r="E859" t="inlineStr">
        <is>
          <t>LUND</t>
        </is>
      </c>
      <c r="G859" t="n">
        <v>1.8</v>
      </c>
      <c r="H859" t="n">
        <v>0</v>
      </c>
      <c r="I859" t="n">
        <v>0</v>
      </c>
      <c r="J859" t="n">
        <v>0</v>
      </c>
      <c r="K859" t="n">
        <v>0</v>
      </c>
      <c r="L859" t="n">
        <v>0</v>
      </c>
      <c r="M859" t="n">
        <v>0</v>
      </c>
      <c r="N859" t="n">
        <v>0</v>
      </c>
      <c r="O859" t="n">
        <v>0</v>
      </c>
      <c r="P859" t="n">
        <v>0</v>
      </c>
      <c r="Q859" t="n">
        <v>0</v>
      </c>
      <c r="R859" s="2" t="inlineStr"/>
    </row>
    <row r="860" ht="15" customHeight="1">
      <c r="A860" t="inlineStr">
        <is>
          <t>A 29577-2019</t>
        </is>
      </c>
      <c r="B860" s="1" t="n">
        <v>43630</v>
      </c>
      <c r="C860" s="1" t="n">
        <v>45190</v>
      </c>
      <c r="D860" t="inlineStr">
        <is>
          <t>SKÅNE LÄN</t>
        </is>
      </c>
      <c r="E860" t="inlineStr">
        <is>
          <t>TOMELILLA</t>
        </is>
      </c>
      <c r="G860" t="n">
        <v>1.4</v>
      </c>
      <c r="H860" t="n">
        <v>0</v>
      </c>
      <c r="I860" t="n">
        <v>0</v>
      </c>
      <c r="J860" t="n">
        <v>0</v>
      </c>
      <c r="K860" t="n">
        <v>0</v>
      </c>
      <c r="L860" t="n">
        <v>0</v>
      </c>
      <c r="M860" t="n">
        <v>0</v>
      </c>
      <c r="N860" t="n">
        <v>0</v>
      </c>
      <c r="O860" t="n">
        <v>0</v>
      </c>
      <c r="P860" t="n">
        <v>0</v>
      </c>
      <c r="Q860" t="n">
        <v>0</v>
      </c>
      <c r="R860" s="2" t="inlineStr"/>
    </row>
    <row r="861" ht="15" customHeight="1">
      <c r="A861" t="inlineStr">
        <is>
          <t>A 29766-2019</t>
        </is>
      </c>
      <c r="B861" s="1" t="n">
        <v>43632</v>
      </c>
      <c r="C861" s="1" t="n">
        <v>45190</v>
      </c>
      <c r="D861" t="inlineStr">
        <is>
          <t>SKÅNE LÄN</t>
        </is>
      </c>
      <c r="E861" t="inlineStr">
        <is>
          <t>HÄSSLEHOLM</t>
        </is>
      </c>
      <c r="G861" t="n">
        <v>4.9</v>
      </c>
      <c r="H861" t="n">
        <v>0</v>
      </c>
      <c r="I861" t="n">
        <v>0</v>
      </c>
      <c r="J861" t="n">
        <v>0</v>
      </c>
      <c r="K861" t="n">
        <v>0</v>
      </c>
      <c r="L861" t="n">
        <v>0</v>
      </c>
      <c r="M861" t="n">
        <v>0</v>
      </c>
      <c r="N861" t="n">
        <v>0</v>
      </c>
      <c r="O861" t="n">
        <v>0</v>
      </c>
      <c r="P861" t="n">
        <v>0</v>
      </c>
      <c r="Q861" t="n">
        <v>0</v>
      </c>
      <c r="R861" s="2" t="inlineStr"/>
    </row>
    <row r="862" ht="15" customHeight="1">
      <c r="A862" t="inlineStr">
        <is>
          <t>A 29849-2019</t>
        </is>
      </c>
      <c r="B862" s="1" t="n">
        <v>43633</v>
      </c>
      <c r="C862" s="1" t="n">
        <v>45190</v>
      </c>
      <c r="D862" t="inlineStr">
        <is>
          <t>SKÅNE LÄN</t>
        </is>
      </c>
      <c r="E862" t="inlineStr">
        <is>
          <t>ÖRKELLJUNGA</t>
        </is>
      </c>
      <c r="G862" t="n">
        <v>0.8</v>
      </c>
      <c r="H862" t="n">
        <v>0</v>
      </c>
      <c r="I862" t="n">
        <v>0</v>
      </c>
      <c r="J862" t="n">
        <v>0</v>
      </c>
      <c r="K862" t="n">
        <v>0</v>
      </c>
      <c r="L862" t="n">
        <v>0</v>
      </c>
      <c r="M862" t="n">
        <v>0</v>
      </c>
      <c r="N862" t="n">
        <v>0</v>
      </c>
      <c r="O862" t="n">
        <v>0</v>
      </c>
      <c r="P862" t="n">
        <v>0</v>
      </c>
      <c r="Q862" t="n">
        <v>0</v>
      </c>
      <c r="R862" s="2" t="inlineStr"/>
    </row>
    <row r="863" ht="15" customHeight="1">
      <c r="A863" t="inlineStr">
        <is>
          <t>A 30059-2019</t>
        </is>
      </c>
      <c r="B863" s="1" t="n">
        <v>43633</v>
      </c>
      <c r="C863" s="1" t="n">
        <v>45190</v>
      </c>
      <c r="D863" t="inlineStr">
        <is>
          <t>SKÅNE LÄN</t>
        </is>
      </c>
      <c r="E863" t="inlineStr">
        <is>
          <t>HÄSSLEHOLM</t>
        </is>
      </c>
      <c r="G863" t="n">
        <v>3.5</v>
      </c>
      <c r="H863" t="n">
        <v>0</v>
      </c>
      <c r="I863" t="n">
        <v>0</v>
      </c>
      <c r="J863" t="n">
        <v>0</v>
      </c>
      <c r="K863" t="n">
        <v>0</v>
      </c>
      <c r="L863" t="n">
        <v>0</v>
      </c>
      <c r="M863" t="n">
        <v>0</v>
      </c>
      <c r="N863" t="n">
        <v>0</v>
      </c>
      <c r="O863" t="n">
        <v>0</v>
      </c>
      <c r="P863" t="n">
        <v>0</v>
      </c>
      <c r="Q863" t="n">
        <v>0</v>
      </c>
      <c r="R863" s="2" t="inlineStr"/>
    </row>
    <row r="864" ht="15" customHeight="1">
      <c r="A864" t="inlineStr">
        <is>
          <t>A 29799-2019</t>
        </is>
      </c>
      <c r="B864" s="1" t="n">
        <v>43633</v>
      </c>
      <c r="C864" s="1" t="n">
        <v>45190</v>
      </c>
      <c r="D864" t="inlineStr">
        <is>
          <t>SKÅNE LÄN</t>
        </is>
      </c>
      <c r="E864" t="inlineStr">
        <is>
          <t>TOMELILLA</t>
        </is>
      </c>
      <c r="G864" t="n">
        <v>0.9</v>
      </c>
      <c r="H864" t="n">
        <v>0</v>
      </c>
      <c r="I864" t="n">
        <v>0</v>
      </c>
      <c r="J864" t="n">
        <v>0</v>
      </c>
      <c r="K864" t="n">
        <v>0</v>
      </c>
      <c r="L864" t="n">
        <v>0</v>
      </c>
      <c r="M864" t="n">
        <v>0</v>
      </c>
      <c r="N864" t="n">
        <v>0</v>
      </c>
      <c r="O864" t="n">
        <v>0</v>
      </c>
      <c r="P864" t="n">
        <v>0</v>
      </c>
      <c r="Q864" t="n">
        <v>0</v>
      </c>
      <c r="R864" s="2" t="inlineStr"/>
    </row>
    <row r="865" ht="15" customHeight="1">
      <c r="A865" t="inlineStr">
        <is>
          <t>A 30292-2019</t>
        </is>
      </c>
      <c r="B865" s="1" t="n">
        <v>43633</v>
      </c>
      <c r="C865" s="1" t="n">
        <v>45190</v>
      </c>
      <c r="D865" t="inlineStr">
        <is>
          <t>SKÅNE LÄN</t>
        </is>
      </c>
      <c r="E865" t="inlineStr">
        <is>
          <t>ESLÖV</t>
        </is>
      </c>
      <c r="G865" t="n">
        <v>3.1</v>
      </c>
      <c r="H865" t="n">
        <v>0</v>
      </c>
      <c r="I865" t="n">
        <v>0</v>
      </c>
      <c r="J865" t="n">
        <v>0</v>
      </c>
      <c r="K865" t="n">
        <v>0</v>
      </c>
      <c r="L865" t="n">
        <v>0</v>
      </c>
      <c r="M865" t="n">
        <v>0</v>
      </c>
      <c r="N865" t="n">
        <v>0</v>
      </c>
      <c r="O865" t="n">
        <v>0</v>
      </c>
      <c r="P865" t="n">
        <v>0</v>
      </c>
      <c r="Q865" t="n">
        <v>0</v>
      </c>
      <c r="R865" s="2" t="inlineStr"/>
    </row>
    <row r="866" ht="15" customHeight="1">
      <c r="A866" t="inlineStr">
        <is>
          <t>A 30268-2019</t>
        </is>
      </c>
      <c r="B866" s="1" t="n">
        <v>43634</v>
      </c>
      <c r="C866" s="1" t="n">
        <v>45190</v>
      </c>
      <c r="D866" t="inlineStr">
        <is>
          <t>SKÅNE LÄN</t>
        </is>
      </c>
      <c r="E866" t="inlineStr">
        <is>
          <t>HÖRBY</t>
        </is>
      </c>
      <c r="G866" t="n">
        <v>0.9</v>
      </c>
      <c r="H866" t="n">
        <v>0</v>
      </c>
      <c r="I866" t="n">
        <v>0</v>
      </c>
      <c r="J866" t="n">
        <v>0</v>
      </c>
      <c r="K866" t="n">
        <v>0</v>
      </c>
      <c r="L866" t="n">
        <v>0</v>
      </c>
      <c r="M866" t="n">
        <v>0</v>
      </c>
      <c r="N866" t="n">
        <v>0</v>
      </c>
      <c r="O866" t="n">
        <v>0</v>
      </c>
      <c r="P866" t="n">
        <v>0</v>
      </c>
      <c r="Q866" t="n">
        <v>0</v>
      </c>
      <c r="R866" s="2" t="inlineStr"/>
    </row>
    <row r="867" ht="15" customHeight="1">
      <c r="A867" t="inlineStr">
        <is>
          <t>A 31177-2019</t>
        </is>
      </c>
      <c r="B867" s="1" t="n">
        <v>43640</v>
      </c>
      <c r="C867" s="1" t="n">
        <v>45190</v>
      </c>
      <c r="D867" t="inlineStr">
        <is>
          <t>SKÅNE LÄN</t>
        </is>
      </c>
      <c r="E867" t="inlineStr">
        <is>
          <t>HÖÖR</t>
        </is>
      </c>
      <c r="G867" t="n">
        <v>8.6</v>
      </c>
      <c r="H867" t="n">
        <v>0</v>
      </c>
      <c r="I867" t="n">
        <v>0</v>
      </c>
      <c r="J867" t="n">
        <v>0</v>
      </c>
      <c r="K867" t="n">
        <v>0</v>
      </c>
      <c r="L867" t="n">
        <v>0</v>
      </c>
      <c r="M867" t="n">
        <v>0</v>
      </c>
      <c r="N867" t="n">
        <v>0</v>
      </c>
      <c r="O867" t="n">
        <v>0</v>
      </c>
      <c r="P867" t="n">
        <v>0</v>
      </c>
      <c r="Q867" t="n">
        <v>0</v>
      </c>
      <c r="R867" s="2" t="inlineStr"/>
    </row>
    <row r="868" ht="15" customHeight="1">
      <c r="A868" t="inlineStr">
        <is>
          <t>A 31433-2019</t>
        </is>
      </c>
      <c r="B868" s="1" t="n">
        <v>43641</v>
      </c>
      <c r="C868" s="1" t="n">
        <v>45190</v>
      </c>
      <c r="D868" t="inlineStr">
        <is>
          <t>SKÅNE LÄN</t>
        </is>
      </c>
      <c r="E868" t="inlineStr">
        <is>
          <t>ÖRKELLJUNGA</t>
        </is>
      </c>
      <c r="G868" t="n">
        <v>1.1</v>
      </c>
      <c r="H868" t="n">
        <v>0</v>
      </c>
      <c r="I868" t="n">
        <v>0</v>
      </c>
      <c r="J868" t="n">
        <v>0</v>
      </c>
      <c r="K868" t="n">
        <v>0</v>
      </c>
      <c r="L868" t="n">
        <v>0</v>
      </c>
      <c r="M868" t="n">
        <v>0</v>
      </c>
      <c r="N868" t="n">
        <v>0</v>
      </c>
      <c r="O868" t="n">
        <v>0</v>
      </c>
      <c r="P868" t="n">
        <v>0</v>
      </c>
      <c r="Q868" t="n">
        <v>0</v>
      </c>
      <c r="R868" s="2" t="inlineStr"/>
    </row>
    <row r="869" ht="15" customHeight="1">
      <c r="A869" t="inlineStr">
        <is>
          <t>A 31784-2019</t>
        </is>
      </c>
      <c r="B869" s="1" t="n">
        <v>43641</v>
      </c>
      <c r="C869" s="1" t="n">
        <v>45190</v>
      </c>
      <c r="D869" t="inlineStr">
        <is>
          <t>SKÅNE LÄN</t>
        </is>
      </c>
      <c r="E869" t="inlineStr">
        <is>
          <t>ÖRKELLJUNGA</t>
        </is>
      </c>
      <c r="G869" t="n">
        <v>2</v>
      </c>
      <c r="H869" t="n">
        <v>0</v>
      </c>
      <c r="I869" t="n">
        <v>0</v>
      </c>
      <c r="J869" t="n">
        <v>0</v>
      </c>
      <c r="K869" t="n">
        <v>0</v>
      </c>
      <c r="L869" t="n">
        <v>0</v>
      </c>
      <c r="M869" t="n">
        <v>0</v>
      </c>
      <c r="N869" t="n">
        <v>0</v>
      </c>
      <c r="O869" t="n">
        <v>0</v>
      </c>
      <c r="P869" t="n">
        <v>0</v>
      </c>
      <c r="Q869" t="n">
        <v>0</v>
      </c>
      <c r="R869" s="2" t="inlineStr"/>
    </row>
    <row r="870" ht="15" customHeight="1">
      <c r="A870" t="inlineStr">
        <is>
          <t>A 31619-2019</t>
        </is>
      </c>
      <c r="B870" s="1" t="n">
        <v>43642</v>
      </c>
      <c r="C870" s="1" t="n">
        <v>45190</v>
      </c>
      <c r="D870" t="inlineStr">
        <is>
          <t>SKÅNE LÄN</t>
        </is>
      </c>
      <c r="E870" t="inlineStr">
        <is>
          <t>OSBY</t>
        </is>
      </c>
      <c r="G870" t="n">
        <v>1</v>
      </c>
      <c r="H870" t="n">
        <v>0</v>
      </c>
      <c r="I870" t="n">
        <v>0</v>
      </c>
      <c r="J870" t="n">
        <v>0</v>
      </c>
      <c r="K870" t="n">
        <v>0</v>
      </c>
      <c r="L870" t="n">
        <v>0</v>
      </c>
      <c r="M870" t="n">
        <v>0</v>
      </c>
      <c r="N870" t="n">
        <v>0</v>
      </c>
      <c r="O870" t="n">
        <v>0</v>
      </c>
      <c r="P870" t="n">
        <v>0</v>
      </c>
      <c r="Q870" t="n">
        <v>0</v>
      </c>
      <c r="R870" s="2" t="inlineStr"/>
    </row>
    <row r="871" ht="15" customHeight="1">
      <c r="A871" t="inlineStr">
        <is>
          <t>A 31795-2019</t>
        </is>
      </c>
      <c r="B871" s="1" t="n">
        <v>43642</v>
      </c>
      <c r="C871" s="1" t="n">
        <v>45190</v>
      </c>
      <c r="D871" t="inlineStr">
        <is>
          <t>SKÅNE LÄN</t>
        </is>
      </c>
      <c r="E871" t="inlineStr">
        <is>
          <t>OSBY</t>
        </is>
      </c>
      <c r="G871" t="n">
        <v>1.6</v>
      </c>
      <c r="H871" t="n">
        <v>0</v>
      </c>
      <c r="I871" t="n">
        <v>0</v>
      </c>
      <c r="J871" t="n">
        <v>0</v>
      </c>
      <c r="K871" t="n">
        <v>0</v>
      </c>
      <c r="L871" t="n">
        <v>0</v>
      </c>
      <c r="M871" t="n">
        <v>0</v>
      </c>
      <c r="N871" t="n">
        <v>0</v>
      </c>
      <c r="O871" t="n">
        <v>0</v>
      </c>
      <c r="P871" t="n">
        <v>0</v>
      </c>
      <c r="Q871" t="n">
        <v>0</v>
      </c>
      <c r="R871" s="2" t="inlineStr"/>
    </row>
    <row r="872" ht="15" customHeight="1">
      <c r="A872" t="inlineStr">
        <is>
          <t>A 31948-2019</t>
        </is>
      </c>
      <c r="B872" s="1" t="n">
        <v>43642</v>
      </c>
      <c r="C872" s="1" t="n">
        <v>45190</v>
      </c>
      <c r="D872" t="inlineStr">
        <is>
          <t>SKÅNE LÄN</t>
        </is>
      </c>
      <c r="E872" t="inlineStr">
        <is>
          <t>SVEDALA</t>
        </is>
      </c>
      <c r="G872" t="n">
        <v>1.3</v>
      </c>
      <c r="H872" t="n">
        <v>0</v>
      </c>
      <c r="I872" t="n">
        <v>0</v>
      </c>
      <c r="J872" t="n">
        <v>0</v>
      </c>
      <c r="K872" t="n">
        <v>0</v>
      </c>
      <c r="L872" t="n">
        <v>0</v>
      </c>
      <c r="M872" t="n">
        <v>0</v>
      </c>
      <c r="N872" t="n">
        <v>0</v>
      </c>
      <c r="O872" t="n">
        <v>0</v>
      </c>
      <c r="P872" t="n">
        <v>0</v>
      </c>
      <c r="Q872" t="n">
        <v>0</v>
      </c>
      <c r="R872" s="2" t="inlineStr"/>
    </row>
    <row r="873" ht="15" customHeight="1">
      <c r="A873" t="inlineStr">
        <is>
          <t>A 31669-2019</t>
        </is>
      </c>
      <c r="B873" s="1" t="n">
        <v>43642</v>
      </c>
      <c r="C873" s="1" t="n">
        <v>45190</v>
      </c>
      <c r="D873" t="inlineStr">
        <is>
          <t>SKÅNE LÄN</t>
        </is>
      </c>
      <c r="E873" t="inlineStr">
        <is>
          <t>KLIPPAN</t>
        </is>
      </c>
      <c r="G873" t="n">
        <v>0.6</v>
      </c>
      <c r="H873" t="n">
        <v>0</v>
      </c>
      <c r="I873" t="n">
        <v>0</v>
      </c>
      <c r="J873" t="n">
        <v>0</v>
      </c>
      <c r="K873" t="n">
        <v>0</v>
      </c>
      <c r="L873" t="n">
        <v>0</v>
      </c>
      <c r="M873" t="n">
        <v>0</v>
      </c>
      <c r="N873" t="n">
        <v>0</v>
      </c>
      <c r="O873" t="n">
        <v>0</v>
      </c>
      <c r="P873" t="n">
        <v>0</v>
      </c>
      <c r="Q873" t="n">
        <v>0</v>
      </c>
      <c r="R873" s="2" t="inlineStr"/>
    </row>
    <row r="874" ht="15" customHeight="1">
      <c r="A874" t="inlineStr">
        <is>
          <t>A 31760-2019</t>
        </is>
      </c>
      <c r="B874" s="1" t="n">
        <v>43642</v>
      </c>
      <c r="C874" s="1" t="n">
        <v>45190</v>
      </c>
      <c r="D874" t="inlineStr">
        <is>
          <t>SKÅNE LÄN</t>
        </is>
      </c>
      <c r="E874" t="inlineStr">
        <is>
          <t>HÄSSLEHOLM</t>
        </is>
      </c>
      <c r="G874" t="n">
        <v>3.3</v>
      </c>
      <c r="H874" t="n">
        <v>0</v>
      </c>
      <c r="I874" t="n">
        <v>0</v>
      </c>
      <c r="J874" t="n">
        <v>0</v>
      </c>
      <c r="K874" t="n">
        <v>0</v>
      </c>
      <c r="L874" t="n">
        <v>0</v>
      </c>
      <c r="M874" t="n">
        <v>0</v>
      </c>
      <c r="N874" t="n">
        <v>0</v>
      </c>
      <c r="O874" t="n">
        <v>0</v>
      </c>
      <c r="P874" t="n">
        <v>0</v>
      </c>
      <c r="Q874" t="n">
        <v>0</v>
      </c>
      <c r="R874" s="2" t="inlineStr"/>
    </row>
    <row r="875" ht="15" customHeight="1">
      <c r="A875" t="inlineStr">
        <is>
          <t>A 31790-2019</t>
        </is>
      </c>
      <c r="B875" s="1" t="n">
        <v>43642</v>
      </c>
      <c r="C875" s="1" t="n">
        <v>45190</v>
      </c>
      <c r="D875" t="inlineStr">
        <is>
          <t>SKÅNE LÄN</t>
        </is>
      </c>
      <c r="E875" t="inlineStr">
        <is>
          <t>OSBY</t>
        </is>
      </c>
      <c r="G875" t="n">
        <v>0.8</v>
      </c>
      <c r="H875" t="n">
        <v>0</v>
      </c>
      <c r="I875" t="n">
        <v>0</v>
      </c>
      <c r="J875" t="n">
        <v>0</v>
      </c>
      <c r="K875" t="n">
        <v>0</v>
      </c>
      <c r="L875" t="n">
        <v>0</v>
      </c>
      <c r="M875" t="n">
        <v>0</v>
      </c>
      <c r="N875" t="n">
        <v>0</v>
      </c>
      <c r="O875" t="n">
        <v>0</v>
      </c>
      <c r="P875" t="n">
        <v>0</v>
      </c>
      <c r="Q875" t="n">
        <v>0</v>
      </c>
      <c r="R875" s="2" t="inlineStr"/>
    </row>
    <row r="876" ht="15" customHeight="1">
      <c r="A876" t="inlineStr">
        <is>
          <t>A 31936-2019</t>
        </is>
      </c>
      <c r="B876" s="1" t="n">
        <v>43642</v>
      </c>
      <c r="C876" s="1" t="n">
        <v>45190</v>
      </c>
      <c r="D876" t="inlineStr">
        <is>
          <t>SKÅNE LÄN</t>
        </is>
      </c>
      <c r="E876" t="inlineStr">
        <is>
          <t>HÄSSLEHOLM</t>
        </is>
      </c>
      <c r="G876" t="n">
        <v>0.8</v>
      </c>
      <c r="H876" t="n">
        <v>0</v>
      </c>
      <c r="I876" t="n">
        <v>0</v>
      </c>
      <c r="J876" t="n">
        <v>0</v>
      </c>
      <c r="K876" t="n">
        <v>0</v>
      </c>
      <c r="L876" t="n">
        <v>0</v>
      </c>
      <c r="M876" t="n">
        <v>0</v>
      </c>
      <c r="N876" t="n">
        <v>0</v>
      </c>
      <c r="O876" t="n">
        <v>0</v>
      </c>
      <c r="P876" t="n">
        <v>0</v>
      </c>
      <c r="Q876" t="n">
        <v>0</v>
      </c>
      <c r="R876" s="2" t="inlineStr"/>
    </row>
    <row r="877" ht="15" customHeight="1">
      <c r="A877" t="inlineStr">
        <is>
          <t>A 31803-2019</t>
        </is>
      </c>
      <c r="B877" s="1" t="n">
        <v>43642</v>
      </c>
      <c r="C877" s="1" t="n">
        <v>45190</v>
      </c>
      <c r="D877" t="inlineStr">
        <is>
          <t>SKÅNE LÄN</t>
        </is>
      </c>
      <c r="E877" t="inlineStr">
        <is>
          <t>OSBY</t>
        </is>
      </c>
      <c r="G877" t="n">
        <v>2</v>
      </c>
      <c r="H877" t="n">
        <v>0</v>
      </c>
      <c r="I877" t="n">
        <v>0</v>
      </c>
      <c r="J877" t="n">
        <v>0</v>
      </c>
      <c r="K877" t="n">
        <v>0</v>
      </c>
      <c r="L877" t="n">
        <v>0</v>
      </c>
      <c r="M877" t="n">
        <v>0</v>
      </c>
      <c r="N877" t="n">
        <v>0</v>
      </c>
      <c r="O877" t="n">
        <v>0</v>
      </c>
      <c r="P877" t="n">
        <v>0</v>
      </c>
      <c r="Q877" t="n">
        <v>0</v>
      </c>
      <c r="R877" s="2" t="inlineStr"/>
    </row>
    <row r="878" ht="15" customHeight="1">
      <c r="A878" t="inlineStr">
        <is>
          <t>A 31951-2019</t>
        </is>
      </c>
      <c r="B878" s="1" t="n">
        <v>43642</v>
      </c>
      <c r="C878" s="1" t="n">
        <v>45190</v>
      </c>
      <c r="D878" t="inlineStr">
        <is>
          <t>SKÅNE LÄN</t>
        </is>
      </c>
      <c r="E878" t="inlineStr">
        <is>
          <t>SVEDALA</t>
        </is>
      </c>
      <c r="G878" t="n">
        <v>1.4</v>
      </c>
      <c r="H878" t="n">
        <v>0</v>
      </c>
      <c r="I878" t="n">
        <v>0</v>
      </c>
      <c r="J878" t="n">
        <v>0</v>
      </c>
      <c r="K878" t="n">
        <v>0</v>
      </c>
      <c r="L878" t="n">
        <v>0</v>
      </c>
      <c r="M878" t="n">
        <v>0</v>
      </c>
      <c r="N878" t="n">
        <v>0</v>
      </c>
      <c r="O878" t="n">
        <v>0</v>
      </c>
      <c r="P878" t="n">
        <v>0</v>
      </c>
      <c r="Q878" t="n">
        <v>0</v>
      </c>
      <c r="R878" s="2" t="inlineStr"/>
    </row>
    <row r="879" ht="15" customHeight="1">
      <c r="A879" t="inlineStr">
        <is>
          <t>A 33240-2019</t>
        </is>
      </c>
      <c r="B879" s="1" t="n">
        <v>43644</v>
      </c>
      <c r="C879" s="1" t="n">
        <v>45190</v>
      </c>
      <c r="D879" t="inlineStr">
        <is>
          <t>SKÅNE LÄN</t>
        </is>
      </c>
      <c r="E879" t="inlineStr">
        <is>
          <t>SVEDALA</t>
        </is>
      </c>
      <c r="G879" t="n">
        <v>1.2</v>
      </c>
      <c r="H879" t="n">
        <v>0</v>
      </c>
      <c r="I879" t="n">
        <v>0</v>
      </c>
      <c r="J879" t="n">
        <v>0</v>
      </c>
      <c r="K879" t="n">
        <v>0</v>
      </c>
      <c r="L879" t="n">
        <v>0</v>
      </c>
      <c r="M879" t="n">
        <v>0</v>
      </c>
      <c r="N879" t="n">
        <v>0</v>
      </c>
      <c r="O879" t="n">
        <v>0</v>
      </c>
      <c r="P879" t="n">
        <v>0</v>
      </c>
      <c r="Q879" t="n">
        <v>0</v>
      </c>
      <c r="R879" s="2" t="inlineStr"/>
    </row>
    <row r="880" ht="15" customHeight="1">
      <c r="A880" t="inlineStr">
        <is>
          <t>A 32352-2019</t>
        </is>
      </c>
      <c r="B880" s="1" t="n">
        <v>43644</v>
      </c>
      <c r="C880" s="1" t="n">
        <v>45190</v>
      </c>
      <c r="D880" t="inlineStr">
        <is>
          <t>SKÅNE LÄN</t>
        </is>
      </c>
      <c r="E880" t="inlineStr">
        <is>
          <t>OSBY</t>
        </is>
      </c>
      <c r="G880" t="n">
        <v>0.5</v>
      </c>
      <c r="H880" t="n">
        <v>0</v>
      </c>
      <c r="I880" t="n">
        <v>0</v>
      </c>
      <c r="J880" t="n">
        <v>0</v>
      </c>
      <c r="K880" t="n">
        <v>0</v>
      </c>
      <c r="L880" t="n">
        <v>0</v>
      </c>
      <c r="M880" t="n">
        <v>0</v>
      </c>
      <c r="N880" t="n">
        <v>0</v>
      </c>
      <c r="O880" t="n">
        <v>0</v>
      </c>
      <c r="P880" t="n">
        <v>0</v>
      </c>
      <c r="Q880" t="n">
        <v>0</v>
      </c>
      <c r="R880" s="2" t="inlineStr"/>
    </row>
    <row r="881" ht="15" customHeight="1">
      <c r="A881" t="inlineStr">
        <is>
          <t>A 33285-2019</t>
        </is>
      </c>
      <c r="B881" s="1" t="n">
        <v>43644</v>
      </c>
      <c r="C881" s="1" t="n">
        <v>45190</v>
      </c>
      <c r="D881" t="inlineStr">
        <is>
          <t>SKÅNE LÄN</t>
        </is>
      </c>
      <c r="E881" t="inlineStr">
        <is>
          <t>KLIPPAN</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33252-2019</t>
        </is>
      </c>
      <c r="B882" s="1" t="n">
        <v>43644</v>
      </c>
      <c r="C882" s="1" t="n">
        <v>45190</v>
      </c>
      <c r="D882" t="inlineStr">
        <is>
          <t>SKÅNE LÄN</t>
        </is>
      </c>
      <c r="E882" t="inlineStr">
        <is>
          <t>PERSTORP</t>
        </is>
      </c>
      <c r="F882" t="inlineStr">
        <is>
          <t>Övriga Aktiebolag</t>
        </is>
      </c>
      <c r="G882" t="n">
        <v>0.6</v>
      </c>
      <c r="H882" t="n">
        <v>0</v>
      </c>
      <c r="I882" t="n">
        <v>0</v>
      </c>
      <c r="J882" t="n">
        <v>0</v>
      </c>
      <c r="K882" t="n">
        <v>0</v>
      </c>
      <c r="L882" t="n">
        <v>0</v>
      </c>
      <c r="M882" t="n">
        <v>0</v>
      </c>
      <c r="N882" t="n">
        <v>0</v>
      </c>
      <c r="O882" t="n">
        <v>0</v>
      </c>
      <c r="P882" t="n">
        <v>0</v>
      </c>
      <c r="Q882" t="n">
        <v>0</v>
      </c>
      <c r="R882" s="2" t="inlineStr"/>
    </row>
    <row r="883" ht="15" customHeight="1">
      <c r="A883" t="inlineStr">
        <is>
          <t>A 33290-2019</t>
        </is>
      </c>
      <c r="B883" s="1" t="n">
        <v>43644</v>
      </c>
      <c r="C883" s="1" t="n">
        <v>45190</v>
      </c>
      <c r="D883" t="inlineStr">
        <is>
          <t>SKÅNE LÄN</t>
        </is>
      </c>
      <c r="E883" t="inlineStr">
        <is>
          <t>PERSTORP</t>
        </is>
      </c>
      <c r="F883" t="inlineStr">
        <is>
          <t>Övriga Aktiebolag</t>
        </is>
      </c>
      <c r="G883" t="n">
        <v>1.9</v>
      </c>
      <c r="H883" t="n">
        <v>0</v>
      </c>
      <c r="I883" t="n">
        <v>0</v>
      </c>
      <c r="J883" t="n">
        <v>0</v>
      </c>
      <c r="K883" t="n">
        <v>0</v>
      </c>
      <c r="L883" t="n">
        <v>0</v>
      </c>
      <c r="M883" t="n">
        <v>0</v>
      </c>
      <c r="N883" t="n">
        <v>0</v>
      </c>
      <c r="O883" t="n">
        <v>0</v>
      </c>
      <c r="P883" t="n">
        <v>0</v>
      </c>
      <c r="Q883" t="n">
        <v>0</v>
      </c>
      <c r="R883" s="2" t="inlineStr"/>
    </row>
    <row r="884" ht="15" customHeight="1">
      <c r="A884" t="inlineStr">
        <is>
          <t>A 32620-2019</t>
        </is>
      </c>
      <c r="B884" s="1" t="n">
        <v>43647</v>
      </c>
      <c r="C884" s="1" t="n">
        <v>45190</v>
      </c>
      <c r="D884" t="inlineStr">
        <is>
          <t>SKÅNE LÄN</t>
        </is>
      </c>
      <c r="E884" t="inlineStr">
        <is>
          <t>ÖRKELLJUNGA</t>
        </is>
      </c>
      <c r="G884" t="n">
        <v>2.3</v>
      </c>
      <c r="H884" t="n">
        <v>0</v>
      </c>
      <c r="I884" t="n">
        <v>0</v>
      </c>
      <c r="J884" t="n">
        <v>0</v>
      </c>
      <c r="K884" t="n">
        <v>0</v>
      </c>
      <c r="L884" t="n">
        <v>0</v>
      </c>
      <c r="M884" t="n">
        <v>0</v>
      </c>
      <c r="N884" t="n">
        <v>0</v>
      </c>
      <c r="O884" t="n">
        <v>0</v>
      </c>
      <c r="P884" t="n">
        <v>0</v>
      </c>
      <c r="Q884" t="n">
        <v>0</v>
      </c>
      <c r="R884" s="2" t="inlineStr"/>
    </row>
    <row r="885" ht="15" customHeight="1">
      <c r="A885" t="inlineStr">
        <is>
          <t>A 32624-2019</t>
        </is>
      </c>
      <c r="B885" s="1" t="n">
        <v>43647</v>
      </c>
      <c r="C885" s="1" t="n">
        <v>45190</v>
      </c>
      <c r="D885" t="inlineStr">
        <is>
          <t>SKÅNE LÄN</t>
        </is>
      </c>
      <c r="E885" t="inlineStr">
        <is>
          <t>ÖRKELLJUNGA</t>
        </is>
      </c>
      <c r="G885" t="n">
        <v>0.6</v>
      </c>
      <c r="H885" t="n">
        <v>0</v>
      </c>
      <c r="I885" t="n">
        <v>0</v>
      </c>
      <c r="J885" t="n">
        <v>0</v>
      </c>
      <c r="K885" t="n">
        <v>0</v>
      </c>
      <c r="L885" t="n">
        <v>0</v>
      </c>
      <c r="M885" t="n">
        <v>0</v>
      </c>
      <c r="N885" t="n">
        <v>0</v>
      </c>
      <c r="O885" t="n">
        <v>0</v>
      </c>
      <c r="P885" t="n">
        <v>0</v>
      </c>
      <c r="Q885" t="n">
        <v>0</v>
      </c>
      <c r="R885" s="2" t="inlineStr"/>
    </row>
    <row r="886" ht="15" customHeight="1">
      <c r="A886" t="inlineStr">
        <is>
          <t>A 32714-2019</t>
        </is>
      </c>
      <c r="B886" s="1" t="n">
        <v>43647</v>
      </c>
      <c r="C886" s="1" t="n">
        <v>45190</v>
      </c>
      <c r="D886" t="inlineStr">
        <is>
          <t>SKÅNE LÄN</t>
        </is>
      </c>
      <c r="E886" t="inlineStr">
        <is>
          <t>HÄSSLEHOLM</t>
        </is>
      </c>
      <c r="G886" t="n">
        <v>8.4</v>
      </c>
      <c r="H886" t="n">
        <v>0</v>
      </c>
      <c r="I886" t="n">
        <v>0</v>
      </c>
      <c r="J886" t="n">
        <v>0</v>
      </c>
      <c r="K886" t="n">
        <v>0</v>
      </c>
      <c r="L886" t="n">
        <v>0</v>
      </c>
      <c r="M886" t="n">
        <v>0</v>
      </c>
      <c r="N886" t="n">
        <v>0</v>
      </c>
      <c r="O886" t="n">
        <v>0</v>
      </c>
      <c r="P886" t="n">
        <v>0</v>
      </c>
      <c r="Q886" t="n">
        <v>0</v>
      </c>
      <c r="R886" s="2" t="inlineStr"/>
    </row>
    <row r="887" ht="15" customHeight="1">
      <c r="A887" t="inlineStr">
        <is>
          <t>A 32841-2019</t>
        </is>
      </c>
      <c r="B887" s="1" t="n">
        <v>43648</v>
      </c>
      <c r="C887" s="1" t="n">
        <v>45190</v>
      </c>
      <c r="D887" t="inlineStr">
        <is>
          <t>SKÅNE LÄN</t>
        </is>
      </c>
      <c r="E887" t="inlineStr">
        <is>
          <t>KRISTIANSTAD</t>
        </is>
      </c>
      <c r="G887" t="n">
        <v>0.9</v>
      </c>
      <c r="H887" t="n">
        <v>0</v>
      </c>
      <c r="I887" t="n">
        <v>0</v>
      </c>
      <c r="J887" t="n">
        <v>0</v>
      </c>
      <c r="K887" t="n">
        <v>0</v>
      </c>
      <c r="L887" t="n">
        <v>0</v>
      </c>
      <c r="M887" t="n">
        <v>0</v>
      </c>
      <c r="N887" t="n">
        <v>0</v>
      </c>
      <c r="O887" t="n">
        <v>0</v>
      </c>
      <c r="P887" t="n">
        <v>0</v>
      </c>
      <c r="Q887" t="n">
        <v>0</v>
      </c>
      <c r="R887" s="2" t="inlineStr"/>
    </row>
    <row r="888" ht="15" customHeight="1">
      <c r="A888" t="inlineStr">
        <is>
          <t>A 32839-2019</t>
        </is>
      </c>
      <c r="B888" s="1" t="n">
        <v>43648</v>
      </c>
      <c r="C888" s="1" t="n">
        <v>45190</v>
      </c>
      <c r="D888" t="inlineStr">
        <is>
          <t>SKÅNE LÄN</t>
        </is>
      </c>
      <c r="E888" t="inlineStr">
        <is>
          <t>KRISTIANSTAD</t>
        </is>
      </c>
      <c r="G888" t="n">
        <v>3.9</v>
      </c>
      <c r="H888" t="n">
        <v>0</v>
      </c>
      <c r="I888" t="n">
        <v>0</v>
      </c>
      <c r="J888" t="n">
        <v>0</v>
      </c>
      <c r="K888" t="n">
        <v>0</v>
      </c>
      <c r="L888" t="n">
        <v>0</v>
      </c>
      <c r="M888" t="n">
        <v>0</v>
      </c>
      <c r="N888" t="n">
        <v>0</v>
      </c>
      <c r="O888" t="n">
        <v>0</v>
      </c>
      <c r="P888" t="n">
        <v>0</v>
      </c>
      <c r="Q888" t="n">
        <v>0</v>
      </c>
      <c r="R888" s="2" t="inlineStr"/>
    </row>
    <row r="889" ht="15" customHeight="1">
      <c r="A889" t="inlineStr">
        <is>
          <t>A 34714-2019</t>
        </is>
      </c>
      <c r="B889" s="1" t="n">
        <v>43648</v>
      </c>
      <c r="C889" s="1" t="n">
        <v>45190</v>
      </c>
      <c r="D889" t="inlineStr">
        <is>
          <t>SKÅNE LÄN</t>
        </is>
      </c>
      <c r="E889" t="inlineStr">
        <is>
          <t>HÄSSLEHOLM</t>
        </is>
      </c>
      <c r="F889" t="inlineStr">
        <is>
          <t>Övriga Aktiebolag</t>
        </is>
      </c>
      <c r="G889" t="n">
        <v>1.5</v>
      </c>
      <c r="H889" t="n">
        <v>0</v>
      </c>
      <c r="I889" t="n">
        <v>0</v>
      </c>
      <c r="J889" t="n">
        <v>0</v>
      </c>
      <c r="K889" t="n">
        <v>0</v>
      </c>
      <c r="L889" t="n">
        <v>0</v>
      </c>
      <c r="M889" t="n">
        <v>0</v>
      </c>
      <c r="N889" t="n">
        <v>0</v>
      </c>
      <c r="O889" t="n">
        <v>0</v>
      </c>
      <c r="P889" t="n">
        <v>0</v>
      </c>
      <c r="Q889" t="n">
        <v>0</v>
      </c>
      <c r="R889" s="2" t="inlineStr"/>
    </row>
    <row r="890" ht="15" customHeight="1">
      <c r="A890" t="inlineStr">
        <is>
          <t>A 32790-2019</t>
        </is>
      </c>
      <c r="B890" s="1" t="n">
        <v>43648</v>
      </c>
      <c r="C890" s="1" t="n">
        <v>45190</v>
      </c>
      <c r="D890" t="inlineStr">
        <is>
          <t>SKÅNE LÄN</t>
        </is>
      </c>
      <c r="E890" t="inlineStr">
        <is>
          <t>KRISTIANSTAD</t>
        </is>
      </c>
      <c r="G890" t="n">
        <v>11.4</v>
      </c>
      <c r="H890" t="n">
        <v>0</v>
      </c>
      <c r="I890" t="n">
        <v>0</v>
      </c>
      <c r="J890" t="n">
        <v>0</v>
      </c>
      <c r="K890" t="n">
        <v>0</v>
      </c>
      <c r="L890" t="n">
        <v>0</v>
      </c>
      <c r="M890" t="n">
        <v>0</v>
      </c>
      <c r="N890" t="n">
        <v>0</v>
      </c>
      <c r="O890" t="n">
        <v>0</v>
      </c>
      <c r="P890" t="n">
        <v>0</v>
      </c>
      <c r="Q890" t="n">
        <v>0</v>
      </c>
      <c r="R890" s="2" t="inlineStr"/>
    </row>
    <row r="891" ht="15" customHeight="1">
      <c r="A891" t="inlineStr">
        <is>
          <t>A 32827-2019</t>
        </is>
      </c>
      <c r="B891" s="1" t="n">
        <v>43648</v>
      </c>
      <c r="C891" s="1" t="n">
        <v>45190</v>
      </c>
      <c r="D891" t="inlineStr">
        <is>
          <t>SKÅNE LÄN</t>
        </is>
      </c>
      <c r="E891" t="inlineStr">
        <is>
          <t>BROMÖLLA</t>
        </is>
      </c>
      <c r="G891" t="n">
        <v>3</v>
      </c>
      <c r="H891" t="n">
        <v>0</v>
      </c>
      <c r="I891" t="n">
        <v>0</v>
      </c>
      <c r="J891" t="n">
        <v>0</v>
      </c>
      <c r="K891" t="n">
        <v>0</v>
      </c>
      <c r="L891" t="n">
        <v>0</v>
      </c>
      <c r="M891" t="n">
        <v>0</v>
      </c>
      <c r="N891" t="n">
        <v>0</v>
      </c>
      <c r="O891" t="n">
        <v>0</v>
      </c>
      <c r="P891" t="n">
        <v>0</v>
      </c>
      <c r="Q891" t="n">
        <v>0</v>
      </c>
      <c r="R891" s="2" t="inlineStr"/>
    </row>
    <row r="892" ht="15" customHeight="1">
      <c r="A892" t="inlineStr">
        <is>
          <t>A 34711-2019</t>
        </is>
      </c>
      <c r="B892" s="1" t="n">
        <v>43648</v>
      </c>
      <c r="C892" s="1" t="n">
        <v>45190</v>
      </c>
      <c r="D892" t="inlineStr">
        <is>
          <t>SKÅNE LÄN</t>
        </is>
      </c>
      <c r="E892" t="inlineStr">
        <is>
          <t>HÄSSLEHOLM</t>
        </is>
      </c>
      <c r="F892" t="inlineStr">
        <is>
          <t>Övriga Aktiebolag</t>
        </is>
      </c>
      <c r="G892" t="n">
        <v>1.6</v>
      </c>
      <c r="H892" t="n">
        <v>0</v>
      </c>
      <c r="I892" t="n">
        <v>0</v>
      </c>
      <c r="J892" t="n">
        <v>0</v>
      </c>
      <c r="K892" t="n">
        <v>0</v>
      </c>
      <c r="L892" t="n">
        <v>0</v>
      </c>
      <c r="M892" t="n">
        <v>0</v>
      </c>
      <c r="N892" t="n">
        <v>0</v>
      </c>
      <c r="O892" t="n">
        <v>0</v>
      </c>
      <c r="P892" t="n">
        <v>0</v>
      </c>
      <c r="Q892" t="n">
        <v>0</v>
      </c>
      <c r="R892" s="2" t="inlineStr"/>
    </row>
    <row r="893" ht="15" customHeight="1">
      <c r="A893" t="inlineStr">
        <is>
          <t>A 32999-2019</t>
        </is>
      </c>
      <c r="B893" s="1" t="n">
        <v>43649</v>
      </c>
      <c r="C893" s="1" t="n">
        <v>45190</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33125-2019</t>
        </is>
      </c>
      <c r="B894" s="1" t="n">
        <v>43649</v>
      </c>
      <c r="C894" s="1" t="n">
        <v>45190</v>
      </c>
      <c r="D894" t="inlineStr">
        <is>
          <t>SKÅNE LÄN</t>
        </is>
      </c>
      <c r="E894" t="inlineStr">
        <is>
          <t>OSBY</t>
        </is>
      </c>
      <c r="G894" t="n">
        <v>3.2</v>
      </c>
      <c r="H894" t="n">
        <v>0</v>
      </c>
      <c r="I894" t="n">
        <v>0</v>
      </c>
      <c r="J894" t="n">
        <v>0</v>
      </c>
      <c r="K894" t="n">
        <v>0</v>
      </c>
      <c r="L894" t="n">
        <v>0</v>
      </c>
      <c r="M894" t="n">
        <v>0</v>
      </c>
      <c r="N894" t="n">
        <v>0</v>
      </c>
      <c r="O894" t="n">
        <v>0</v>
      </c>
      <c r="P894" t="n">
        <v>0</v>
      </c>
      <c r="Q894" t="n">
        <v>0</v>
      </c>
      <c r="R894" s="2" t="inlineStr"/>
    </row>
    <row r="895" ht="15" customHeight="1">
      <c r="A895" t="inlineStr">
        <is>
          <t>A 32998-2019</t>
        </is>
      </c>
      <c r="B895" s="1" t="n">
        <v>43649</v>
      </c>
      <c r="C895" s="1" t="n">
        <v>45190</v>
      </c>
      <c r="D895" t="inlineStr">
        <is>
          <t>SKÅNE LÄN</t>
        </is>
      </c>
      <c r="E895" t="inlineStr">
        <is>
          <t>HÄSSLEHOLM</t>
        </is>
      </c>
      <c r="G895" t="n">
        <v>3.7</v>
      </c>
      <c r="H895" t="n">
        <v>0</v>
      </c>
      <c r="I895" t="n">
        <v>0</v>
      </c>
      <c r="J895" t="n">
        <v>0</v>
      </c>
      <c r="K895" t="n">
        <v>0</v>
      </c>
      <c r="L895" t="n">
        <v>0</v>
      </c>
      <c r="M895" t="n">
        <v>0</v>
      </c>
      <c r="N895" t="n">
        <v>0</v>
      </c>
      <c r="O895" t="n">
        <v>0</v>
      </c>
      <c r="P895" t="n">
        <v>0</v>
      </c>
      <c r="Q895" t="n">
        <v>0</v>
      </c>
      <c r="R895" s="2" t="inlineStr"/>
    </row>
    <row r="896" ht="15" customHeight="1">
      <c r="A896" t="inlineStr">
        <is>
          <t>A 33170-2019</t>
        </is>
      </c>
      <c r="B896" s="1" t="n">
        <v>43649</v>
      </c>
      <c r="C896" s="1" t="n">
        <v>45190</v>
      </c>
      <c r="D896" t="inlineStr">
        <is>
          <t>SKÅNE LÄN</t>
        </is>
      </c>
      <c r="E896" t="inlineStr">
        <is>
          <t>OSBY</t>
        </is>
      </c>
      <c r="G896" t="n">
        <v>1</v>
      </c>
      <c r="H896" t="n">
        <v>0</v>
      </c>
      <c r="I896" t="n">
        <v>0</v>
      </c>
      <c r="J896" t="n">
        <v>0</v>
      </c>
      <c r="K896" t="n">
        <v>0</v>
      </c>
      <c r="L896" t="n">
        <v>0</v>
      </c>
      <c r="M896" t="n">
        <v>0</v>
      </c>
      <c r="N896" t="n">
        <v>0</v>
      </c>
      <c r="O896" t="n">
        <v>0</v>
      </c>
      <c r="P896" t="n">
        <v>0</v>
      </c>
      <c r="Q896" t="n">
        <v>0</v>
      </c>
      <c r="R896" s="2" t="inlineStr"/>
    </row>
    <row r="897" ht="15" customHeight="1">
      <c r="A897" t="inlineStr">
        <is>
          <t>A 33258-2019</t>
        </is>
      </c>
      <c r="B897" s="1" t="n">
        <v>43650</v>
      </c>
      <c r="C897" s="1" t="n">
        <v>45190</v>
      </c>
      <c r="D897" t="inlineStr">
        <is>
          <t>SKÅNE LÄN</t>
        </is>
      </c>
      <c r="E897" t="inlineStr">
        <is>
          <t>HÄSSLEHOLM</t>
        </is>
      </c>
      <c r="G897" t="n">
        <v>2</v>
      </c>
      <c r="H897" t="n">
        <v>0</v>
      </c>
      <c r="I897" t="n">
        <v>0</v>
      </c>
      <c r="J897" t="n">
        <v>0</v>
      </c>
      <c r="K897" t="n">
        <v>0</v>
      </c>
      <c r="L897" t="n">
        <v>0</v>
      </c>
      <c r="M897" t="n">
        <v>0</v>
      </c>
      <c r="N897" t="n">
        <v>0</v>
      </c>
      <c r="O897" t="n">
        <v>0</v>
      </c>
      <c r="P897" t="n">
        <v>0</v>
      </c>
      <c r="Q897" t="n">
        <v>0</v>
      </c>
      <c r="R897" s="2" t="inlineStr"/>
    </row>
    <row r="898" ht="15" customHeight="1">
      <c r="A898" t="inlineStr">
        <is>
          <t>A 33344-2019</t>
        </is>
      </c>
      <c r="B898" s="1" t="n">
        <v>43650</v>
      </c>
      <c r="C898" s="1" t="n">
        <v>45190</v>
      </c>
      <c r="D898" t="inlineStr">
        <is>
          <t>SKÅNE LÄN</t>
        </is>
      </c>
      <c r="E898" t="inlineStr">
        <is>
          <t>HÄSSLEHOLM</t>
        </is>
      </c>
      <c r="G898" t="n">
        <v>0.4</v>
      </c>
      <c r="H898" t="n">
        <v>0</v>
      </c>
      <c r="I898" t="n">
        <v>0</v>
      </c>
      <c r="J898" t="n">
        <v>0</v>
      </c>
      <c r="K898" t="n">
        <v>0</v>
      </c>
      <c r="L898" t="n">
        <v>0</v>
      </c>
      <c r="M898" t="n">
        <v>0</v>
      </c>
      <c r="N898" t="n">
        <v>0</v>
      </c>
      <c r="O898" t="n">
        <v>0</v>
      </c>
      <c r="P898" t="n">
        <v>0</v>
      </c>
      <c r="Q898" t="n">
        <v>0</v>
      </c>
      <c r="R898" s="2" t="inlineStr"/>
    </row>
    <row r="899" ht="15" customHeight="1">
      <c r="A899" t="inlineStr">
        <is>
          <t>A 33526-2019</t>
        </is>
      </c>
      <c r="B899" s="1" t="n">
        <v>43651</v>
      </c>
      <c r="C899" s="1" t="n">
        <v>45190</v>
      </c>
      <c r="D899" t="inlineStr">
        <is>
          <t>SKÅNE LÄN</t>
        </is>
      </c>
      <c r="E899" t="inlineStr">
        <is>
          <t>HÄSSLEHOLM</t>
        </is>
      </c>
      <c r="G899" t="n">
        <v>0.9</v>
      </c>
      <c r="H899" t="n">
        <v>0</v>
      </c>
      <c r="I899" t="n">
        <v>0</v>
      </c>
      <c r="J899" t="n">
        <v>0</v>
      </c>
      <c r="K899" t="n">
        <v>0</v>
      </c>
      <c r="L899" t="n">
        <v>0</v>
      </c>
      <c r="M899" t="n">
        <v>0</v>
      </c>
      <c r="N899" t="n">
        <v>0</v>
      </c>
      <c r="O899" t="n">
        <v>0</v>
      </c>
      <c r="P899" t="n">
        <v>0</v>
      </c>
      <c r="Q899" t="n">
        <v>0</v>
      </c>
      <c r="R899" s="2" t="inlineStr"/>
    </row>
    <row r="900" ht="15" customHeight="1">
      <c r="A900" t="inlineStr">
        <is>
          <t>A 33693-2019</t>
        </is>
      </c>
      <c r="B900" s="1" t="n">
        <v>43651</v>
      </c>
      <c r="C900" s="1" t="n">
        <v>45190</v>
      </c>
      <c r="D900" t="inlineStr">
        <is>
          <t>SKÅNE LÄN</t>
        </is>
      </c>
      <c r="E900" t="inlineStr">
        <is>
          <t>HÄSSLEHOLM</t>
        </is>
      </c>
      <c r="G900" t="n">
        <v>1.1</v>
      </c>
      <c r="H900" t="n">
        <v>0</v>
      </c>
      <c r="I900" t="n">
        <v>0</v>
      </c>
      <c r="J900" t="n">
        <v>0</v>
      </c>
      <c r="K900" t="n">
        <v>0</v>
      </c>
      <c r="L900" t="n">
        <v>0</v>
      </c>
      <c r="M900" t="n">
        <v>0</v>
      </c>
      <c r="N900" t="n">
        <v>0</v>
      </c>
      <c r="O900" t="n">
        <v>0</v>
      </c>
      <c r="P900" t="n">
        <v>0</v>
      </c>
      <c r="Q900" t="n">
        <v>0</v>
      </c>
      <c r="R900" s="2" t="inlineStr"/>
    </row>
    <row r="901" ht="15" customHeight="1">
      <c r="A901" t="inlineStr">
        <is>
          <t>A 35367-2019</t>
        </is>
      </c>
      <c r="B901" s="1" t="n">
        <v>43651</v>
      </c>
      <c r="C901" s="1" t="n">
        <v>45190</v>
      </c>
      <c r="D901" t="inlineStr">
        <is>
          <t>SKÅNE LÄN</t>
        </is>
      </c>
      <c r="E901" t="inlineStr">
        <is>
          <t>YSTAD</t>
        </is>
      </c>
      <c r="G901" t="n">
        <v>2.6</v>
      </c>
      <c r="H901" t="n">
        <v>0</v>
      </c>
      <c r="I901" t="n">
        <v>0</v>
      </c>
      <c r="J901" t="n">
        <v>0</v>
      </c>
      <c r="K901" t="n">
        <v>0</v>
      </c>
      <c r="L901" t="n">
        <v>0</v>
      </c>
      <c r="M901" t="n">
        <v>0</v>
      </c>
      <c r="N901" t="n">
        <v>0</v>
      </c>
      <c r="O901" t="n">
        <v>0</v>
      </c>
      <c r="P901" t="n">
        <v>0</v>
      </c>
      <c r="Q901" t="n">
        <v>0</v>
      </c>
      <c r="R901" s="2" t="inlineStr"/>
    </row>
    <row r="902" ht="15" customHeight="1">
      <c r="A902" t="inlineStr">
        <is>
          <t>A 35437-2019</t>
        </is>
      </c>
      <c r="B902" s="1" t="n">
        <v>43651</v>
      </c>
      <c r="C902" s="1" t="n">
        <v>45190</v>
      </c>
      <c r="D902" t="inlineStr">
        <is>
          <t>SKÅNE LÄN</t>
        </is>
      </c>
      <c r="E902" t="inlineStr">
        <is>
          <t>ESLÖV</t>
        </is>
      </c>
      <c r="G902" t="n">
        <v>11.1</v>
      </c>
      <c r="H902" t="n">
        <v>0</v>
      </c>
      <c r="I902" t="n">
        <v>0</v>
      </c>
      <c r="J902" t="n">
        <v>0</v>
      </c>
      <c r="K902" t="n">
        <v>0</v>
      </c>
      <c r="L902" t="n">
        <v>0</v>
      </c>
      <c r="M902" t="n">
        <v>0</v>
      </c>
      <c r="N902" t="n">
        <v>0</v>
      </c>
      <c r="O902" t="n">
        <v>0</v>
      </c>
      <c r="P902" t="n">
        <v>0</v>
      </c>
      <c r="Q902" t="n">
        <v>0</v>
      </c>
      <c r="R902" s="2" t="inlineStr"/>
    </row>
    <row r="903" ht="15" customHeight="1">
      <c r="A903" t="inlineStr">
        <is>
          <t>A 35427-2019</t>
        </is>
      </c>
      <c r="B903" s="1" t="n">
        <v>43651</v>
      </c>
      <c r="C903" s="1" t="n">
        <v>45190</v>
      </c>
      <c r="D903" t="inlineStr">
        <is>
          <t>SKÅNE LÄN</t>
        </is>
      </c>
      <c r="E903" t="inlineStr">
        <is>
          <t>ESLÖV</t>
        </is>
      </c>
      <c r="G903" t="n">
        <v>6.4</v>
      </c>
      <c r="H903" t="n">
        <v>0</v>
      </c>
      <c r="I903" t="n">
        <v>0</v>
      </c>
      <c r="J903" t="n">
        <v>0</v>
      </c>
      <c r="K903" t="n">
        <v>0</v>
      </c>
      <c r="L903" t="n">
        <v>0</v>
      </c>
      <c r="M903" t="n">
        <v>0</v>
      </c>
      <c r="N903" t="n">
        <v>0</v>
      </c>
      <c r="O903" t="n">
        <v>0</v>
      </c>
      <c r="P903" t="n">
        <v>0</v>
      </c>
      <c r="Q903" t="n">
        <v>0</v>
      </c>
      <c r="R903" s="2" t="inlineStr"/>
    </row>
    <row r="904" ht="15" customHeight="1">
      <c r="A904" t="inlineStr">
        <is>
          <t>A 33691-2019</t>
        </is>
      </c>
      <c r="B904" s="1" t="n">
        <v>43651</v>
      </c>
      <c r="C904" s="1" t="n">
        <v>45190</v>
      </c>
      <c r="D904" t="inlineStr">
        <is>
          <t>SKÅNE LÄN</t>
        </is>
      </c>
      <c r="E904" t="inlineStr">
        <is>
          <t>HÄSSLEHOLM</t>
        </is>
      </c>
      <c r="G904" t="n">
        <v>8</v>
      </c>
      <c r="H904" t="n">
        <v>0</v>
      </c>
      <c r="I904" t="n">
        <v>0</v>
      </c>
      <c r="J904" t="n">
        <v>0</v>
      </c>
      <c r="K904" t="n">
        <v>0</v>
      </c>
      <c r="L904" t="n">
        <v>0</v>
      </c>
      <c r="M904" t="n">
        <v>0</v>
      </c>
      <c r="N904" t="n">
        <v>0</v>
      </c>
      <c r="O904" t="n">
        <v>0</v>
      </c>
      <c r="P904" t="n">
        <v>0</v>
      </c>
      <c r="Q904" t="n">
        <v>0</v>
      </c>
      <c r="R904" s="2" t="inlineStr"/>
    </row>
    <row r="905" ht="15" customHeight="1">
      <c r="A905" t="inlineStr">
        <is>
          <t>A 35430-2019</t>
        </is>
      </c>
      <c r="B905" s="1" t="n">
        <v>43651</v>
      </c>
      <c r="C905" s="1" t="n">
        <v>45190</v>
      </c>
      <c r="D905" t="inlineStr">
        <is>
          <t>SKÅNE LÄN</t>
        </is>
      </c>
      <c r="E905" t="inlineStr">
        <is>
          <t>ESLÖV</t>
        </is>
      </c>
      <c r="G905" t="n">
        <v>3</v>
      </c>
      <c r="H905" t="n">
        <v>0</v>
      </c>
      <c r="I905" t="n">
        <v>0</v>
      </c>
      <c r="J905" t="n">
        <v>0</v>
      </c>
      <c r="K905" t="n">
        <v>0</v>
      </c>
      <c r="L905" t="n">
        <v>0</v>
      </c>
      <c r="M905" t="n">
        <v>0</v>
      </c>
      <c r="N905" t="n">
        <v>0</v>
      </c>
      <c r="O905" t="n">
        <v>0</v>
      </c>
      <c r="P905" t="n">
        <v>0</v>
      </c>
      <c r="Q905" t="n">
        <v>0</v>
      </c>
      <c r="R905" s="2" t="inlineStr"/>
    </row>
    <row r="906" ht="15" customHeight="1">
      <c r="A906" t="inlineStr">
        <is>
          <t>A 33891-2019</t>
        </is>
      </c>
      <c r="B906" s="1" t="n">
        <v>43653</v>
      </c>
      <c r="C906" s="1" t="n">
        <v>45190</v>
      </c>
      <c r="D906" t="inlineStr">
        <is>
          <t>SKÅNE LÄN</t>
        </is>
      </c>
      <c r="E906" t="inlineStr">
        <is>
          <t>KLIPPAN</t>
        </is>
      </c>
      <c r="G906" t="n">
        <v>1.3</v>
      </c>
      <c r="H906" t="n">
        <v>0</v>
      </c>
      <c r="I906" t="n">
        <v>0</v>
      </c>
      <c r="J906" t="n">
        <v>0</v>
      </c>
      <c r="K906" t="n">
        <v>0</v>
      </c>
      <c r="L906" t="n">
        <v>0</v>
      </c>
      <c r="M906" t="n">
        <v>0</v>
      </c>
      <c r="N906" t="n">
        <v>0</v>
      </c>
      <c r="O906" t="n">
        <v>0</v>
      </c>
      <c r="P906" t="n">
        <v>0</v>
      </c>
      <c r="Q906" t="n">
        <v>0</v>
      </c>
      <c r="R906" s="2" t="inlineStr"/>
    </row>
    <row r="907" ht="15" customHeight="1">
      <c r="A907" t="inlineStr">
        <is>
          <t>A 33889-2019</t>
        </is>
      </c>
      <c r="B907" s="1" t="n">
        <v>43653</v>
      </c>
      <c r="C907" s="1" t="n">
        <v>45190</v>
      </c>
      <c r="D907" t="inlineStr">
        <is>
          <t>SKÅNE LÄN</t>
        </is>
      </c>
      <c r="E907" t="inlineStr">
        <is>
          <t>KLIPPAN</t>
        </is>
      </c>
      <c r="G907" t="n">
        <v>3.7</v>
      </c>
      <c r="H907" t="n">
        <v>0</v>
      </c>
      <c r="I907" t="n">
        <v>0</v>
      </c>
      <c r="J907" t="n">
        <v>0</v>
      </c>
      <c r="K907" t="n">
        <v>0</v>
      </c>
      <c r="L907" t="n">
        <v>0</v>
      </c>
      <c r="M907" t="n">
        <v>0</v>
      </c>
      <c r="N907" t="n">
        <v>0</v>
      </c>
      <c r="O907" t="n">
        <v>0</v>
      </c>
      <c r="P907" t="n">
        <v>0</v>
      </c>
      <c r="Q907" t="n">
        <v>0</v>
      </c>
      <c r="R907" s="2" t="inlineStr"/>
    </row>
    <row r="908" ht="15" customHeight="1">
      <c r="A908" t="inlineStr">
        <is>
          <t>A 33892-2019</t>
        </is>
      </c>
      <c r="B908" s="1" t="n">
        <v>43653</v>
      </c>
      <c r="C908" s="1" t="n">
        <v>45190</v>
      </c>
      <c r="D908" t="inlineStr">
        <is>
          <t>SKÅNE LÄN</t>
        </is>
      </c>
      <c r="E908" t="inlineStr">
        <is>
          <t>KLIPPAN</t>
        </is>
      </c>
      <c r="G908" t="n">
        <v>0.6</v>
      </c>
      <c r="H908" t="n">
        <v>0</v>
      </c>
      <c r="I908" t="n">
        <v>0</v>
      </c>
      <c r="J908" t="n">
        <v>0</v>
      </c>
      <c r="K908" t="n">
        <v>0</v>
      </c>
      <c r="L908" t="n">
        <v>0</v>
      </c>
      <c r="M908" t="n">
        <v>0</v>
      </c>
      <c r="N908" t="n">
        <v>0</v>
      </c>
      <c r="O908" t="n">
        <v>0</v>
      </c>
      <c r="P908" t="n">
        <v>0</v>
      </c>
      <c r="Q908" t="n">
        <v>0</v>
      </c>
      <c r="R908" s="2" t="inlineStr"/>
    </row>
    <row r="909" ht="15" customHeight="1">
      <c r="A909" t="inlineStr">
        <is>
          <t>A 34069-2019</t>
        </is>
      </c>
      <c r="B909" s="1" t="n">
        <v>43654</v>
      </c>
      <c r="C909" s="1" t="n">
        <v>45190</v>
      </c>
      <c r="D909" t="inlineStr">
        <is>
          <t>SKÅNE LÄN</t>
        </is>
      </c>
      <c r="E909" t="inlineStr">
        <is>
          <t>HÄSSLEHOLM</t>
        </is>
      </c>
      <c r="G909" t="n">
        <v>3.3</v>
      </c>
      <c r="H909" t="n">
        <v>0</v>
      </c>
      <c r="I909" t="n">
        <v>0</v>
      </c>
      <c r="J909" t="n">
        <v>0</v>
      </c>
      <c r="K909" t="n">
        <v>0</v>
      </c>
      <c r="L909" t="n">
        <v>0</v>
      </c>
      <c r="M909" t="n">
        <v>0</v>
      </c>
      <c r="N909" t="n">
        <v>0</v>
      </c>
      <c r="O909" t="n">
        <v>0</v>
      </c>
      <c r="P909" t="n">
        <v>0</v>
      </c>
      <c r="Q909" t="n">
        <v>0</v>
      </c>
      <c r="R909" s="2" t="inlineStr"/>
    </row>
    <row r="910" ht="15" customHeight="1">
      <c r="A910" t="inlineStr">
        <is>
          <t>A 34072-2019</t>
        </is>
      </c>
      <c r="B910" s="1" t="n">
        <v>43654</v>
      </c>
      <c r="C910" s="1" t="n">
        <v>45190</v>
      </c>
      <c r="D910" t="inlineStr">
        <is>
          <t>SKÅNE LÄN</t>
        </is>
      </c>
      <c r="E910" t="inlineStr">
        <is>
          <t>HÄSSLEHOLM</t>
        </is>
      </c>
      <c r="G910" t="n">
        <v>4</v>
      </c>
      <c r="H910" t="n">
        <v>0</v>
      </c>
      <c r="I910" t="n">
        <v>0</v>
      </c>
      <c r="J910" t="n">
        <v>0</v>
      </c>
      <c r="K910" t="n">
        <v>0</v>
      </c>
      <c r="L910" t="n">
        <v>0</v>
      </c>
      <c r="M910" t="n">
        <v>0</v>
      </c>
      <c r="N910" t="n">
        <v>0</v>
      </c>
      <c r="O910" t="n">
        <v>0</v>
      </c>
      <c r="P910" t="n">
        <v>0</v>
      </c>
      <c r="Q910" t="n">
        <v>0</v>
      </c>
      <c r="R910" s="2" t="inlineStr"/>
    </row>
    <row r="911" ht="15" customHeight="1">
      <c r="A911" t="inlineStr">
        <is>
          <t>A 34140-2019</t>
        </is>
      </c>
      <c r="B911" s="1" t="n">
        <v>43654</v>
      </c>
      <c r="C911" s="1" t="n">
        <v>45190</v>
      </c>
      <c r="D911" t="inlineStr">
        <is>
          <t>SKÅNE LÄN</t>
        </is>
      </c>
      <c r="E911" t="inlineStr">
        <is>
          <t>HÄSSLEHOLM</t>
        </is>
      </c>
      <c r="G911" t="n">
        <v>2.8</v>
      </c>
      <c r="H911" t="n">
        <v>0</v>
      </c>
      <c r="I911" t="n">
        <v>0</v>
      </c>
      <c r="J911" t="n">
        <v>0</v>
      </c>
      <c r="K911" t="n">
        <v>0</v>
      </c>
      <c r="L911" t="n">
        <v>0</v>
      </c>
      <c r="M911" t="n">
        <v>0</v>
      </c>
      <c r="N911" t="n">
        <v>0</v>
      </c>
      <c r="O911" t="n">
        <v>0</v>
      </c>
      <c r="P911" t="n">
        <v>0</v>
      </c>
      <c r="Q911" t="n">
        <v>0</v>
      </c>
      <c r="R911" s="2" t="inlineStr"/>
    </row>
    <row r="912" ht="15" customHeight="1">
      <c r="A912" t="inlineStr">
        <is>
          <t>A 34073-2019</t>
        </is>
      </c>
      <c r="B912" s="1" t="n">
        <v>43654</v>
      </c>
      <c r="C912" s="1" t="n">
        <v>45190</v>
      </c>
      <c r="D912" t="inlineStr">
        <is>
          <t>SKÅNE LÄN</t>
        </is>
      </c>
      <c r="E912" t="inlineStr">
        <is>
          <t>HÄSSLEHOLM</t>
        </is>
      </c>
      <c r="G912" t="n">
        <v>1.1</v>
      </c>
      <c r="H912" t="n">
        <v>0</v>
      </c>
      <c r="I912" t="n">
        <v>0</v>
      </c>
      <c r="J912" t="n">
        <v>0</v>
      </c>
      <c r="K912" t="n">
        <v>0</v>
      </c>
      <c r="L912" t="n">
        <v>0</v>
      </c>
      <c r="M912" t="n">
        <v>0</v>
      </c>
      <c r="N912" t="n">
        <v>0</v>
      </c>
      <c r="O912" t="n">
        <v>0</v>
      </c>
      <c r="P912" t="n">
        <v>0</v>
      </c>
      <c r="Q912" t="n">
        <v>0</v>
      </c>
      <c r="R912" s="2" t="inlineStr"/>
    </row>
    <row r="913" ht="15" customHeight="1">
      <c r="A913" t="inlineStr">
        <is>
          <t>A 34406-2019</t>
        </is>
      </c>
      <c r="B913" s="1" t="n">
        <v>43656</v>
      </c>
      <c r="C913" s="1" t="n">
        <v>45190</v>
      </c>
      <c r="D913" t="inlineStr">
        <is>
          <t>SKÅNE LÄN</t>
        </is>
      </c>
      <c r="E913" t="inlineStr">
        <is>
          <t>ÖSTRA GÖINGE</t>
        </is>
      </c>
      <c r="G913" t="n">
        <v>0.9</v>
      </c>
      <c r="H913" t="n">
        <v>0</v>
      </c>
      <c r="I913" t="n">
        <v>0</v>
      </c>
      <c r="J913" t="n">
        <v>0</v>
      </c>
      <c r="K913" t="n">
        <v>0</v>
      </c>
      <c r="L913" t="n">
        <v>0</v>
      </c>
      <c r="M913" t="n">
        <v>0</v>
      </c>
      <c r="N913" t="n">
        <v>0</v>
      </c>
      <c r="O913" t="n">
        <v>0</v>
      </c>
      <c r="P913" t="n">
        <v>0</v>
      </c>
      <c r="Q913" t="n">
        <v>0</v>
      </c>
      <c r="R913" s="2" t="inlineStr"/>
    </row>
    <row r="914" ht="15" customHeight="1">
      <c r="A914" t="inlineStr">
        <is>
          <t>A 34467-2019</t>
        </is>
      </c>
      <c r="B914" s="1" t="n">
        <v>43656</v>
      </c>
      <c r="C914" s="1" t="n">
        <v>45190</v>
      </c>
      <c r="D914" t="inlineStr">
        <is>
          <t>SKÅNE LÄN</t>
        </is>
      </c>
      <c r="E914" t="inlineStr">
        <is>
          <t>BROMÖLLA</t>
        </is>
      </c>
      <c r="G914" t="n">
        <v>3.9</v>
      </c>
      <c r="H914" t="n">
        <v>0</v>
      </c>
      <c r="I914" t="n">
        <v>0</v>
      </c>
      <c r="J914" t="n">
        <v>0</v>
      </c>
      <c r="K914" t="n">
        <v>0</v>
      </c>
      <c r="L914" t="n">
        <v>0</v>
      </c>
      <c r="M914" t="n">
        <v>0</v>
      </c>
      <c r="N914" t="n">
        <v>0</v>
      </c>
      <c r="O914" t="n">
        <v>0</v>
      </c>
      <c r="P914" t="n">
        <v>0</v>
      </c>
      <c r="Q914" t="n">
        <v>0</v>
      </c>
      <c r="R914" s="2" t="inlineStr"/>
    </row>
    <row r="915" ht="15" customHeight="1">
      <c r="A915" t="inlineStr">
        <is>
          <t>A 35252-2019</t>
        </is>
      </c>
      <c r="B915" s="1" t="n">
        <v>43656</v>
      </c>
      <c r="C915" s="1" t="n">
        <v>45190</v>
      </c>
      <c r="D915" t="inlineStr">
        <is>
          <t>SKÅNE LÄN</t>
        </is>
      </c>
      <c r="E915" t="inlineStr">
        <is>
          <t>KLIPPAN</t>
        </is>
      </c>
      <c r="F915" t="inlineStr">
        <is>
          <t>Övriga Aktiebolag</t>
        </is>
      </c>
      <c r="G915" t="n">
        <v>0.8</v>
      </c>
      <c r="H915" t="n">
        <v>0</v>
      </c>
      <c r="I915" t="n">
        <v>0</v>
      </c>
      <c r="J915" t="n">
        <v>0</v>
      </c>
      <c r="K915" t="n">
        <v>0</v>
      </c>
      <c r="L915" t="n">
        <v>0</v>
      </c>
      <c r="M915" t="n">
        <v>0</v>
      </c>
      <c r="N915" t="n">
        <v>0</v>
      </c>
      <c r="O915" t="n">
        <v>0</v>
      </c>
      <c r="P915" t="n">
        <v>0</v>
      </c>
      <c r="Q915" t="n">
        <v>0</v>
      </c>
      <c r="R915" s="2" t="inlineStr"/>
    </row>
    <row r="916" ht="15" customHeight="1">
      <c r="A916" t="inlineStr">
        <is>
          <t>A 34452-2019</t>
        </is>
      </c>
      <c r="B916" s="1" t="n">
        <v>43656</v>
      </c>
      <c r="C916" s="1" t="n">
        <v>45190</v>
      </c>
      <c r="D916" t="inlineStr">
        <is>
          <t>SKÅNE LÄN</t>
        </is>
      </c>
      <c r="E916" t="inlineStr">
        <is>
          <t>PERSTORP</t>
        </is>
      </c>
      <c r="G916" t="n">
        <v>0.5</v>
      </c>
      <c r="H916" t="n">
        <v>0</v>
      </c>
      <c r="I916" t="n">
        <v>0</v>
      </c>
      <c r="J916" t="n">
        <v>0</v>
      </c>
      <c r="K916" t="n">
        <v>0</v>
      </c>
      <c r="L916" t="n">
        <v>0</v>
      </c>
      <c r="M916" t="n">
        <v>0</v>
      </c>
      <c r="N916" t="n">
        <v>0</v>
      </c>
      <c r="O916" t="n">
        <v>0</v>
      </c>
      <c r="P916" t="n">
        <v>0</v>
      </c>
      <c r="Q916" t="n">
        <v>0</v>
      </c>
      <c r="R916" s="2" t="inlineStr"/>
    </row>
    <row r="917" ht="15" customHeight="1">
      <c r="A917" t="inlineStr">
        <is>
          <t>A 34400-2019</t>
        </is>
      </c>
      <c r="B917" s="1" t="n">
        <v>43656</v>
      </c>
      <c r="C917" s="1" t="n">
        <v>45190</v>
      </c>
      <c r="D917" t="inlineStr">
        <is>
          <t>SKÅNE LÄN</t>
        </is>
      </c>
      <c r="E917" t="inlineStr">
        <is>
          <t>ÖSTRA GÖINGE</t>
        </is>
      </c>
      <c r="G917" t="n">
        <v>0.7</v>
      </c>
      <c r="H917" t="n">
        <v>0</v>
      </c>
      <c r="I917" t="n">
        <v>0</v>
      </c>
      <c r="J917" t="n">
        <v>0</v>
      </c>
      <c r="K917" t="n">
        <v>0</v>
      </c>
      <c r="L917" t="n">
        <v>0</v>
      </c>
      <c r="M917" t="n">
        <v>0</v>
      </c>
      <c r="N917" t="n">
        <v>0</v>
      </c>
      <c r="O917" t="n">
        <v>0</v>
      </c>
      <c r="P917" t="n">
        <v>0</v>
      </c>
      <c r="Q917" t="n">
        <v>0</v>
      </c>
      <c r="R917" s="2" t="inlineStr"/>
    </row>
    <row r="918" ht="15" customHeight="1">
      <c r="A918" t="inlineStr">
        <is>
          <t>A 34450-2019</t>
        </is>
      </c>
      <c r="B918" s="1" t="n">
        <v>43656</v>
      </c>
      <c r="C918" s="1" t="n">
        <v>45190</v>
      </c>
      <c r="D918" t="inlineStr">
        <is>
          <t>SKÅNE LÄN</t>
        </is>
      </c>
      <c r="E918" t="inlineStr">
        <is>
          <t>PERSTORP</t>
        </is>
      </c>
      <c r="G918" t="n">
        <v>0.9</v>
      </c>
      <c r="H918" t="n">
        <v>0</v>
      </c>
      <c r="I918" t="n">
        <v>0</v>
      </c>
      <c r="J918" t="n">
        <v>0</v>
      </c>
      <c r="K918" t="n">
        <v>0</v>
      </c>
      <c r="L918" t="n">
        <v>0</v>
      </c>
      <c r="M918" t="n">
        <v>0</v>
      </c>
      <c r="N918" t="n">
        <v>0</v>
      </c>
      <c r="O918" t="n">
        <v>0</v>
      </c>
      <c r="P918" t="n">
        <v>0</v>
      </c>
      <c r="Q918" t="n">
        <v>0</v>
      </c>
      <c r="R918" s="2" t="inlineStr"/>
    </row>
    <row r="919" ht="15" customHeight="1">
      <c r="A919" t="inlineStr">
        <is>
          <t>A 34862-2019</t>
        </is>
      </c>
      <c r="B919" s="1" t="n">
        <v>43658</v>
      </c>
      <c r="C919" s="1" t="n">
        <v>45190</v>
      </c>
      <c r="D919" t="inlineStr">
        <is>
          <t>SKÅNE LÄN</t>
        </is>
      </c>
      <c r="E919" t="inlineStr">
        <is>
          <t>ÖSTRA GÖINGE</t>
        </is>
      </c>
      <c r="G919" t="n">
        <v>2.4</v>
      </c>
      <c r="H919" t="n">
        <v>0</v>
      </c>
      <c r="I919" t="n">
        <v>0</v>
      </c>
      <c r="J919" t="n">
        <v>0</v>
      </c>
      <c r="K919" t="n">
        <v>0</v>
      </c>
      <c r="L919" t="n">
        <v>0</v>
      </c>
      <c r="M919" t="n">
        <v>0</v>
      </c>
      <c r="N919" t="n">
        <v>0</v>
      </c>
      <c r="O919" t="n">
        <v>0</v>
      </c>
      <c r="P919" t="n">
        <v>0</v>
      </c>
      <c r="Q919" t="n">
        <v>0</v>
      </c>
      <c r="R919" s="2" t="inlineStr"/>
    </row>
    <row r="920" ht="15" customHeight="1">
      <c r="A920" t="inlineStr">
        <is>
          <t>A 34884-2019</t>
        </is>
      </c>
      <c r="B920" s="1" t="n">
        <v>43658</v>
      </c>
      <c r="C920" s="1" t="n">
        <v>45190</v>
      </c>
      <c r="D920" t="inlineStr">
        <is>
          <t>SKÅNE LÄN</t>
        </is>
      </c>
      <c r="E920" t="inlineStr">
        <is>
          <t>ÖSTRA GÖINGE</t>
        </is>
      </c>
      <c r="G920" t="n">
        <v>1.5</v>
      </c>
      <c r="H920" t="n">
        <v>0</v>
      </c>
      <c r="I920" t="n">
        <v>0</v>
      </c>
      <c r="J920" t="n">
        <v>0</v>
      </c>
      <c r="K920" t="n">
        <v>0</v>
      </c>
      <c r="L920" t="n">
        <v>0</v>
      </c>
      <c r="M920" t="n">
        <v>0</v>
      </c>
      <c r="N920" t="n">
        <v>0</v>
      </c>
      <c r="O920" t="n">
        <v>0</v>
      </c>
      <c r="P920" t="n">
        <v>0</v>
      </c>
      <c r="Q920" t="n">
        <v>0</v>
      </c>
      <c r="R920" s="2" t="inlineStr"/>
    </row>
    <row r="921" ht="15" customHeight="1">
      <c r="A921" t="inlineStr">
        <is>
          <t>A 34827-2019</t>
        </is>
      </c>
      <c r="B921" s="1" t="n">
        <v>43658</v>
      </c>
      <c r="C921" s="1" t="n">
        <v>45190</v>
      </c>
      <c r="D921" t="inlineStr">
        <is>
          <t>SKÅNE LÄN</t>
        </is>
      </c>
      <c r="E921" t="inlineStr">
        <is>
          <t>ÖSTRA GÖINGE</t>
        </is>
      </c>
      <c r="G921" t="n">
        <v>0.5</v>
      </c>
      <c r="H921" t="n">
        <v>0</v>
      </c>
      <c r="I921" t="n">
        <v>0</v>
      </c>
      <c r="J921" t="n">
        <v>0</v>
      </c>
      <c r="K921" t="n">
        <v>0</v>
      </c>
      <c r="L921" t="n">
        <v>0</v>
      </c>
      <c r="M921" t="n">
        <v>0</v>
      </c>
      <c r="N921" t="n">
        <v>0</v>
      </c>
      <c r="O921" t="n">
        <v>0</v>
      </c>
      <c r="P921" t="n">
        <v>0</v>
      </c>
      <c r="Q921" t="n">
        <v>0</v>
      </c>
      <c r="R921" s="2" t="inlineStr"/>
    </row>
    <row r="922" ht="15" customHeight="1">
      <c r="A922" t="inlineStr">
        <is>
          <t>A 34836-2019</t>
        </is>
      </c>
      <c r="B922" s="1" t="n">
        <v>43658</v>
      </c>
      <c r="C922" s="1" t="n">
        <v>45190</v>
      </c>
      <c r="D922" t="inlineStr">
        <is>
          <t>SKÅNE LÄN</t>
        </is>
      </c>
      <c r="E922" t="inlineStr">
        <is>
          <t>ÖSTRA GÖINGE</t>
        </is>
      </c>
      <c r="G922" t="n">
        <v>1.1</v>
      </c>
      <c r="H922" t="n">
        <v>0</v>
      </c>
      <c r="I922" t="n">
        <v>0</v>
      </c>
      <c r="J922" t="n">
        <v>0</v>
      </c>
      <c r="K922" t="n">
        <v>0</v>
      </c>
      <c r="L922" t="n">
        <v>0</v>
      </c>
      <c r="M922" t="n">
        <v>0</v>
      </c>
      <c r="N922" t="n">
        <v>0</v>
      </c>
      <c r="O922" t="n">
        <v>0</v>
      </c>
      <c r="P922" t="n">
        <v>0</v>
      </c>
      <c r="Q922" t="n">
        <v>0</v>
      </c>
      <c r="R922" s="2" t="inlineStr"/>
    </row>
    <row r="923" ht="15" customHeight="1">
      <c r="A923" t="inlineStr">
        <is>
          <t>A 34858-2019</t>
        </is>
      </c>
      <c r="B923" s="1" t="n">
        <v>43658</v>
      </c>
      <c r="C923" s="1" t="n">
        <v>45190</v>
      </c>
      <c r="D923" t="inlineStr">
        <is>
          <t>SKÅNE LÄN</t>
        </is>
      </c>
      <c r="E923" t="inlineStr">
        <is>
          <t>ÖSTRA GÖINGE</t>
        </is>
      </c>
      <c r="G923" t="n">
        <v>1.8</v>
      </c>
      <c r="H923" t="n">
        <v>0</v>
      </c>
      <c r="I923" t="n">
        <v>0</v>
      </c>
      <c r="J923" t="n">
        <v>0</v>
      </c>
      <c r="K923" t="n">
        <v>0</v>
      </c>
      <c r="L923" t="n">
        <v>0</v>
      </c>
      <c r="M923" t="n">
        <v>0</v>
      </c>
      <c r="N923" t="n">
        <v>0</v>
      </c>
      <c r="O923" t="n">
        <v>0</v>
      </c>
      <c r="P923" t="n">
        <v>0</v>
      </c>
      <c r="Q923" t="n">
        <v>0</v>
      </c>
      <c r="R923" s="2" t="inlineStr"/>
    </row>
    <row r="924" ht="15" customHeight="1">
      <c r="A924" t="inlineStr">
        <is>
          <t>A 36240-2019</t>
        </is>
      </c>
      <c r="B924" s="1" t="n">
        <v>43659</v>
      </c>
      <c r="C924" s="1" t="n">
        <v>45190</v>
      </c>
      <c r="D924" t="inlineStr">
        <is>
          <t>SKÅNE LÄN</t>
        </is>
      </c>
      <c r="E924" t="inlineStr">
        <is>
          <t>HÄSSLEHOLM</t>
        </is>
      </c>
      <c r="G924" t="n">
        <v>0.7</v>
      </c>
      <c r="H924" t="n">
        <v>0</v>
      </c>
      <c r="I924" t="n">
        <v>0</v>
      </c>
      <c r="J924" t="n">
        <v>0</v>
      </c>
      <c r="K924" t="n">
        <v>0</v>
      </c>
      <c r="L924" t="n">
        <v>0</v>
      </c>
      <c r="M924" t="n">
        <v>0</v>
      </c>
      <c r="N924" t="n">
        <v>0</v>
      </c>
      <c r="O924" t="n">
        <v>0</v>
      </c>
      <c r="P924" t="n">
        <v>0</v>
      </c>
      <c r="Q924" t="n">
        <v>0</v>
      </c>
      <c r="R924" s="2" t="inlineStr"/>
    </row>
    <row r="925" ht="15" customHeight="1">
      <c r="A925" t="inlineStr">
        <is>
          <t>A 36238-2019</t>
        </is>
      </c>
      <c r="B925" s="1" t="n">
        <v>43659</v>
      </c>
      <c r="C925" s="1" t="n">
        <v>45190</v>
      </c>
      <c r="D925" t="inlineStr">
        <is>
          <t>SKÅNE LÄN</t>
        </is>
      </c>
      <c r="E925" t="inlineStr">
        <is>
          <t>HÄSSLEHOLM</t>
        </is>
      </c>
      <c r="G925" t="n">
        <v>2.2</v>
      </c>
      <c r="H925" t="n">
        <v>0</v>
      </c>
      <c r="I925" t="n">
        <v>0</v>
      </c>
      <c r="J925" t="n">
        <v>0</v>
      </c>
      <c r="K925" t="n">
        <v>0</v>
      </c>
      <c r="L925" t="n">
        <v>0</v>
      </c>
      <c r="M925" t="n">
        <v>0</v>
      </c>
      <c r="N925" t="n">
        <v>0</v>
      </c>
      <c r="O925" t="n">
        <v>0</v>
      </c>
      <c r="P925" t="n">
        <v>0</v>
      </c>
      <c r="Q925" t="n">
        <v>0</v>
      </c>
      <c r="R925" s="2" t="inlineStr"/>
    </row>
    <row r="926" ht="15" customHeight="1">
      <c r="A926" t="inlineStr">
        <is>
          <t>A 36243-2019</t>
        </is>
      </c>
      <c r="B926" s="1" t="n">
        <v>43660</v>
      </c>
      <c r="C926" s="1" t="n">
        <v>45190</v>
      </c>
      <c r="D926" t="inlineStr">
        <is>
          <t>SKÅNE LÄN</t>
        </is>
      </c>
      <c r="E926" t="inlineStr">
        <is>
          <t>ÖRKELLJUNGA</t>
        </is>
      </c>
      <c r="G926" t="n">
        <v>2.5</v>
      </c>
      <c r="H926" t="n">
        <v>0</v>
      </c>
      <c r="I926" t="n">
        <v>0</v>
      </c>
      <c r="J926" t="n">
        <v>0</v>
      </c>
      <c r="K926" t="n">
        <v>0</v>
      </c>
      <c r="L926" t="n">
        <v>0</v>
      </c>
      <c r="M926" t="n">
        <v>0</v>
      </c>
      <c r="N926" t="n">
        <v>0</v>
      </c>
      <c r="O926" t="n">
        <v>0</v>
      </c>
      <c r="P926" t="n">
        <v>0</v>
      </c>
      <c r="Q926" t="n">
        <v>0</v>
      </c>
      <c r="R926" s="2" t="inlineStr"/>
    </row>
    <row r="927" ht="15" customHeight="1">
      <c r="A927" t="inlineStr">
        <is>
          <t>A 35343-2019</t>
        </is>
      </c>
      <c r="B927" s="1" t="n">
        <v>43663</v>
      </c>
      <c r="C927" s="1" t="n">
        <v>45190</v>
      </c>
      <c r="D927" t="inlineStr">
        <is>
          <t>SKÅNE LÄN</t>
        </is>
      </c>
      <c r="E927" t="inlineStr">
        <is>
          <t>OSBY</t>
        </is>
      </c>
      <c r="G927" t="n">
        <v>0.3</v>
      </c>
      <c r="H927" t="n">
        <v>0</v>
      </c>
      <c r="I927" t="n">
        <v>0</v>
      </c>
      <c r="J927" t="n">
        <v>0</v>
      </c>
      <c r="K927" t="n">
        <v>0</v>
      </c>
      <c r="L927" t="n">
        <v>0</v>
      </c>
      <c r="M927" t="n">
        <v>0</v>
      </c>
      <c r="N927" t="n">
        <v>0</v>
      </c>
      <c r="O927" t="n">
        <v>0</v>
      </c>
      <c r="P927" t="n">
        <v>0</v>
      </c>
      <c r="Q927" t="n">
        <v>0</v>
      </c>
      <c r="R927" s="2" t="inlineStr"/>
    </row>
    <row r="928" ht="15" customHeight="1">
      <c r="A928" t="inlineStr">
        <is>
          <t>A 36156-2019</t>
        </is>
      </c>
      <c r="B928" s="1" t="n">
        <v>43668</v>
      </c>
      <c r="C928" s="1" t="n">
        <v>45190</v>
      </c>
      <c r="D928" t="inlineStr">
        <is>
          <t>SKÅNE LÄN</t>
        </is>
      </c>
      <c r="E928" t="inlineStr">
        <is>
          <t>KRISTIANSTAD</t>
        </is>
      </c>
      <c r="G928" t="n">
        <v>12.6</v>
      </c>
      <c r="H928" t="n">
        <v>0</v>
      </c>
      <c r="I928" t="n">
        <v>0</v>
      </c>
      <c r="J928" t="n">
        <v>0</v>
      </c>
      <c r="K928" t="n">
        <v>0</v>
      </c>
      <c r="L928" t="n">
        <v>0</v>
      </c>
      <c r="M928" t="n">
        <v>0</v>
      </c>
      <c r="N928" t="n">
        <v>0</v>
      </c>
      <c r="O928" t="n">
        <v>0</v>
      </c>
      <c r="P928" t="n">
        <v>0</v>
      </c>
      <c r="Q928" t="n">
        <v>0</v>
      </c>
      <c r="R928" s="2" t="inlineStr"/>
    </row>
    <row r="929" ht="15" customHeight="1">
      <c r="A929" t="inlineStr">
        <is>
          <t>A 36553-2019</t>
        </is>
      </c>
      <c r="B929" s="1" t="n">
        <v>43668</v>
      </c>
      <c r="C929" s="1" t="n">
        <v>45190</v>
      </c>
      <c r="D929" t="inlineStr">
        <is>
          <t>SKÅNE LÄN</t>
        </is>
      </c>
      <c r="E929" t="inlineStr">
        <is>
          <t>HÄSSLEHOLM</t>
        </is>
      </c>
      <c r="G929" t="n">
        <v>2.6</v>
      </c>
      <c r="H929" t="n">
        <v>0</v>
      </c>
      <c r="I929" t="n">
        <v>0</v>
      </c>
      <c r="J929" t="n">
        <v>0</v>
      </c>
      <c r="K929" t="n">
        <v>0</v>
      </c>
      <c r="L929" t="n">
        <v>0</v>
      </c>
      <c r="M929" t="n">
        <v>0</v>
      </c>
      <c r="N929" t="n">
        <v>0</v>
      </c>
      <c r="O929" t="n">
        <v>0</v>
      </c>
      <c r="P929" t="n">
        <v>0</v>
      </c>
      <c r="Q929" t="n">
        <v>0</v>
      </c>
      <c r="R929" s="2" t="inlineStr"/>
    </row>
    <row r="930" ht="15" customHeight="1">
      <c r="A930" t="inlineStr">
        <is>
          <t>A 36550-2019</t>
        </is>
      </c>
      <c r="B930" s="1" t="n">
        <v>43668</v>
      </c>
      <c r="C930" s="1" t="n">
        <v>45190</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36148-2019</t>
        </is>
      </c>
      <c r="B931" s="1" t="n">
        <v>43668</v>
      </c>
      <c r="C931" s="1" t="n">
        <v>45190</v>
      </c>
      <c r="D931" t="inlineStr">
        <is>
          <t>SKÅNE LÄN</t>
        </is>
      </c>
      <c r="E931" t="inlineStr">
        <is>
          <t>BROMÖLLA</t>
        </is>
      </c>
      <c r="G931" t="n">
        <v>4.2</v>
      </c>
      <c r="H931" t="n">
        <v>0</v>
      </c>
      <c r="I931" t="n">
        <v>0</v>
      </c>
      <c r="J931" t="n">
        <v>0</v>
      </c>
      <c r="K931" t="n">
        <v>0</v>
      </c>
      <c r="L931" t="n">
        <v>0</v>
      </c>
      <c r="M931" t="n">
        <v>0</v>
      </c>
      <c r="N931" t="n">
        <v>0</v>
      </c>
      <c r="O931" t="n">
        <v>0</v>
      </c>
      <c r="P931" t="n">
        <v>0</v>
      </c>
      <c r="Q931" t="n">
        <v>0</v>
      </c>
      <c r="R931" s="2" t="inlineStr"/>
    </row>
    <row r="932" ht="15" customHeight="1">
      <c r="A932" t="inlineStr">
        <is>
          <t>A 36288-2019</t>
        </is>
      </c>
      <c r="B932" s="1" t="n">
        <v>43669</v>
      </c>
      <c r="C932" s="1" t="n">
        <v>45190</v>
      </c>
      <c r="D932" t="inlineStr">
        <is>
          <t>SKÅNE LÄN</t>
        </is>
      </c>
      <c r="E932" t="inlineStr">
        <is>
          <t>KRISTIANSTAD</t>
        </is>
      </c>
      <c r="G932" t="n">
        <v>3.1</v>
      </c>
      <c r="H932" t="n">
        <v>0</v>
      </c>
      <c r="I932" t="n">
        <v>0</v>
      </c>
      <c r="J932" t="n">
        <v>0</v>
      </c>
      <c r="K932" t="n">
        <v>0</v>
      </c>
      <c r="L932" t="n">
        <v>0</v>
      </c>
      <c r="M932" t="n">
        <v>0</v>
      </c>
      <c r="N932" t="n">
        <v>0</v>
      </c>
      <c r="O932" t="n">
        <v>0</v>
      </c>
      <c r="P932" t="n">
        <v>0</v>
      </c>
      <c r="Q932" t="n">
        <v>0</v>
      </c>
      <c r="R932" s="2" t="inlineStr"/>
    </row>
    <row r="933" ht="15" customHeight="1">
      <c r="A933" t="inlineStr">
        <is>
          <t>A 36362-2019</t>
        </is>
      </c>
      <c r="B933" s="1" t="n">
        <v>43670</v>
      </c>
      <c r="C933" s="1" t="n">
        <v>45190</v>
      </c>
      <c r="D933" t="inlineStr">
        <is>
          <t>SKÅNE LÄN</t>
        </is>
      </c>
      <c r="E933" t="inlineStr">
        <is>
          <t>KRISTIANSTAD</t>
        </is>
      </c>
      <c r="G933" t="n">
        <v>3.3</v>
      </c>
      <c r="H933" t="n">
        <v>0</v>
      </c>
      <c r="I933" t="n">
        <v>0</v>
      </c>
      <c r="J933" t="n">
        <v>0</v>
      </c>
      <c r="K933" t="n">
        <v>0</v>
      </c>
      <c r="L933" t="n">
        <v>0</v>
      </c>
      <c r="M933" t="n">
        <v>0</v>
      </c>
      <c r="N933" t="n">
        <v>0</v>
      </c>
      <c r="O933" t="n">
        <v>0</v>
      </c>
      <c r="P933" t="n">
        <v>0</v>
      </c>
      <c r="Q933" t="n">
        <v>0</v>
      </c>
      <c r="R933" s="2" t="inlineStr"/>
    </row>
    <row r="934" ht="15" customHeight="1">
      <c r="A934" t="inlineStr">
        <is>
          <t>A 36585-2019</t>
        </is>
      </c>
      <c r="B934" s="1" t="n">
        <v>43671</v>
      </c>
      <c r="C934" s="1" t="n">
        <v>45190</v>
      </c>
      <c r="D934" t="inlineStr">
        <is>
          <t>SKÅNE LÄN</t>
        </is>
      </c>
      <c r="E934" t="inlineStr">
        <is>
          <t>ÖSTRA GÖINGE</t>
        </is>
      </c>
      <c r="G934" t="n">
        <v>3.4</v>
      </c>
      <c r="H934" t="n">
        <v>0</v>
      </c>
      <c r="I934" t="n">
        <v>0</v>
      </c>
      <c r="J934" t="n">
        <v>0</v>
      </c>
      <c r="K934" t="n">
        <v>0</v>
      </c>
      <c r="L934" t="n">
        <v>0</v>
      </c>
      <c r="M934" t="n">
        <v>0</v>
      </c>
      <c r="N934" t="n">
        <v>0</v>
      </c>
      <c r="O934" t="n">
        <v>0</v>
      </c>
      <c r="P934" t="n">
        <v>0</v>
      </c>
      <c r="Q934" t="n">
        <v>0</v>
      </c>
      <c r="R934" s="2" t="inlineStr"/>
    </row>
    <row r="935" ht="15" customHeight="1">
      <c r="A935" t="inlineStr">
        <is>
          <t>A 37189-2019</t>
        </is>
      </c>
      <c r="B935" s="1" t="n">
        <v>43676</v>
      </c>
      <c r="C935" s="1" t="n">
        <v>45190</v>
      </c>
      <c r="D935" t="inlineStr">
        <is>
          <t>SKÅNE LÄN</t>
        </is>
      </c>
      <c r="E935" t="inlineStr">
        <is>
          <t>BJUV</t>
        </is>
      </c>
      <c r="G935" t="n">
        <v>7.4</v>
      </c>
      <c r="H935" t="n">
        <v>0</v>
      </c>
      <c r="I935" t="n">
        <v>0</v>
      </c>
      <c r="J935" t="n">
        <v>0</v>
      </c>
      <c r="K935" t="n">
        <v>0</v>
      </c>
      <c r="L935" t="n">
        <v>0</v>
      </c>
      <c r="M935" t="n">
        <v>0</v>
      </c>
      <c r="N935" t="n">
        <v>0</v>
      </c>
      <c r="O935" t="n">
        <v>0</v>
      </c>
      <c r="P935" t="n">
        <v>0</v>
      </c>
      <c r="Q935" t="n">
        <v>0</v>
      </c>
      <c r="R935" s="2" t="inlineStr"/>
    </row>
    <row r="936" ht="15" customHeight="1">
      <c r="A936" t="inlineStr">
        <is>
          <t>A 37176-2019</t>
        </is>
      </c>
      <c r="B936" s="1" t="n">
        <v>43677</v>
      </c>
      <c r="C936" s="1" t="n">
        <v>45190</v>
      </c>
      <c r="D936" t="inlineStr">
        <is>
          <t>SKÅNE LÄN</t>
        </is>
      </c>
      <c r="E936" t="inlineStr">
        <is>
          <t>HÖÖR</t>
        </is>
      </c>
      <c r="G936" t="n">
        <v>1.7</v>
      </c>
      <c r="H936" t="n">
        <v>0</v>
      </c>
      <c r="I936" t="n">
        <v>0</v>
      </c>
      <c r="J936" t="n">
        <v>0</v>
      </c>
      <c r="K936" t="n">
        <v>0</v>
      </c>
      <c r="L936" t="n">
        <v>0</v>
      </c>
      <c r="M936" t="n">
        <v>0</v>
      </c>
      <c r="N936" t="n">
        <v>0</v>
      </c>
      <c r="O936" t="n">
        <v>0</v>
      </c>
      <c r="P936" t="n">
        <v>0</v>
      </c>
      <c r="Q936" t="n">
        <v>0</v>
      </c>
      <c r="R936" s="2" t="inlineStr"/>
    </row>
    <row r="937" ht="15" customHeight="1">
      <c r="A937" t="inlineStr">
        <is>
          <t>A 37540-2019</t>
        </is>
      </c>
      <c r="B937" s="1" t="n">
        <v>43678</v>
      </c>
      <c r="C937" s="1" t="n">
        <v>45190</v>
      </c>
      <c r="D937" t="inlineStr">
        <is>
          <t>SKÅNE LÄN</t>
        </is>
      </c>
      <c r="E937" t="inlineStr">
        <is>
          <t>HÄSSLEHOLM</t>
        </is>
      </c>
      <c r="G937" t="n">
        <v>7.9</v>
      </c>
      <c r="H937" t="n">
        <v>0</v>
      </c>
      <c r="I937" t="n">
        <v>0</v>
      </c>
      <c r="J937" t="n">
        <v>0</v>
      </c>
      <c r="K937" t="n">
        <v>0</v>
      </c>
      <c r="L937" t="n">
        <v>0</v>
      </c>
      <c r="M937" t="n">
        <v>0</v>
      </c>
      <c r="N937" t="n">
        <v>0</v>
      </c>
      <c r="O937" t="n">
        <v>0</v>
      </c>
      <c r="P937" t="n">
        <v>0</v>
      </c>
      <c r="Q937" t="n">
        <v>0</v>
      </c>
      <c r="R937" s="2" t="inlineStr"/>
    </row>
    <row r="938" ht="15" customHeight="1">
      <c r="A938" t="inlineStr">
        <is>
          <t>A 37489-2019</t>
        </is>
      </c>
      <c r="B938" s="1" t="n">
        <v>43679</v>
      </c>
      <c r="C938" s="1" t="n">
        <v>45190</v>
      </c>
      <c r="D938" t="inlineStr">
        <is>
          <t>SKÅNE LÄN</t>
        </is>
      </c>
      <c r="E938" t="inlineStr">
        <is>
          <t>ÖSTRA GÖINGE</t>
        </is>
      </c>
      <c r="G938" t="n">
        <v>0.9</v>
      </c>
      <c r="H938" t="n">
        <v>0</v>
      </c>
      <c r="I938" t="n">
        <v>0</v>
      </c>
      <c r="J938" t="n">
        <v>0</v>
      </c>
      <c r="K938" t="n">
        <v>0</v>
      </c>
      <c r="L938" t="n">
        <v>0</v>
      </c>
      <c r="M938" t="n">
        <v>0</v>
      </c>
      <c r="N938" t="n">
        <v>0</v>
      </c>
      <c r="O938" t="n">
        <v>0</v>
      </c>
      <c r="P938" t="n">
        <v>0</v>
      </c>
      <c r="Q938" t="n">
        <v>0</v>
      </c>
      <c r="R938" s="2" t="inlineStr"/>
    </row>
    <row r="939" ht="15" customHeight="1">
      <c r="A939" t="inlineStr">
        <is>
          <t>A 37668-2019</t>
        </is>
      </c>
      <c r="B939" s="1" t="n">
        <v>43679</v>
      </c>
      <c r="C939" s="1" t="n">
        <v>45190</v>
      </c>
      <c r="D939" t="inlineStr">
        <is>
          <t>SKÅNE LÄN</t>
        </is>
      </c>
      <c r="E939" t="inlineStr">
        <is>
          <t>ÖSTRA GÖINGE</t>
        </is>
      </c>
      <c r="G939" t="n">
        <v>5</v>
      </c>
      <c r="H939" t="n">
        <v>0</v>
      </c>
      <c r="I939" t="n">
        <v>0</v>
      </c>
      <c r="J939" t="n">
        <v>0</v>
      </c>
      <c r="K939" t="n">
        <v>0</v>
      </c>
      <c r="L939" t="n">
        <v>0</v>
      </c>
      <c r="M939" t="n">
        <v>0</v>
      </c>
      <c r="N939" t="n">
        <v>0</v>
      </c>
      <c r="O939" t="n">
        <v>0</v>
      </c>
      <c r="P939" t="n">
        <v>0</v>
      </c>
      <c r="Q939" t="n">
        <v>0</v>
      </c>
      <c r="R939" s="2" t="inlineStr"/>
    </row>
    <row r="940" ht="15" customHeight="1">
      <c r="A940" t="inlineStr">
        <is>
          <t>A 37487-2019</t>
        </is>
      </c>
      <c r="B940" s="1" t="n">
        <v>43679</v>
      </c>
      <c r="C940" s="1" t="n">
        <v>45190</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37633-2019</t>
        </is>
      </c>
      <c r="B941" s="1" t="n">
        <v>43679</v>
      </c>
      <c r="C941" s="1" t="n">
        <v>45190</v>
      </c>
      <c r="D941" t="inlineStr">
        <is>
          <t>SKÅNE LÄN</t>
        </is>
      </c>
      <c r="E941" t="inlineStr">
        <is>
          <t>HÖÖR</t>
        </is>
      </c>
      <c r="G941" t="n">
        <v>0.9</v>
      </c>
      <c r="H941" t="n">
        <v>0</v>
      </c>
      <c r="I941" t="n">
        <v>0</v>
      </c>
      <c r="J941" t="n">
        <v>0</v>
      </c>
      <c r="K941" t="n">
        <v>0</v>
      </c>
      <c r="L941" t="n">
        <v>0</v>
      </c>
      <c r="M941" t="n">
        <v>0</v>
      </c>
      <c r="N941" t="n">
        <v>0</v>
      </c>
      <c r="O941" t="n">
        <v>0</v>
      </c>
      <c r="P941" t="n">
        <v>0</v>
      </c>
      <c r="Q941" t="n">
        <v>0</v>
      </c>
      <c r="R941" s="2" t="inlineStr"/>
    </row>
    <row r="942" ht="15" customHeight="1">
      <c r="A942" t="inlineStr">
        <is>
          <t>A 37598-2019</t>
        </is>
      </c>
      <c r="B942" s="1" t="n">
        <v>43680</v>
      </c>
      <c r="C942" s="1" t="n">
        <v>45190</v>
      </c>
      <c r="D942" t="inlineStr">
        <is>
          <t>SKÅNE LÄN</t>
        </is>
      </c>
      <c r="E942" t="inlineStr">
        <is>
          <t>OSBY</t>
        </is>
      </c>
      <c r="F942" t="inlineStr">
        <is>
          <t>Kyrkan</t>
        </is>
      </c>
      <c r="G942" t="n">
        <v>4.1</v>
      </c>
      <c r="H942" t="n">
        <v>0</v>
      </c>
      <c r="I942" t="n">
        <v>0</v>
      </c>
      <c r="J942" t="n">
        <v>0</v>
      </c>
      <c r="K942" t="n">
        <v>0</v>
      </c>
      <c r="L942" t="n">
        <v>0</v>
      </c>
      <c r="M942" t="n">
        <v>0</v>
      </c>
      <c r="N942" t="n">
        <v>0</v>
      </c>
      <c r="O942" t="n">
        <v>0</v>
      </c>
      <c r="P942" t="n">
        <v>0</v>
      </c>
      <c r="Q942" t="n">
        <v>0</v>
      </c>
      <c r="R942" s="2" t="inlineStr"/>
    </row>
    <row r="943" ht="15" customHeight="1">
      <c r="A943" t="inlineStr">
        <is>
          <t>A 37595-2019</t>
        </is>
      </c>
      <c r="B943" s="1" t="n">
        <v>43680</v>
      </c>
      <c r="C943" s="1" t="n">
        <v>45190</v>
      </c>
      <c r="D943" t="inlineStr">
        <is>
          <t>SKÅNE LÄN</t>
        </is>
      </c>
      <c r="E943" t="inlineStr">
        <is>
          <t>OSBY</t>
        </is>
      </c>
      <c r="F943" t="inlineStr">
        <is>
          <t>Kyrkan</t>
        </is>
      </c>
      <c r="G943" t="n">
        <v>14.2</v>
      </c>
      <c r="H943" t="n">
        <v>0</v>
      </c>
      <c r="I943" t="n">
        <v>0</v>
      </c>
      <c r="J943" t="n">
        <v>0</v>
      </c>
      <c r="K943" t="n">
        <v>0</v>
      </c>
      <c r="L943" t="n">
        <v>0</v>
      </c>
      <c r="M943" t="n">
        <v>0</v>
      </c>
      <c r="N943" t="n">
        <v>0</v>
      </c>
      <c r="O943" t="n">
        <v>0</v>
      </c>
      <c r="P943" t="n">
        <v>0</v>
      </c>
      <c r="Q943" t="n">
        <v>0</v>
      </c>
      <c r="R943" s="2" t="inlineStr"/>
    </row>
    <row r="944" ht="15" customHeight="1">
      <c r="A944" t="inlineStr">
        <is>
          <t>A 37761-2019</t>
        </is>
      </c>
      <c r="B944" s="1" t="n">
        <v>43682</v>
      </c>
      <c r="C944" s="1" t="n">
        <v>45190</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37765-2019</t>
        </is>
      </c>
      <c r="B945" s="1" t="n">
        <v>43682</v>
      </c>
      <c r="C945" s="1" t="n">
        <v>45190</v>
      </c>
      <c r="D945" t="inlineStr">
        <is>
          <t>SKÅNE LÄN</t>
        </is>
      </c>
      <c r="E945" t="inlineStr">
        <is>
          <t>HÄSSLEHOLM</t>
        </is>
      </c>
      <c r="G945" t="n">
        <v>0.7</v>
      </c>
      <c r="H945" t="n">
        <v>0</v>
      </c>
      <c r="I945" t="n">
        <v>0</v>
      </c>
      <c r="J945" t="n">
        <v>0</v>
      </c>
      <c r="K945" t="n">
        <v>0</v>
      </c>
      <c r="L945" t="n">
        <v>0</v>
      </c>
      <c r="M945" t="n">
        <v>0</v>
      </c>
      <c r="N945" t="n">
        <v>0</v>
      </c>
      <c r="O945" t="n">
        <v>0</v>
      </c>
      <c r="P945" t="n">
        <v>0</v>
      </c>
      <c r="Q945" t="n">
        <v>0</v>
      </c>
      <c r="R945" s="2" t="inlineStr"/>
    </row>
    <row r="946" ht="15" customHeight="1">
      <c r="A946" t="inlineStr">
        <is>
          <t>A 37871-2019</t>
        </is>
      </c>
      <c r="B946" s="1" t="n">
        <v>43682</v>
      </c>
      <c r="C946" s="1" t="n">
        <v>45190</v>
      </c>
      <c r="D946" t="inlineStr">
        <is>
          <t>SKÅNE LÄN</t>
        </is>
      </c>
      <c r="E946" t="inlineStr">
        <is>
          <t>KRISTIANSTAD</t>
        </is>
      </c>
      <c r="G946" t="n">
        <v>3.5</v>
      </c>
      <c r="H946" t="n">
        <v>0</v>
      </c>
      <c r="I946" t="n">
        <v>0</v>
      </c>
      <c r="J946" t="n">
        <v>0</v>
      </c>
      <c r="K946" t="n">
        <v>0</v>
      </c>
      <c r="L946" t="n">
        <v>0</v>
      </c>
      <c r="M946" t="n">
        <v>0</v>
      </c>
      <c r="N946" t="n">
        <v>0</v>
      </c>
      <c r="O946" t="n">
        <v>0</v>
      </c>
      <c r="P946" t="n">
        <v>0</v>
      </c>
      <c r="Q946" t="n">
        <v>0</v>
      </c>
      <c r="R946" s="2" t="inlineStr"/>
    </row>
    <row r="947" ht="15" customHeight="1">
      <c r="A947" t="inlineStr">
        <is>
          <t>A 37836-2019</t>
        </is>
      </c>
      <c r="B947" s="1" t="n">
        <v>43682</v>
      </c>
      <c r="C947" s="1" t="n">
        <v>45190</v>
      </c>
      <c r="D947" t="inlineStr">
        <is>
          <t>SKÅNE LÄN</t>
        </is>
      </c>
      <c r="E947" t="inlineStr">
        <is>
          <t>KRISTIANSTAD</t>
        </is>
      </c>
      <c r="G947" t="n">
        <v>1.7</v>
      </c>
      <c r="H947" t="n">
        <v>0</v>
      </c>
      <c r="I947" t="n">
        <v>0</v>
      </c>
      <c r="J947" t="n">
        <v>0</v>
      </c>
      <c r="K947" t="n">
        <v>0</v>
      </c>
      <c r="L947" t="n">
        <v>0</v>
      </c>
      <c r="M947" t="n">
        <v>0</v>
      </c>
      <c r="N947" t="n">
        <v>0</v>
      </c>
      <c r="O947" t="n">
        <v>0</v>
      </c>
      <c r="P947" t="n">
        <v>0</v>
      </c>
      <c r="Q947" t="n">
        <v>0</v>
      </c>
      <c r="R947" s="2" t="inlineStr"/>
    </row>
    <row r="948" ht="15" customHeight="1">
      <c r="A948" t="inlineStr">
        <is>
          <t>A 38450-2019</t>
        </is>
      </c>
      <c r="B948" s="1" t="n">
        <v>43683</v>
      </c>
      <c r="C948" s="1" t="n">
        <v>45190</v>
      </c>
      <c r="D948" t="inlineStr">
        <is>
          <t>SKÅNE LÄN</t>
        </is>
      </c>
      <c r="E948" t="inlineStr">
        <is>
          <t>ÅSTORP</t>
        </is>
      </c>
      <c r="G948" t="n">
        <v>0.9</v>
      </c>
      <c r="H948" t="n">
        <v>0</v>
      </c>
      <c r="I948" t="n">
        <v>0</v>
      </c>
      <c r="J948" t="n">
        <v>0</v>
      </c>
      <c r="K948" t="n">
        <v>0</v>
      </c>
      <c r="L948" t="n">
        <v>0</v>
      </c>
      <c r="M948" t="n">
        <v>0</v>
      </c>
      <c r="N948" t="n">
        <v>0</v>
      </c>
      <c r="O948" t="n">
        <v>0</v>
      </c>
      <c r="P948" t="n">
        <v>0</v>
      </c>
      <c r="Q948" t="n">
        <v>0</v>
      </c>
      <c r="R948" s="2" t="inlineStr"/>
    </row>
    <row r="949" ht="15" customHeight="1">
      <c r="A949" t="inlineStr">
        <is>
          <t>A 39212-2019</t>
        </is>
      </c>
      <c r="B949" s="1" t="n">
        <v>43686</v>
      </c>
      <c r="C949" s="1" t="n">
        <v>45190</v>
      </c>
      <c r="D949" t="inlineStr">
        <is>
          <t>SKÅNE LÄN</t>
        </is>
      </c>
      <c r="E949" t="inlineStr">
        <is>
          <t>TOMELILLA</t>
        </is>
      </c>
      <c r="G949" t="n">
        <v>1.8</v>
      </c>
      <c r="H949" t="n">
        <v>0</v>
      </c>
      <c r="I949" t="n">
        <v>0</v>
      </c>
      <c r="J949" t="n">
        <v>0</v>
      </c>
      <c r="K949" t="n">
        <v>0</v>
      </c>
      <c r="L949" t="n">
        <v>0</v>
      </c>
      <c r="M949" t="n">
        <v>0</v>
      </c>
      <c r="N949" t="n">
        <v>0</v>
      </c>
      <c r="O949" t="n">
        <v>0</v>
      </c>
      <c r="P949" t="n">
        <v>0</v>
      </c>
      <c r="Q949" t="n">
        <v>0</v>
      </c>
      <c r="R949" s="2" t="inlineStr"/>
    </row>
    <row r="950" ht="15" customHeight="1">
      <c r="A950" t="inlineStr">
        <is>
          <t>A 38616-2019</t>
        </is>
      </c>
      <c r="B950" s="1" t="n">
        <v>43686</v>
      </c>
      <c r="C950" s="1" t="n">
        <v>45190</v>
      </c>
      <c r="D950" t="inlineStr">
        <is>
          <t>SKÅNE LÄN</t>
        </is>
      </c>
      <c r="E950" t="inlineStr">
        <is>
          <t>ÖSTRA GÖINGE</t>
        </is>
      </c>
      <c r="G950" t="n">
        <v>2</v>
      </c>
      <c r="H950" t="n">
        <v>0</v>
      </c>
      <c r="I950" t="n">
        <v>0</v>
      </c>
      <c r="J950" t="n">
        <v>0</v>
      </c>
      <c r="K950" t="n">
        <v>0</v>
      </c>
      <c r="L950" t="n">
        <v>0</v>
      </c>
      <c r="M950" t="n">
        <v>0</v>
      </c>
      <c r="N950" t="n">
        <v>0</v>
      </c>
      <c r="O950" t="n">
        <v>0</v>
      </c>
      <c r="P950" t="n">
        <v>0</v>
      </c>
      <c r="Q950" t="n">
        <v>0</v>
      </c>
      <c r="R950" s="2" t="inlineStr"/>
    </row>
    <row r="951" ht="15" customHeight="1">
      <c r="A951" t="inlineStr">
        <is>
          <t>A 38634-2019</t>
        </is>
      </c>
      <c r="B951" s="1" t="n">
        <v>43686</v>
      </c>
      <c r="C951" s="1" t="n">
        <v>45190</v>
      </c>
      <c r="D951" t="inlineStr">
        <is>
          <t>SKÅNE LÄN</t>
        </is>
      </c>
      <c r="E951" t="inlineStr">
        <is>
          <t>ÖSTRA GÖINGE</t>
        </is>
      </c>
      <c r="G951" t="n">
        <v>1.2</v>
      </c>
      <c r="H951" t="n">
        <v>0</v>
      </c>
      <c r="I951" t="n">
        <v>0</v>
      </c>
      <c r="J951" t="n">
        <v>0</v>
      </c>
      <c r="K951" t="n">
        <v>0</v>
      </c>
      <c r="L951" t="n">
        <v>0</v>
      </c>
      <c r="M951" t="n">
        <v>0</v>
      </c>
      <c r="N951" t="n">
        <v>0</v>
      </c>
      <c r="O951" t="n">
        <v>0</v>
      </c>
      <c r="P951" t="n">
        <v>0</v>
      </c>
      <c r="Q951" t="n">
        <v>0</v>
      </c>
      <c r="R951" s="2" t="inlineStr"/>
    </row>
    <row r="952" ht="15" customHeight="1">
      <c r="A952" t="inlineStr">
        <is>
          <t>A 38673-2019</t>
        </is>
      </c>
      <c r="B952" s="1" t="n">
        <v>43686</v>
      </c>
      <c r="C952" s="1" t="n">
        <v>45190</v>
      </c>
      <c r="D952" t="inlineStr">
        <is>
          <t>SKÅNE LÄN</t>
        </is>
      </c>
      <c r="E952" t="inlineStr">
        <is>
          <t>HÄSSLEHOLM</t>
        </is>
      </c>
      <c r="G952" t="n">
        <v>0.9</v>
      </c>
      <c r="H952" t="n">
        <v>0</v>
      </c>
      <c r="I952" t="n">
        <v>0</v>
      </c>
      <c r="J952" t="n">
        <v>0</v>
      </c>
      <c r="K952" t="n">
        <v>0</v>
      </c>
      <c r="L952" t="n">
        <v>0</v>
      </c>
      <c r="M952" t="n">
        <v>0</v>
      </c>
      <c r="N952" t="n">
        <v>0</v>
      </c>
      <c r="O952" t="n">
        <v>0</v>
      </c>
      <c r="P952" t="n">
        <v>0</v>
      </c>
      <c r="Q952" t="n">
        <v>0</v>
      </c>
      <c r="R952" s="2" t="inlineStr"/>
    </row>
    <row r="953" ht="15" customHeight="1">
      <c r="A953" t="inlineStr">
        <is>
          <t>A 38806-2019</t>
        </is>
      </c>
      <c r="B953" s="1" t="n">
        <v>43688</v>
      </c>
      <c r="C953" s="1" t="n">
        <v>45190</v>
      </c>
      <c r="D953" t="inlineStr">
        <is>
          <t>SKÅNE LÄN</t>
        </is>
      </c>
      <c r="E953" t="inlineStr">
        <is>
          <t>HÄSSLEHOLM</t>
        </is>
      </c>
      <c r="G953" t="n">
        <v>1.8</v>
      </c>
      <c r="H953" t="n">
        <v>0</v>
      </c>
      <c r="I953" t="n">
        <v>0</v>
      </c>
      <c r="J953" t="n">
        <v>0</v>
      </c>
      <c r="K953" t="n">
        <v>0</v>
      </c>
      <c r="L953" t="n">
        <v>0</v>
      </c>
      <c r="M953" t="n">
        <v>0</v>
      </c>
      <c r="N953" t="n">
        <v>0</v>
      </c>
      <c r="O953" t="n">
        <v>0</v>
      </c>
      <c r="P953" t="n">
        <v>0</v>
      </c>
      <c r="Q953" t="n">
        <v>0</v>
      </c>
      <c r="R953" s="2" t="inlineStr"/>
    </row>
    <row r="954" ht="15" customHeight="1">
      <c r="A954" t="inlineStr">
        <is>
          <t>A 38808-2019</t>
        </is>
      </c>
      <c r="B954" s="1" t="n">
        <v>43688</v>
      </c>
      <c r="C954" s="1" t="n">
        <v>45190</v>
      </c>
      <c r="D954" t="inlineStr">
        <is>
          <t>SKÅNE LÄN</t>
        </is>
      </c>
      <c r="E954" t="inlineStr">
        <is>
          <t>HÄSSLEHOLM</t>
        </is>
      </c>
      <c r="G954" t="n">
        <v>1.7</v>
      </c>
      <c r="H954" t="n">
        <v>0</v>
      </c>
      <c r="I954" t="n">
        <v>0</v>
      </c>
      <c r="J954" t="n">
        <v>0</v>
      </c>
      <c r="K954" t="n">
        <v>0</v>
      </c>
      <c r="L954" t="n">
        <v>0</v>
      </c>
      <c r="M954" t="n">
        <v>0</v>
      </c>
      <c r="N954" t="n">
        <v>0</v>
      </c>
      <c r="O954" t="n">
        <v>0</v>
      </c>
      <c r="P954" t="n">
        <v>0</v>
      </c>
      <c r="Q954" t="n">
        <v>0</v>
      </c>
      <c r="R954" s="2" t="inlineStr"/>
    </row>
    <row r="955" ht="15" customHeight="1">
      <c r="A955" t="inlineStr">
        <is>
          <t>A 38805-2019</t>
        </is>
      </c>
      <c r="B955" s="1" t="n">
        <v>43688</v>
      </c>
      <c r="C955" s="1" t="n">
        <v>45190</v>
      </c>
      <c r="D955" t="inlineStr">
        <is>
          <t>SKÅNE LÄN</t>
        </is>
      </c>
      <c r="E955" t="inlineStr">
        <is>
          <t>HÄSSLEHOLM</t>
        </is>
      </c>
      <c r="G955" t="n">
        <v>0.4</v>
      </c>
      <c r="H955" t="n">
        <v>0</v>
      </c>
      <c r="I955" t="n">
        <v>0</v>
      </c>
      <c r="J955" t="n">
        <v>0</v>
      </c>
      <c r="K955" t="n">
        <v>0</v>
      </c>
      <c r="L955" t="n">
        <v>0</v>
      </c>
      <c r="M955" t="n">
        <v>0</v>
      </c>
      <c r="N955" t="n">
        <v>0</v>
      </c>
      <c r="O955" t="n">
        <v>0</v>
      </c>
      <c r="P955" t="n">
        <v>0</v>
      </c>
      <c r="Q955" t="n">
        <v>0</v>
      </c>
      <c r="R955" s="2" t="inlineStr"/>
    </row>
    <row r="956" ht="15" customHeight="1">
      <c r="A956" t="inlineStr">
        <is>
          <t>A 39800-2019</t>
        </is>
      </c>
      <c r="B956" s="1" t="n">
        <v>43689</v>
      </c>
      <c r="C956" s="1" t="n">
        <v>45190</v>
      </c>
      <c r="D956" t="inlineStr">
        <is>
          <t>SKÅNE LÄN</t>
        </is>
      </c>
      <c r="E956" t="inlineStr">
        <is>
          <t>HÖÖR</t>
        </is>
      </c>
      <c r="G956" t="n">
        <v>4.4</v>
      </c>
      <c r="H956" t="n">
        <v>0</v>
      </c>
      <c r="I956" t="n">
        <v>0</v>
      </c>
      <c r="J956" t="n">
        <v>0</v>
      </c>
      <c r="K956" t="n">
        <v>0</v>
      </c>
      <c r="L956" t="n">
        <v>0</v>
      </c>
      <c r="M956" t="n">
        <v>0</v>
      </c>
      <c r="N956" t="n">
        <v>0</v>
      </c>
      <c r="O956" t="n">
        <v>0</v>
      </c>
      <c r="P956" t="n">
        <v>0</v>
      </c>
      <c r="Q956" t="n">
        <v>0</v>
      </c>
      <c r="R956" s="2" t="inlineStr"/>
    </row>
    <row r="957" ht="15" customHeight="1">
      <c r="A957" t="inlineStr">
        <is>
          <t>A 39830-2019</t>
        </is>
      </c>
      <c r="B957" s="1" t="n">
        <v>43689</v>
      </c>
      <c r="C957" s="1" t="n">
        <v>45190</v>
      </c>
      <c r="D957" t="inlineStr">
        <is>
          <t>SKÅNE LÄN</t>
        </is>
      </c>
      <c r="E957" t="inlineStr">
        <is>
          <t>YSTAD</t>
        </is>
      </c>
      <c r="G957" t="n">
        <v>0.8</v>
      </c>
      <c r="H957" t="n">
        <v>0</v>
      </c>
      <c r="I957" t="n">
        <v>0</v>
      </c>
      <c r="J957" t="n">
        <v>0</v>
      </c>
      <c r="K957" t="n">
        <v>0</v>
      </c>
      <c r="L957" t="n">
        <v>0</v>
      </c>
      <c r="M957" t="n">
        <v>0</v>
      </c>
      <c r="N957" t="n">
        <v>0</v>
      </c>
      <c r="O957" t="n">
        <v>0</v>
      </c>
      <c r="P957" t="n">
        <v>0</v>
      </c>
      <c r="Q957" t="n">
        <v>0</v>
      </c>
      <c r="R957" s="2" t="inlineStr"/>
    </row>
    <row r="958" ht="15" customHeight="1">
      <c r="A958" t="inlineStr">
        <is>
          <t>A 38817-2019</t>
        </is>
      </c>
      <c r="B958" s="1" t="n">
        <v>43689</v>
      </c>
      <c r="C958" s="1" t="n">
        <v>45190</v>
      </c>
      <c r="D958" t="inlineStr">
        <is>
          <t>SKÅNE LÄN</t>
        </is>
      </c>
      <c r="E958" t="inlineStr">
        <is>
          <t>OSBY</t>
        </is>
      </c>
      <c r="G958" t="n">
        <v>0.9</v>
      </c>
      <c r="H958" t="n">
        <v>0</v>
      </c>
      <c r="I958" t="n">
        <v>0</v>
      </c>
      <c r="J958" t="n">
        <v>0</v>
      </c>
      <c r="K958" t="n">
        <v>0</v>
      </c>
      <c r="L958" t="n">
        <v>0</v>
      </c>
      <c r="M958" t="n">
        <v>0</v>
      </c>
      <c r="N958" t="n">
        <v>0</v>
      </c>
      <c r="O958" t="n">
        <v>0</v>
      </c>
      <c r="P958" t="n">
        <v>0</v>
      </c>
      <c r="Q958" t="n">
        <v>0</v>
      </c>
      <c r="R958" s="2" t="inlineStr"/>
    </row>
    <row r="959" ht="15" customHeight="1">
      <c r="A959" t="inlineStr">
        <is>
          <t>A 39790-2019</t>
        </is>
      </c>
      <c r="B959" s="1" t="n">
        <v>43689</v>
      </c>
      <c r="C959" s="1" t="n">
        <v>45190</v>
      </c>
      <c r="D959" t="inlineStr">
        <is>
          <t>SKÅNE LÄN</t>
        </is>
      </c>
      <c r="E959" t="inlineStr">
        <is>
          <t>KRISTIANSTAD</t>
        </is>
      </c>
      <c r="G959" t="n">
        <v>2.9</v>
      </c>
      <c r="H959" t="n">
        <v>0</v>
      </c>
      <c r="I959" t="n">
        <v>0</v>
      </c>
      <c r="J959" t="n">
        <v>0</v>
      </c>
      <c r="K959" t="n">
        <v>0</v>
      </c>
      <c r="L959" t="n">
        <v>0</v>
      </c>
      <c r="M959" t="n">
        <v>0</v>
      </c>
      <c r="N959" t="n">
        <v>0</v>
      </c>
      <c r="O959" t="n">
        <v>0</v>
      </c>
      <c r="P959" t="n">
        <v>0</v>
      </c>
      <c r="Q959" t="n">
        <v>0</v>
      </c>
      <c r="R959" s="2" t="inlineStr"/>
    </row>
    <row r="960" ht="15" customHeight="1">
      <c r="A960" t="inlineStr">
        <is>
          <t>A 39780-2019</t>
        </is>
      </c>
      <c r="B960" s="1" t="n">
        <v>43689</v>
      </c>
      <c r="C960" s="1" t="n">
        <v>45190</v>
      </c>
      <c r="D960" t="inlineStr">
        <is>
          <t>SKÅNE LÄN</t>
        </is>
      </c>
      <c r="E960" t="inlineStr">
        <is>
          <t>SJÖBO</t>
        </is>
      </c>
      <c r="G960" t="n">
        <v>2.5</v>
      </c>
      <c r="H960" t="n">
        <v>0</v>
      </c>
      <c r="I960" t="n">
        <v>0</v>
      </c>
      <c r="J960" t="n">
        <v>0</v>
      </c>
      <c r="K960" t="n">
        <v>0</v>
      </c>
      <c r="L960" t="n">
        <v>0</v>
      </c>
      <c r="M960" t="n">
        <v>0</v>
      </c>
      <c r="N960" t="n">
        <v>0</v>
      </c>
      <c r="O960" t="n">
        <v>0</v>
      </c>
      <c r="P960" t="n">
        <v>0</v>
      </c>
      <c r="Q960" t="n">
        <v>0</v>
      </c>
      <c r="R960" s="2" t="inlineStr"/>
    </row>
    <row r="961" ht="15" customHeight="1">
      <c r="A961" t="inlineStr">
        <is>
          <t>A 39817-2019</t>
        </is>
      </c>
      <c r="B961" s="1" t="n">
        <v>43689</v>
      </c>
      <c r="C961" s="1" t="n">
        <v>45190</v>
      </c>
      <c r="D961" t="inlineStr">
        <is>
          <t>SKÅNE LÄN</t>
        </is>
      </c>
      <c r="E961" t="inlineStr">
        <is>
          <t>ESLÖV</t>
        </is>
      </c>
      <c r="G961" t="n">
        <v>1.5</v>
      </c>
      <c r="H961" t="n">
        <v>0</v>
      </c>
      <c r="I961" t="n">
        <v>0</v>
      </c>
      <c r="J961" t="n">
        <v>0</v>
      </c>
      <c r="K961" t="n">
        <v>0</v>
      </c>
      <c r="L961" t="n">
        <v>0</v>
      </c>
      <c r="M961" t="n">
        <v>0</v>
      </c>
      <c r="N961" t="n">
        <v>0</v>
      </c>
      <c r="O961" t="n">
        <v>0</v>
      </c>
      <c r="P961" t="n">
        <v>0</v>
      </c>
      <c r="Q961" t="n">
        <v>0</v>
      </c>
      <c r="R961" s="2" t="inlineStr"/>
    </row>
    <row r="962" ht="15" customHeight="1">
      <c r="A962" t="inlineStr">
        <is>
          <t>A 39502-2019</t>
        </is>
      </c>
      <c r="B962" s="1" t="n">
        <v>43691</v>
      </c>
      <c r="C962" s="1" t="n">
        <v>45190</v>
      </c>
      <c r="D962" t="inlineStr">
        <is>
          <t>SKÅNE LÄN</t>
        </is>
      </c>
      <c r="E962" t="inlineStr">
        <is>
          <t>HÄSSLEHOLM</t>
        </is>
      </c>
      <c r="G962" t="n">
        <v>3.8</v>
      </c>
      <c r="H962" t="n">
        <v>0</v>
      </c>
      <c r="I962" t="n">
        <v>0</v>
      </c>
      <c r="J962" t="n">
        <v>0</v>
      </c>
      <c r="K962" t="n">
        <v>0</v>
      </c>
      <c r="L962" t="n">
        <v>0</v>
      </c>
      <c r="M962" t="n">
        <v>0</v>
      </c>
      <c r="N962" t="n">
        <v>0</v>
      </c>
      <c r="O962" t="n">
        <v>0</v>
      </c>
      <c r="P962" t="n">
        <v>0</v>
      </c>
      <c r="Q962" t="n">
        <v>0</v>
      </c>
      <c r="R962" s="2" t="inlineStr"/>
    </row>
    <row r="963" ht="15" customHeight="1">
      <c r="A963" t="inlineStr">
        <is>
          <t>A 39507-2019</t>
        </is>
      </c>
      <c r="B963" s="1" t="n">
        <v>43691</v>
      </c>
      <c r="C963" s="1" t="n">
        <v>45190</v>
      </c>
      <c r="D963" t="inlineStr">
        <is>
          <t>SKÅNE LÄN</t>
        </is>
      </c>
      <c r="E963" t="inlineStr">
        <is>
          <t>HÄSSLEHOLM</t>
        </is>
      </c>
      <c r="G963" t="n">
        <v>5.7</v>
      </c>
      <c r="H963" t="n">
        <v>0</v>
      </c>
      <c r="I963" t="n">
        <v>0</v>
      </c>
      <c r="J963" t="n">
        <v>0</v>
      </c>
      <c r="K963" t="n">
        <v>0</v>
      </c>
      <c r="L963" t="n">
        <v>0</v>
      </c>
      <c r="M963" t="n">
        <v>0</v>
      </c>
      <c r="N963" t="n">
        <v>0</v>
      </c>
      <c r="O963" t="n">
        <v>0</v>
      </c>
      <c r="P963" t="n">
        <v>0</v>
      </c>
      <c r="Q963" t="n">
        <v>0</v>
      </c>
      <c r="R963" s="2" t="inlineStr"/>
    </row>
    <row r="964" ht="15" customHeight="1">
      <c r="A964" t="inlineStr">
        <is>
          <t>A 40192-2019</t>
        </is>
      </c>
      <c r="B964" s="1" t="n">
        <v>43691</v>
      </c>
      <c r="C964" s="1" t="n">
        <v>45190</v>
      </c>
      <c r="D964" t="inlineStr">
        <is>
          <t>SKÅNE LÄN</t>
        </is>
      </c>
      <c r="E964" t="inlineStr">
        <is>
          <t>KLIPPAN</t>
        </is>
      </c>
      <c r="G964" t="n">
        <v>2.8</v>
      </c>
      <c r="H964" t="n">
        <v>0</v>
      </c>
      <c r="I964" t="n">
        <v>0</v>
      </c>
      <c r="J964" t="n">
        <v>0</v>
      </c>
      <c r="K964" t="n">
        <v>0</v>
      </c>
      <c r="L964" t="n">
        <v>0</v>
      </c>
      <c r="M964" t="n">
        <v>0</v>
      </c>
      <c r="N964" t="n">
        <v>0</v>
      </c>
      <c r="O964" t="n">
        <v>0</v>
      </c>
      <c r="P964" t="n">
        <v>0</v>
      </c>
      <c r="Q964" t="n">
        <v>0</v>
      </c>
      <c r="R964" s="2" t="inlineStr"/>
    </row>
    <row r="965" ht="15" customHeight="1">
      <c r="A965" t="inlineStr">
        <is>
          <t>A 40847-2019</t>
        </is>
      </c>
      <c r="B965" s="1" t="n">
        <v>43692</v>
      </c>
      <c r="C965" s="1" t="n">
        <v>45190</v>
      </c>
      <c r="D965" t="inlineStr">
        <is>
          <t>SKÅNE LÄN</t>
        </is>
      </c>
      <c r="E965" t="inlineStr">
        <is>
          <t>KRISTIANSTAD</t>
        </is>
      </c>
      <c r="G965" t="n">
        <v>1.2</v>
      </c>
      <c r="H965" t="n">
        <v>0</v>
      </c>
      <c r="I965" t="n">
        <v>0</v>
      </c>
      <c r="J965" t="n">
        <v>0</v>
      </c>
      <c r="K965" t="n">
        <v>0</v>
      </c>
      <c r="L965" t="n">
        <v>0</v>
      </c>
      <c r="M965" t="n">
        <v>0</v>
      </c>
      <c r="N965" t="n">
        <v>0</v>
      </c>
      <c r="O965" t="n">
        <v>0</v>
      </c>
      <c r="P965" t="n">
        <v>0</v>
      </c>
      <c r="Q965" t="n">
        <v>0</v>
      </c>
      <c r="R965" s="2" t="inlineStr"/>
    </row>
    <row r="966" ht="15" customHeight="1">
      <c r="A966" t="inlineStr">
        <is>
          <t>A 39884-2019</t>
        </is>
      </c>
      <c r="B966" s="1" t="n">
        <v>43692</v>
      </c>
      <c r="C966" s="1" t="n">
        <v>45190</v>
      </c>
      <c r="D966" t="inlineStr">
        <is>
          <t>SKÅNE LÄN</t>
        </is>
      </c>
      <c r="E966" t="inlineStr">
        <is>
          <t>TOMELILLA</t>
        </is>
      </c>
      <c r="F966" t="inlineStr">
        <is>
          <t>Övriga Aktiebolag</t>
        </is>
      </c>
      <c r="G966" t="n">
        <v>5.8</v>
      </c>
      <c r="H966" t="n">
        <v>0</v>
      </c>
      <c r="I966" t="n">
        <v>0</v>
      </c>
      <c r="J966" t="n">
        <v>0</v>
      </c>
      <c r="K966" t="n">
        <v>0</v>
      </c>
      <c r="L966" t="n">
        <v>0</v>
      </c>
      <c r="M966" t="n">
        <v>0</v>
      </c>
      <c r="N966" t="n">
        <v>0</v>
      </c>
      <c r="O966" t="n">
        <v>0</v>
      </c>
      <c r="P966" t="n">
        <v>0</v>
      </c>
      <c r="Q966" t="n">
        <v>0</v>
      </c>
      <c r="R966" s="2" t="inlineStr"/>
    </row>
    <row r="967" ht="15" customHeight="1">
      <c r="A967" t="inlineStr">
        <is>
          <t>A 40887-2019</t>
        </is>
      </c>
      <c r="B967" s="1" t="n">
        <v>43693</v>
      </c>
      <c r="C967" s="1" t="n">
        <v>45190</v>
      </c>
      <c r="D967" t="inlineStr">
        <is>
          <t>SKÅNE LÄN</t>
        </is>
      </c>
      <c r="E967" t="inlineStr">
        <is>
          <t>HÖÖR</t>
        </is>
      </c>
      <c r="G967" t="n">
        <v>1.4</v>
      </c>
      <c r="H967" t="n">
        <v>0</v>
      </c>
      <c r="I967" t="n">
        <v>0</v>
      </c>
      <c r="J967" t="n">
        <v>0</v>
      </c>
      <c r="K967" t="n">
        <v>0</v>
      </c>
      <c r="L967" t="n">
        <v>0</v>
      </c>
      <c r="M967" t="n">
        <v>0</v>
      </c>
      <c r="N967" t="n">
        <v>0</v>
      </c>
      <c r="O967" t="n">
        <v>0</v>
      </c>
      <c r="P967" t="n">
        <v>0</v>
      </c>
      <c r="Q967" t="n">
        <v>0</v>
      </c>
      <c r="R967" s="2" t="inlineStr"/>
    </row>
    <row r="968" ht="15" customHeight="1">
      <c r="A968" t="inlineStr">
        <is>
          <t>A 41164-2019</t>
        </is>
      </c>
      <c r="B968" s="1" t="n">
        <v>43693</v>
      </c>
      <c r="C968" s="1" t="n">
        <v>45190</v>
      </c>
      <c r="D968" t="inlineStr">
        <is>
          <t>SKÅNE LÄN</t>
        </is>
      </c>
      <c r="E968" t="inlineStr">
        <is>
          <t>KRISTIANSTAD</t>
        </is>
      </c>
      <c r="G968" t="n">
        <v>6.1</v>
      </c>
      <c r="H968" t="n">
        <v>0</v>
      </c>
      <c r="I968" t="n">
        <v>0</v>
      </c>
      <c r="J968" t="n">
        <v>0</v>
      </c>
      <c r="K968" t="n">
        <v>0</v>
      </c>
      <c r="L968" t="n">
        <v>0</v>
      </c>
      <c r="M968" t="n">
        <v>0</v>
      </c>
      <c r="N968" t="n">
        <v>0</v>
      </c>
      <c r="O968" t="n">
        <v>0</v>
      </c>
      <c r="P968" t="n">
        <v>0</v>
      </c>
      <c r="Q968" t="n">
        <v>0</v>
      </c>
      <c r="R968" s="2" t="inlineStr"/>
    </row>
    <row r="969" ht="15" customHeight="1">
      <c r="A969" t="inlineStr">
        <is>
          <t>A 40262-2019</t>
        </is>
      </c>
      <c r="B969" s="1" t="n">
        <v>43695</v>
      </c>
      <c r="C969" s="1" t="n">
        <v>45190</v>
      </c>
      <c r="D969" t="inlineStr">
        <is>
          <t>SKÅNE LÄN</t>
        </is>
      </c>
      <c r="E969" t="inlineStr">
        <is>
          <t>HÄSSLEHOLM</t>
        </is>
      </c>
      <c r="G969" t="n">
        <v>1.3</v>
      </c>
      <c r="H969" t="n">
        <v>0</v>
      </c>
      <c r="I969" t="n">
        <v>0</v>
      </c>
      <c r="J969" t="n">
        <v>0</v>
      </c>
      <c r="K969" t="n">
        <v>0</v>
      </c>
      <c r="L969" t="n">
        <v>0</v>
      </c>
      <c r="M969" t="n">
        <v>0</v>
      </c>
      <c r="N969" t="n">
        <v>0</v>
      </c>
      <c r="O969" t="n">
        <v>0</v>
      </c>
      <c r="P969" t="n">
        <v>0</v>
      </c>
      <c r="Q969" t="n">
        <v>0</v>
      </c>
      <c r="R969" s="2" t="inlineStr"/>
    </row>
    <row r="970" ht="15" customHeight="1">
      <c r="A970" t="inlineStr">
        <is>
          <t>A 40271-2019</t>
        </is>
      </c>
      <c r="B970" s="1" t="n">
        <v>43695</v>
      </c>
      <c r="C970" s="1" t="n">
        <v>45190</v>
      </c>
      <c r="D970" t="inlineStr">
        <is>
          <t>SKÅNE LÄN</t>
        </is>
      </c>
      <c r="E970" t="inlineStr">
        <is>
          <t>KLIPPAN</t>
        </is>
      </c>
      <c r="G970" t="n">
        <v>1</v>
      </c>
      <c r="H970" t="n">
        <v>0</v>
      </c>
      <c r="I970" t="n">
        <v>0</v>
      </c>
      <c r="J970" t="n">
        <v>0</v>
      </c>
      <c r="K970" t="n">
        <v>0</v>
      </c>
      <c r="L970" t="n">
        <v>0</v>
      </c>
      <c r="M970" t="n">
        <v>0</v>
      </c>
      <c r="N970" t="n">
        <v>0</v>
      </c>
      <c r="O970" t="n">
        <v>0</v>
      </c>
      <c r="P970" t="n">
        <v>0</v>
      </c>
      <c r="Q970" t="n">
        <v>0</v>
      </c>
      <c r="R970" s="2" t="inlineStr"/>
    </row>
    <row r="971" ht="15" customHeight="1">
      <c r="A971" t="inlineStr">
        <is>
          <t>A 40277-2019</t>
        </is>
      </c>
      <c r="B971" s="1" t="n">
        <v>43696</v>
      </c>
      <c r="C971" s="1" t="n">
        <v>45190</v>
      </c>
      <c r="D971" t="inlineStr">
        <is>
          <t>SKÅNE LÄN</t>
        </is>
      </c>
      <c r="E971" t="inlineStr">
        <is>
          <t>ÖSTRA GÖINGE</t>
        </is>
      </c>
      <c r="G971" t="n">
        <v>1.4</v>
      </c>
      <c r="H971" t="n">
        <v>0</v>
      </c>
      <c r="I971" t="n">
        <v>0</v>
      </c>
      <c r="J971" t="n">
        <v>0</v>
      </c>
      <c r="K971" t="n">
        <v>0</v>
      </c>
      <c r="L971" t="n">
        <v>0</v>
      </c>
      <c r="M971" t="n">
        <v>0</v>
      </c>
      <c r="N971" t="n">
        <v>0</v>
      </c>
      <c r="O971" t="n">
        <v>0</v>
      </c>
      <c r="P971" t="n">
        <v>0</v>
      </c>
      <c r="Q971" t="n">
        <v>0</v>
      </c>
      <c r="R971" s="2" t="inlineStr"/>
    </row>
    <row r="972" ht="15" customHeight="1">
      <c r="A972" t="inlineStr">
        <is>
          <t>A 41485-2019</t>
        </is>
      </c>
      <c r="B972" s="1" t="n">
        <v>43696</v>
      </c>
      <c r="C972" s="1" t="n">
        <v>45190</v>
      </c>
      <c r="D972" t="inlineStr">
        <is>
          <t>SKÅNE LÄN</t>
        </is>
      </c>
      <c r="E972" t="inlineStr">
        <is>
          <t>HÄSSLEHOLM</t>
        </is>
      </c>
      <c r="G972" t="n">
        <v>1.7</v>
      </c>
      <c r="H972" t="n">
        <v>0</v>
      </c>
      <c r="I972" t="n">
        <v>0</v>
      </c>
      <c r="J972" t="n">
        <v>0</v>
      </c>
      <c r="K972" t="n">
        <v>0</v>
      </c>
      <c r="L972" t="n">
        <v>0</v>
      </c>
      <c r="M972" t="n">
        <v>0</v>
      </c>
      <c r="N972" t="n">
        <v>0</v>
      </c>
      <c r="O972" t="n">
        <v>0</v>
      </c>
      <c r="P972" t="n">
        <v>0</v>
      </c>
      <c r="Q972" t="n">
        <v>0</v>
      </c>
      <c r="R972" s="2" t="inlineStr"/>
    </row>
    <row r="973" ht="15" customHeight="1">
      <c r="A973" t="inlineStr">
        <is>
          <t>A 40752-2019</t>
        </is>
      </c>
      <c r="B973" s="1" t="n">
        <v>43697</v>
      </c>
      <c r="C973" s="1" t="n">
        <v>45190</v>
      </c>
      <c r="D973" t="inlineStr">
        <is>
          <t>SKÅNE LÄN</t>
        </is>
      </c>
      <c r="E973" t="inlineStr">
        <is>
          <t>SVALÖV</t>
        </is>
      </c>
      <c r="G973" t="n">
        <v>5.3</v>
      </c>
      <c r="H973" t="n">
        <v>0</v>
      </c>
      <c r="I973" t="n">
        <v>0</v>
      </c>
      <c r="J973" t="n">
        <v>0</v>
      </c>
      <c r="K973" t="n">
        <v>0</v>
      </c>
      <c r="L973" t="n">
        <v>0</v>
      </c>
      <c r="M973" t="n">
        <v>0</v>
      </c>
      <c r="N973" t="n">
        <v>0</v>
      </c>
      <c r="O973" t="n">
        <v>0</v>
      </c>
      <c r="P973" t="n">
        <v>0</v>
      </c>
      <c r="Q973" t="n">
        <v>0</v>
      </c>
      <c r="R973" s="2" t="inlineStr"/>
    </row>
    <row r="974" ht="15" customHeight="1">
      <c r="A974" t="inlineStr">
        <is>
          <t>A 41197-2019</t>
        </is>
      </c>
      <c r="B974" s="1" t="n">
        <v>43698</v>
      </c>
      <c r="C974" s="1" t="n">
        <v>45190</v>
      </c>
      <c r="D974" t="inlineStr">
        <is>
          <t>SKÅNE LÄN</t>
        </is>
      </c>
      <c r="E974" t="inlineStr">
        <is>
          <t>OSBY</t>
        </is>
      </c>
      <c r="G974" t="n">
        <v>3.2</v>
      </c>
      <c r="H974" t="n">
        <v>0</v>
      </c>
      <c r="I974" t="n">
        <v>0</v>
      </c>
      <c r="J974" t="n">
        <v>0</v>
      </c>
      <c r="K974" t="n">
        <v>0</v>
      </c>
      <c r="L974" t="n">
        <v>0</v>
      </c>
      <c r="M974" t="n">
        <v>0</v>
      </c>
      <c r="N974" t="n">
        <v>0</v>
      </c>
      <c r="O974" t="n">
        <v>0</v>
      </c>
      <c r="P974" t="n">
        <v>0</v>
      </c>
      <c r="Q974" t="n">
        <v>0</v>
      </c>
      <c r="R974" s="2" t="inlineStr"/>
    </row>
    <row r="975" ht="15" customHeight="1">
      <c r="A975" t="inlineStr">
        <is>
          <t>A 41068-2019</t>
        </is>
      </c>
      <c r="B975" s="1" t="n">
        <v>43698</v>
      </c>
      <c r="C975" s="1" t="n">
        <v>45190</v>
      </c>
      <c r="D975" t="inlineStr">
        <is>
          <t>SKÅNE LÄN</t>
        </is>
      </c>
      <c r="E975" t="inlineStr">
        <is>
          <t>HÄSSLEHOLM</t>
        </is>
      </c>
      <c r="G975" t="n">
        <v>3.7</v>
      </c>
      <c r="H975" t="n">
        <v>0</v>
      </c>
      <c r="I975" t="n">
        <v>0</v>
      </c>
      <c r="J975" t="n">
        <v>0</v>
      </c>
      <c r="K975" t="n">
        <v>0</v>
      </c>
      <c r="L975" t="n">
        <v>0</v>
      </c>
      <c r="M975" t="n">
        <v>0</v>
      </c>
      <c r="N975" t="n">
        <v>0</v>
      </c>
      <c r="O975" t="n">
        <v>0</v>
      </c>
      <c r="P975" t="n">
        <v>0</v>
      </c>
      <c r="Q975" t="n">
        <v>0</v>
      </c>
      <c r="R975" s="2" t="inlineStr"/>
    </row>
    <row r="976" ht="15" customHeight="1">
      <c r="A976" t="inlineStr">
        <is>
          <t>A 41120-2019</t>
        </is>
      </c>
      <c r="B976" s="1" t="n">
        <v>43698</v>
      </c>
      <c r="C976" s="1" t="n">
        <v>45190</v>
      </c>
      <c r="D976" t="inlineStr">
        <is>
          <t>SKÅNE LÄN</t>
        </is>
      </c>
      <c r="E976" t="inlineStr">
        <is>
          <t>HÄSSLEHOLM</t>
        </is>
      </c>
      <c r="G976" t="n">
        <v>7.9</v>
      </c>
      <c r="H976" t="n">
        <v>0</v>
      </c>
      <c r="I976" t="n">
        <v>0</v>
      </c>
      <c r="J976" t="n">
        <v>0</v>
      </c>
      <c r="K976" t="n">
        <v>0</v>
      </c>
      <c r="L976" t="n">
        <v>0</v>
      </c>
      <c r="M976" t="n">
        <v>0</v>
      </c>
      <c r="N976" t="n">
        <v>0</v>
      </c>
      <c r="O976" t="n">
        <v>0</v>
      </c>
      <c r="P976" t="n">
        <v>0</v>
      </c>
      <c r="Q976" t="n">
        <v>0</v>
      </c>
      <c r="R976" s="2" t="inlineStr"/>
    </row>
    <row r="977" ht="15" customHeight="1">
      <c r="A977" t="inlineStr">
        <is>
          <t>A 41439-2019</t>
        </is>
      </c>
      <c r="B977" s="1" t="n">
        <v>43698</v>
      </c>
      <c r="C977" s="1" t="n">
        <v>45190</v>
      </c>
      <c r="D977" t="inlineStr">
        <is>
          <t>SKÅNE LÄN</t>
        </is>
      </c>
      <c r="E977" t="inlineStr">
        <is>
          <t>HÄSSLEHOLM</t>
        </is>
      </c>
      <c r="G977" t="n">
        <v>0.8</v>
      </c>
      <c r="H977" t="n">
        <v>0</v>
      </c>
      <c r="I977" t="n">
        <v>0</v>
      </c>
      <c r="J977" t="n">
        <v>0</v>
      </c>
      <c r="K977" t="n">
        <v>0</v>
      </c>
      <c r="L977" t="n">
        <v>0</v>
      </c>
      <c r="M977" t="n">
        <v>0</v>
      </c>
      <c r="N977" t="n">
        <v>0</v>
      </c>
      <c r="O977" t="n">
        <v>0</v>
      </c>
      <c r="P977" t="n">
        <v>0</v>
      </c>
      <c r="Q977" t="n">
        <v>0</v>
      </c>
      <c r="R977" s="2" t="inlineStr"/>
    </row>
    <row r="978" ht="15" customHeight="1">
      <c r="A978" t="inlineStr">
        <is>
          <t>A 41353-2019</t>
        </is>
      </c>
      <c r="B978" s="1" t="n">
        <v>43698</v>
      </c>
      <c r="C978" s="1" t="n">
        <v>45190</v>
      </c>
      <c r="D978" t="inlineStr">
        <is>
          <t>SKÅNE LÄN</t>
        </is>
      </c>
      <c r="E978" t="inlineStr">
        <is>
          <t>ÖSTRA GÖINGE</t>
        </is>
      </c>
      <c r="G978" t="n">
        <v>5.7</v>
      </c>
      <c r="H978" t="n">
        <v>0</v>
      </c>
      <c r="I978" t="n">
        <v>0</v>
      </c>
      <c r="J978" t="n">
        <v>0</v>
      </c>
      <c r="K978" t="n">
        <v>0</v>
      </c>
      <c r="L978" t="n">
        <v>0</v>
      </c>
      <c r="M978" t="n">
        <v>0</v>
      </c>
      <c r="N978" t="n">
        <v>0</v>
      </c>
      <c r="O978" t="n">
        <v>0</v>
      </c>
      <c r="P978" t="n">
        <v>0</v>
      </c>
      <c r="Q978" t="n">
        <v>0</v>
      </c>
      <c r="R978" s="2" t="inlineStr"/>
    </row>
    <row r="979" ht="15" customHeight="1">
      <c r="A979" t="inlineStr">
        <is>
          <t>A 41580-2019</t>
        </is>
      </c>
      <c r="B979" s="1" t="n">
        <v>43699</v>
      </c>
      <c r="C979" s="1" t="n">
        <v>45190</v>
      </c>
      <c r="D979" t="inlineStr">
        <is>
          <t>SKÅNE LÄN</t>
        </is>
      </c>
      <c r="E979" t="inlineStr">
        <is>
          <t>ÖRKELLJUNGA</t>
        </is>
      </c>
      <c r="G979" t="n">
        <v>5.7</v>
      </c>
      <c r="H979" t="n">
        <v>0</v>
      </c>
      <c r="I979" t="n">
        <v>0</v>
      </c>
      <c r="J979" t="n">
        <v>0</v>
      </c>
      <c r="K979" t="n">
        <v>0</v>
      </c>
      <c r="L979" t="n">
        <v>0</v>
      </c>
      <c r="M979" t="n">
        <v>0</v>
      </c>
      <c r="N979" t="n">
        <v>0</v>
      </c>
      <c r="O979" t="n">
        <v>0</v>
      </c>
      <c r="P979" t="n">
        <v>0</v>
      </c>
      <c r="Q979" t="n">
        <v>0</v>
      </c>
      <c r="R979" s="2" t="inlineStr"/>
    </row>
    <row r="980" ht="15" customHeight="1">
      <c r="A980" t="inlineStr">
        <is>
          <t>A 42518-2019</t>
        </is>
      </c>
      <c r="B980" s="1" t="n">
        <v>43700</v>
      </c>
      <c r="C980" s="1" t="n">
        <v>45190</v>
      </c>
      <c r="D980" t="inlineStr">
        <is>
          <t>SKÅNE LÄN</t>
        </is>
      </c>
      <c r="E980" t="inlineStr">
        <is>
          <t>ESLÖV</t>
        </is>
      </c>
      <c r="G980" t="n">
        <v>5.8</v>
      </c>
      <c r="H980" t="n">
        <v>0</v>
      </c>
      <c r="I980" t="n">
        <v>0</v>
      </c>
      <c r="J980" t="n">
        <v>0</v>
      </c>
      <c r="K980" t="n">
        <v>0</v>
      </c>
      <c r="L980" t="n">
        <v>0</v>
      </c>
      <c r="M980" t="n">
        <v>0</v>
      </c>
      <c r="N980" t="n">
        <v>0</v>
      </c>
      <c r="O980" t="n">
        <v>0</v>
      </c>
      <c r="P980" t="n">
        <v>0</v>
      </c>
      <c r="Q980" t="n">
        <v>0</v>
      </c>
      <c r="R980" s="2" t="inlineStr"/>
    </row>
    <row r="981" ht="15" customHeight="1">
      <c r="A981" t="inlineStr">
        <is>
          <t>A 42554-2019</t>
        </is>
      </c>
      <c r="B981" s="1" t="n">
        <v>43700</v>
      </c>
      <c r="C981" s="1" t="n">
        <v>45190</v>
      </c>
      <c r="D981" t="inlineStr">
        <is>
          <t>SKÅNE LÄN</t>
        </is>
      </c>
      <c r="E981" t="inlineStr">
        <is>
          <t>KLIPPAN</t>
        </is>
      </c>
      <c r="F981" t="inlineStr">
        <is>
          <t>Övriga Aktiebolag</t>
        </is>
      </c>
      <c r="G981" t="n">
        <v>2.8</v>
      </c>
      <c r="H981" t="n">
        <v>0</v>
      </c>
      <c r="I981" t="n">
        <v>0</v>
      </c>
      <c r="J981" t="n">
        <v>0</v>
      </c>
      <c r="K981" t="n">
        <v>0</v>
      </c>
      <c r="L981" t="n">
        <v>0</v>
      </c>
      <c r="M981" t="n">
        <v>0</v>
      </c>
      <c r="N981" t="n">
        <v>0</v>
      </c>
      <c r="O981" t="n">
        <v>0</v>
      </c>
      <c r="P981" t="n">
        <v>0</v>
      </c>
      <c r="Q981" t="n">
        <v>0</v>
      </c>
      <c r="R981" s="2" t="inlineStr"/>
    </row>
    <row r="982" ht="15" customHeight="1">
      <c r="A982" t="inlineStr">
        <is>
          <t>A 41878-2019</t>
        </is>
      </c>
      <c r="B982" s="1" t="n">
        <v>43700</v>
      </c>
      <c r="C982" s="1" t="n">
        <v>45190</v>
      </c>
      <c r="D982" t="inlineStr">
        <is>
          <t>SKÅNE LÄN</t>
        </is>
      </c>
      <c r="E982" t="inlineStr">
        <is>
          <t>KRISTIANSTAD</t>
        </is>
      </c>
      <c r="G982" t="n">
        <v>1.2</v>
      </c>
      <c r="H982" t="n">
        <v>0</v>
      </c>
      <c r="I982" t="n">
        <v>0</v>
      </c>
      <c r="J982" t="n">
        <v>0</v>
      </c>
      <c r="K982" t="n">
        <v>0</v>
      </c>
      <c r="L982" t="n">
        <v>0</v>
      </c>
      <c r="M982" t="n">
        <v>0</v>
      </c>
      <c r="N982" t="n">
        <v>0</v>
      </c>
      <c r="O982" t="n">
        <v>0</v>
      </c>
      <c r="P982" t="n">
        <v>0</v>
      </c>
      <c r="Q982" t="n">
        <v>0</v>
      </c>
      <c r="R982" s="2" t="inlineStr"/>
    </row>
    <row r="983" ht="15" customHeight="1">
      <c r="A983" t="inlineStr">
        <is>
          <t>A 42548-2019</t>
        </is>
      </c>
      <c r="B983" s="1" t="n">
        <v>43700</v>
      </c>
      <c r="C983" s="1" t="n">
        <v>45190</v>
      </c>
      <c r="D983" t="inlineStr">
        <is>
          <t>SKÅNE LÄN</t>
        </is>
      </c>
      <c r="E983" t="inlineStr">
        <is>
          <t>KLIPPAN</t>
        </is>
      </c>
      <c r="F983" t="inlineStr">
        <is>
          <t>Övriga Aktiebolag</t>
        </is>
      </c>
      <c r="G983" t="n">
        <v>2.1</v>
      </c>
      <c r="H983" t="n">
        <v>0</v>
      </c>
      <c r="I983" t="n">
        <v>0</v>
      </c>
      <c r="J983" t="n">
        <v>0</v>
      </c>
      <c r="K983" t="n">
        <v>0</v>
      </c>
      <c r="L983" t="n">
        <v>0</v>
      </c>
      <c r="M983" t="n">
        <v>0</v>
      </c>
      <c r="N983" t="n">
        <v>0</v>
      </c>
      <c r="O983" t="n">
        <v>0</v>
      </c>
      <c r="P983" t="n">
        <v>0</v>
      </c>
      <c r="Q983" t="n">
        <v>0</v>
      </c>
      <c r="R983" s="2" t="inlineStr"/>
    </row>
    <row r="984" ht="15" customHeight="1">
      <c r="A984" t="inlineStr">
        <is>
          <t>A 42534-2019</t>
        </is>
      </c>
      <c r="B984" s="1" t="n">
        <v>43700</v>
      </c>
      <c r="C984" s="1" t="n">
        <v>45190</v>
      </c>
      <c r="D984" t="inlineStr">
        <is>
          <t>SKÅNE LÄN</t>
        </is>
      </c>
      <c r="E984" t="inlineStr">
        <is>
          <t>KLIPPAN</t>
        </is>
      </c>
      <c r="F984" t="inlineStr">
        <is>
          <t>Övriga Aktiebolag</t>
        </is>
      </c>
      <c r="G984" t="n">
        <v>1.8</v>
      </c>
      <c r="H984" t="n">
        <v>0</v>
      </c>
      <c r="I984" t="n">
        <v>0</v>
      </c>
      <c r="J984" t="n">
        <v>0</v>
      </c>
      <c r="K984" t="n">
        <v>0</v>
      </c>
      <c r="L984" t="n">
        <v>0</v>
      </c>
      <c r="M984" t="n">
        <v>0</v>
      </c>
      <c r="N984" t="n">
        <v>0</v>
      </c>
      <c r="O984" t="n">
        <v>0</v>
      </c>
      <c r="P984" t="n">
        <v>0</v>
      </c>
      <c r="Q984" t="n">
        <v>0</v>
      </c>
      <c r="R984" s="2" t="inlineStr"/>
    </row>
    <row r="985" ht="15" customHeight="1">
      <c r="A985" t="inlineStr">
        <is>
          <t>A 42557-2019</t>
        </is>
      </c>
      <c r="B985" s="1" t="n">
        <v>43700</v>
      </c>
      <c r="C985" s="1" t="n">
        <v>45190</v>
      </c>
      <c r="D985" t="inlineStr">
        <is>
          <t>SKÅNE LÄN</t>
        </is>
      </c>
      <c r="E985" t="inlineStr">
        <is>
          <t>KLIPPAN</t>
        </is>
      </c>
      <c r="F985" t="inlineStr">
        <is>
          <t>Övriga Aktiebolag</t>
        </is>
      </c>
      <c r="G985" t="n">
        <v>2.5</v>
      </c>
      <c r="H985" t="n">
        <v>0</v>
      </c>
      <c r="I985" t="n">
        <v>0</v>
      </c>
      <c r="J985" t="n">
        <v>0</v>
      </c>
      <c r="K985" t="n">
        <v>0</v>
      </c>
      <c r="L985" t="n">
        <v>0</v>
      </c>
      <c r="M985" t="n">
        <v>0</v>
      </c>
      <c r="N985" t="n">
        <v>0</v>
      </c>
      <c r="O985" t="n">
        <v>0</v>
      </c>
      <c r="P985" t="n">
        <v>0</v>
      </c>
      <c r="Q985" t="n">
        <v>0</v>
      </c>
      <c r="R985" s="2" t="inlineStr"/>
    </row>
    <row r="986" ht="15" customHeight="1">
      <c r="A986" t="inlineStr">
        <is>
          <t>A 42544-2019</t>
        </is>
      </c>
      <c r="B986" s="1" t="n">
        <v>43700</v>
      </c>
      <c r="C986" s="1" t="n">
        <v>45190</v>
      </c>
      <c r="D986" t="inlineStr">
        <is>
          <t>SKÅNE LÄN</t>
        </is>
      </c>
      <c r="E986" t="inlineStr">
        <is>
          <t>KLIPPAN</t>
        </is>
      </c>
      <c r="F986" t="inlineStr">
        <is>
          <t>Övriga Aktiebolag</t>
        </is>
      </c>
      <c r="G986" t="n">
        <v>4.9</v>
      </c>
      <c r="H986" t="n">
        <v>0</v>
      </c>
      <c r="I986" t="n">
        <v>0</v>
      </c>
      <c r="J986" t="n">
        <v>0</v>
      </c>
      <c r="K986" t="n">
        <v>0</v>
      </c>
      <c r="L986" t="n">
        <v>0</v>
      </c>
      <c r="M986" t="n">
        <v>0</v>
      </c>
      <c r="N986" t="n">
        <v>0</v>
      </c>
      <c r="O986" t="n">
        <v>0</v>
      </c>
      <c r="P986" t="n">
        <v>0</v>
      </c>
      <c r="Q986" t="n">
        <v>0</v>
      </c>
      <c r="R986" s="2" t="inlineStr"/>
    </row>
    <row r="987" ht="15" customHeight="1">
      <c r="A987" t="inlineStr">
        <is>
          <t>A 43674-2019</t>
        </is>
      </c>
      <c r="B987" s="1" t="n">
        <v>43704</v>
      </c>
      <c r="C987" s="1" t="n">
        <v>45190</v>
      </c>
      <c r="D987" t="inlineStr">
        <is>
          <t>SKÅNE LÄN</t>
        </is>
      </c>
      <c r="E987" t="inlineStr">
        <is>
          <t>HÄSSLEHOLM</t>
        </is>
      </c>
      <c r="G987" t="n">
        <v>5.3</v>
      </c>
      <c r="H987" t="n">
        <v>0</v>
      </c>
      <c r="I987" t="n">
        <v>0</v>
      </c>
      <c r="J987" t="n">
        <v>0</v>
      </c>
      <c r="K987" t="n">
        <v>0</v>
      </c>
      <c r="L987" t="n">
        <v>0</v>
      </c>
      <c r="M987" t="n">
        <v>0</v>
      </c>
      <c r="N987" t="n">
        <v>0</v>
      </c>
      <c r="O987" t="n">
        <v>0</v>
      </c>
      <c r="P987" t="n">
        <v>0</v>
      </c>
      <c r="Q987" t="n">
        <v>0</v>
      </c>
      <c r="R987" s="2" t="inlineStr"/>
    </row>
    <row r="988" ht="15" customHeight="1">
      <c r="A988" t="inlineStr">
        <is>
          <t>A 42552-2019</t>
        </is>
      </c>
      <c r="B988" s="1" t="n">
        <v>43704</v>
      </c>
      <c r="C988" s="1" t="n">
        <v>45190</v>
      </c>
      <c r="D988" t="inlineStr">
        <is>
          <t>SKÅNE LÄN</t>
        </is>
      </c>
      <c r="E988" t="inlineStr">
        <is>
          <t>OSBY</t>
        </is>
      </c>
      <c r="G988" t="n">
        <v>2.7</v>
      </c>
      <c r="H988" t="n">
        <v>0</v>
      </c>
      <c r="I988" t="n">
        <v>0</v>
      </c>
      <c r="J988" t="n">
        <v>0</v>
      </c>
      <c r="K988" t="n">
        <v>0</v>
      </c>
      <c r="L988" t="n">
        <v>0</v>
      </c>
      <c r="M988" t="n">
        <v>0</v>
      </c>
      <c r="N988" t="n">
        <v>0</v>
      </c>
      <c r="O988" t="n">
        <v>0</v>
      </c>
      <c r="P988" t="n">
        <v>0</v>
      </c>
      <c r="Q988" t="n">
        <v>0</v>
      </c>
      <c r="R988" s="2" t="inlineStr"/>
    </row>
    <row r="989" ht="15" customHeight="1">
      <c r="A989" t="inlineStr">
        <is>
          <t>A 42674-2019</t>
        </is>
      </c>
      <c r="B989" s="1" t="n">
        <v>43704</v>
      </c>
      <c r="C989" s="1" t="n">
        <v>45190</v>
      </c>
      <c r="D989" t="inlineStr">
        <is>
          <t>SKÅNE LÄN</t>
        </is>
      </c>
      <c r="E989" t="inlineStr">
        <is>
          <t>OSBY</t>
        </is>
      </c>
      <c r="G989" t="n">
        <v>1</v>
      </c>
      <c r="H989" t="n">
        <v>0</v>
      </c>
      <c r="I989" t="n">
        <v>0</v>
      </c>
      <c r="J989" t="n">
        <v>0</v>
      </c>
      <c r="K989" t="n">
        <v>0</v>
      </c>
      <c r="L989" t="n">
        <v>0</v>
      </c>
      <c r="M989" t="n">
        <v>0</v>
      </c>
      <c r="N989" t="n">
        <v>0</v>
      </c>
      <c r="O989" t="n">
        <v>0</v>
      </c>
      <c r="P989" t="n">
        <v>0</v>
      </c>
      <c r="Q989" t="n">
        <v>0</v>
      </c>
      <c r="R989" s="2" t="inlineStr"/>
    </row>
    <row r="990" ht="15" customHeight="1">
      <c r="A990" t="inlineStr">
        <is>
          <t>A 42696-2019</t>
        </is>
      </c>
      <c r="B990" s="1" t="n">
        <v>43704</v>
      </c>
      <c r="C990" s="1" t="n">
        <v>45190</v>
      </c>
      <c r="D990" t="inlineStr">
        <is>
          <t>SKÅNE LÄN</t>
        </is>
      </c>
      <c r="E990" t="inlineStr">
        <is>
          <t>OSBY</t>
        </is>
      </c>
      <c r="G990" t="n">
        <v>0.7</v>
      </c>
      <c r="H990" t="n">
        <v>0</v>
      </c>
      <c r="I990" t="n">
        <v>0</v>
      </c>
      <c r="J990" t="n">
        <v>0</v>
      </c>
      <c r="K990" t="n">
        <v>0</v>
      </c>
      <c r="L990" t="n">
        <v>0</v>
      </c>
      <c r="M990" t="n">
        <v>0</v>
      </c>
      <c r="N990" t="n">
        <v>0</v>
      </c>
      <c r="O990" t="n">
        <v>0</v>
      </c>
      <c r="P990" t="n">
        <v>0</v>
      </c>
      <c r="Q990" t="n">
        <v>0</v>
      </c>
      <c r="R990" s="2" t="inlineStr"/>
    </row>
    <row r="991" ht="15" customHeight="1">
      <c r="A991" t="inlineStr">
        <is>
          <t>A 42742-2019</t>
        </is>
      </c>
      <c r="B991" s="1" t="n">
        <v>43704</v>
      </c>
      <c r="C991" s="1" t="n">
        <v>45190</v>
      </c>
      <c r="D991" t="inlineStr">
        <is>
          <t>SKÅNE LÄN</t>
        </is>
      </c>
      <c r="E991" t="inlineStr">
        <is>
          <t>OSBY</t>
        </is>
      </c>
      <c r="G991" t="n">
        <v>1.2</v>
      </c>
      <c r="H991" t="n">
        <v>0</v>
      </c>
      <c r="I991" t="n">
        <v>0</v>
      </c>
      <c r="J991" t="n">
        <v>0</v>
      </c>
      <c r="K991" t="n">
        <v>0</v>
      </c>
      <c r="L991" t="n">
        <v>0</v>
      </c>
      <c r="M991" t="n">
        <v>0</v>
      </c>
      <c r="N991" t="n">
        <v>0</v>
      </c>
      <c r="O991" t="n">
        <v>0</v>
      </c>
      <c r="P991" t="n">
        <v>0</v>
      </c>
      <c r="Q991" t="n">
        <v>0</v>
      </c>
      <c r="R991" s="2" t="inlineStr"/>
    </row>
    <row r="992" ht="15" customHeight="1">
      <c r="A992" t="inlineStr">
        <is>
          <t>A 43133-2019</t>
        </is>
      </c>
      <c r="B992" s="1" t="n">
        <v>43705</v>
      </c>
      <c r="C992" s="1" t="n">
        <v>45190</v>
      </c>
      <c r="D992" t="inlineStr">
        <is>
          <t>SKÅNE LÄN</t>
        </is>
      </c>
      <c r="E992" t="inlineStr">
        <is>
          <t>SVALÖV</t>
        </is>
      </c>
      <c r="G992" t="n">
        <v>1.5</v>
      </c>
      <c r="H992" t="n">
        <v>0</v>
      </c>
      <c r="I992" t="n">
        <v>0</v>
      </c>
      <c r="J992" t="n">
        <v>0</v>
      </c>
      <c r="K992" t="n">
        <v>0</v>
      </c>
      <c r="L992" t="n">
        <v>0</v>
      </c>
      <c r="M992" t="n">
        <v>0</v>
      </c>
      <c r="N992" t="n">
        <v>0</v>
      </c>
      <c r="O992" t="n">
        <v>0</v>
      </c>
      <c r="P992" t="n">
        <v>0</v>
      </c>
      <c r="Q992" t="n">
        <v>0</v>
      </c>
      <c r="R992" s="2" t="inlineStr"/>
    </row>
    <row r="993" ht="15" customHeight="1">
      <c r="A993" t="inlineStr">
        <is>
          <t>A 44449-2019</t>
        </is>
      </c>
      <c r="B993" s="1" t="n">
        <v>43705</v>
      </c>
      <c r="C993" s="1" t="n">
        <v>45190</v>
      </c>
      <c r="D993" t="inlineStr">
        <is>
          <t>SKÅNE LÄN</t>
        </is>
      </c>
      <c r="E993" t="inlineStr">
        <is>
          <t>ÖSTRA GÖINGE</t>
        </is>
      </c>
      <c r="G993" t="n">
        <v>1.3</v>
      </c>
      <c r="H993" t="n">
        <v>0</v>
      </c>
      <c r="I993" t="n">
        <v>0</v>
      </c>
      <c r="J993" t="n">
        <v>0</v>
      </c>
      <c r="K993" t="n">
        <v>0</v>
      </c>
      <c r="L993" t="n">
        <v>0</v>
      </c>
      <c r="M993" t="n">
        <v>0</v>
      </c>
      <c r="N993" t="n">
        <v>0</v>
      </c>
      <c r="O993" t="n">
        <v>0</v>
      </c>
      <c r="P993" t="n">
        <v>0</v>
      </c>
      <c r="Q993" t="n">
        <v>0</v>
      </c>
      <c r="R993" s="2" t="inlineStr"/>
    </row>
    <row r="994" ht="15" customHeight="1">
      <c r="A994" t="inlineStr">
        <is>
          <t>A 43405-2019</t>
        </is>
      </c>
      <c r="B994" s="1" t="n">
        <v>43706</v>
      </c>
      <c r="C994" s="1" t="n">
        <v>45190</v>
      </c>
      <c r="D994" t="inlineStr">
        <is>
          <t>SKÅNE LÄN</t>
        </is>
      </c>
      <c r="E994" t="inlineStr">
        <is>
          <t>ÄNGELHOLM</t>
        </is>
      </c>
      <c r="G994" t="n">
        <v>0.5</v>
      </c>
      <c r="H994" t="n">
        <v>0</v>
      </c>
      <c r="I994" t="n">
        <v>0</v>
      </c>
      <c r="J994" t="n">
        <v>0</v>
      </c>
      <c r="K994" t="n">
        <v>0</v>
      </c>
      <c r="L994" t="n">
        <v>0</v>
      </c>
      <c r="M994" t="n">
        <v>0</v>
      </c>
      <c r="N994" t="n">
        <v>0</v>
      </c>
      <c r="O994" t="n">
        <v>0</v>
      </c>
      <c r="P994" t="n">
        <v>0</v>
      </c>
      <c r="Q994" t="n">
        <v>0</v>
      </c>
      <c r="R994" s="2" t="inlineStr"/>
    </row>
    <row r="995" ht="15" customHeight="1">
      <c r="A995" t="inlineStr">
        <is>
          <t>A 43547-2019</t>
        </is>
      </c>
      <c r="B995" s="1" t="n">
        <v>43706</v>
      </c>
      <c r="C995" s="1" t="n">
        <v>45190</v>
      </c>
      <c r="D995" t="inlineStr">
        <is>
          <t>SKÅNE LÄN</t>
        </is>
      </c>
      <c r="E995" t="inlineStr">
        <is>
          <t>HÄSSLEHOLM</t>
        </is>
      </c>
      <c r="G995" t="n">
        <v>1.7</v>
      </c>
      <c r="H995" t="n">
        <v>0</v>
      </c>
      <c r="I995" t="n">
        <v>0</v>
      </c>
      <c r="J995" t="n">
        <v>0</v>
      </c>
      <c r="K995" t="n">
        <v>0</v>
      </c>
      <c r="L995" t="n">
        <v>0</v>
      </c>
      <c r="M995" t="n">
        <v>0</v>
      </c>
      <c r="N995" t="n">
        <v>0</v>
      </c>
      <c r="O995" t="n">
        <v>0</v>
      </c>
      <c r="P995" t="n">
        <v>0</v>
      </c>
      <c r="Q995" t="n">
        <v>0</v>
      </c>
      <c r="R995" s="2" t="inlineStr"/>
    </row>
    <row r="996" ht="15" customHeight="1">
      <c r="A996" t="inlineStr">
        <is>
          <t>A 44573-2019</t>
        </is>
      </c>
      <c r="B996" s="1" t="n">
        <v>43706</v>
      </c>
      <c r="C996" s="1" t="n">
        <v>45190</v>
      </c>
      <c r="D996" t="inlineStr">
        <is>
          <t>SKÅNE LÄN</t>
        </is>
      </c>
      <c r="E996" t="inlineStr">
        <is>
          <t>ÖRKELLJUNGA</t>
        </is>
      </c>
      <c r="G996" t="n">
        <v>2.6</v>
      </c>
      <c r="H996" t="n">
        <v>0</v>
      </c>
      <c r="I996" t="n">
        <v>0</v>
      </c>
      <c r="J996" t="n">
        <v>0</v>
      </c>
      <c r="K996" t="n">
        <v>0</v>
      </c>
      <c r="L996" t="n">
        <v>0</v>
      </c>
      <c r="M996" t="n">
        <v>0</v>
      </c>
      <c r="N996" t="n">
        <v>0</v>
      </c>
      <c r="O996" t="n">
        <v>0</v>
      </c>
      <c r="P996" t="n">
        <v>0</v>
      </c>
      <c r="Q996" t="n">
        <v>0</v>
      </c>
      <c r="R996" s="2" t="inlineStr"/>
    </row>
    <row r="997" ht="15" customHeight="1">
      <c r="A997" t="inlineStr">
        <is>
          <t>A 43407-2019</t>
        </is>
      </c>
      <c r="B997" s="1" t="n">
        <v>43706</v>
      </c>
      <c r="C997" s="1" t="n">
        <v>45190</v>
      </c>
      <c r="D997" t="inlineStr">
        <is>
          <t>SKÅNE LÄN</t>
        </is>
      </c>
      <c r="E997" t="inlineStr">
        <is>
          <t>ÄNGELHOLM</t>
        </is>
      </c>
      <c r="G997" t="n">
        <v>0.6</v>
      </c>
      <c r="H997" t="n">
        <v>0</v>
      </c>
      <c r="I997" t="n">
        <v>0</v>
      </c>
      <c r="J997" t="n">
        <v>0</v>
      </c>
      <c r="K997" t="n">
        <v>0</v>
      </c>
      <c r="L997" t="n">
        <v>0</v>
      </c>
      <c r="M997" t="n">
        <v>0</v>
      </c>
      <c r="N997" t="n">
        <v>0</v>
      </c>
      <c r="O997" t="n">
        <v>0</v>
      </c>
      <c r="P997" t="n">
        <v>0</v>
      </c>
      <c r="Q997" t="n">
        <v>0</v>
      </c>
      <c r="R997" s="2" t="inlineStr"/>
    </row>
    <row r="998" ht="15" customHeight="1">
      <c r="A998" t="inlineStr">
        <is>
          <t>A 43555-2019</t>
        </is>
      </c>
      <c r="B998" s="1" t="n">
        <v>43706</v>
      </c>
      <c r="C998" s="1" t="n">
        <v>45190</v>
      </c>
      <c r="D998" t="inlineStr">
        <is>
          <t>SKÅNE LÄN</t>
        </is>
      </c>
      <c r="E998" t="inlineStr">
        <is>
          <t>OSBY</t>
        </is>
      </c>
      <c r="G998" t="n">
        <v>1</v>
      </c>
      <c r="H998" t="n">
        <v>0</v>
      </c>
      <c r="I998" t="n">
        <v>0</v>
      </c>
      <c r="J998" t="n">
        <v>0</v>
      </c>
      <c r="K998" t="n">
        <v>0</v>
      </c>
      <c r="L998" t="n">
        <v>0</v>
      </c>
      <c r="M998" t="n">
        <v>0</v>
      </c>
      <c r="N998" t="n">
        <v>0</v>
      </c>
      <c r="O998" t="n">
        <v>0</v>
      </c>
      <c r="P998" t="n">
        <v>0</v>
      </c>
      <c r="Q998" t="n">
        <v>0</v>
      </c>
      <c r="R998" s="2" t="inlineStr"/>
    </row>
    <row r="999" ht="15" customHeight="1">
      <c r="A999" t="inlineStr">
        <is>
          <t>A 44456-2019</t>
        </is>
      </c>
      <c r="B999" s="1" t="n">
        <v>43706</v>
      </c>
      <c r="C999" s="1" t="n">
        <v>45190</v>
      </c>
      <c r="D999" t="inlineStr">
        <is>
          <t>SKÅNE LÄN</t>
        </is>
      </c>
      <c r="E999" t="inlineStr">
        <is>
          <t>KLIPPAN</t>
        </is>
      </c>
      <c r="G999" t="n">
        <v>1.1</v>
      </c>
      <c r="H999" t="n">
        <v>0</v>
      </c>
      <c r="I999" t="n">
        <v>0</v>
      </c>
      <c r="J999" t="n">
        <v>0</v>
      </c>
      <c r="K999" t="n">
        <v>0</v>
      </c>
      <c r="L999" t="n">
        <v>0</v>
      </c>
      <c r="M999" t="n">
        <v>0</v>
      </c>
      <c r="N999" t="n">
        <v>0</v>
      </c>
      <c r="O999" t="n">
        <v>0</v>
      </c>
      <c r="P999" t="n">
        <v>0</v>
      </c>
      <c r="Q999" t="n">
        <v>0</v>
      </c>
      <c r="R999" s="2" t="inlineStr"/>
    </row>
    <row r="1000" ht="15" customHeight="1">
      <c r="A1000" t="inlineStr">
        <is>
          <t>A 44783-2019</t>
        </is>
      </c>
      <c r="B1000" s="1" t="n">
        <v>43707</v>
      </c>
      <c r="C1000" s="1" t="n">
        <v>45190</v>
      </c>
      <c r="D1000" t="inlineStr">
        <is>
          <t>SKÅNE LÄN</t>
        </is>
      </c>
      <c r="E1000" t="inlineStr">
        <is>
          <t>LUND</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45090-2019</t>
        </is>
      </c>
      <c r="B1001" s="1" t="n">
        <v>43707</v>
      </c>
      <c r="C1001" s="1" t="n">
        <v>45190</v>
      </c>
      <c r="D1001" t="inlineStr">
        <is>
          <t>SKÅNE LÄN</t>
        </is>
      </c>
      <c r="E1001" t="inlineStr">
        <is>
          <t>ESLÖV</t>
        </is>
      </c>
      <c r="G1001" t="n">
        <v>7</v>
      </c>
      <c r="H1001" t="n">
        <v>0</v>
      </c>
      <c r="I1001" t="n">
        <v>0</v>
      </c>
      <c r="J1001" t="n">
        <v>0</v>
      </c>
      <c r="K1001" t="n">
        <v>0</v>
      </c>
      <c r="L1001" t="n">
        <v>0</v>
      </c>
      <c r="M1001" t="n">
        <v>0</v>
      </c>
      <c r="N1001" t="n">
        <v>0</v>
      </c>
      <c r="O1001" t="n">
        <v>0</v>
      </c>
      <c r="P1001" t="n">
        <v>0</v>
      </c>
      <c r="Q1001" t="n">
        <v>0</v>
      </c>
      <c r="R1001" s="2" t="inlineStr"/>
    </row>
    <row r="1002" ht="15" customHeight="1">
      <c r="A1002" t="inlineStr">
        <is>
          <t>A 44032-2019</t>
        </is>
      </c>
      <c r="B1002" s="1" t="n">
        <v>43710</v>
      </c>
      <c r="C1002" s="1" t="n">
        <v>45190</v>
      </c>
      <c r="D1002" t="inlineStr">
        <is>
          <t>SKÅNE LÄN</t>
        </is>
      </c>
      <c r="E1002" t="inlineStr">
        <is>
          <t>HÄSSLEHOLM</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45435-2019</t>
        </is>
      </c>
      <c r="B1003" s="1" t="n">
        <v>43710</v>
      </c>
      <c r="C1003" s="1" t="n">
        <v>45190</v>
      </c>
      <c r="D1003" t="inlineStr">
        <is>
          <t>SKÅNE LÄN</t>
        </is>
      </c>
      <c r="E1003" t="inlineStr">
        <is>
          <t>ÖSTRA GÖINGE</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44255-2019</t>
        </is>
      </c>
      <c r="B1004" s="1" t="n">
        <v>43710</v>
      </c>
      <c r="C1004" s="1" t="n">
        <v>45190</v>
      </c>
      <c r="D1004" t="inlineStr">
        <is>
          <t>SKÅNE LÄN</t>
        </is>
      </c>
      <c r="E1004" t="inlineStr">
        <is>
          <t>HÄSSLEHOLM</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44256-2019</t>
        </is>
      </c>
      <c r="B1005" s="1" t="n">
        <v>43710</v>
      </c>
      <c r="C1005" s="1" t="n">
        <v>45190</v>
      </c>
      <c r="D1005" t="inlineStr">
        <is>
          <t>SKÅNE LÄN</t>
        </is>
      </c>
      <c r="E1005" t="inlineStr">
        <is>
          <t>HÄSSLEHOLM</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44546-2019</t>
        </is>
      </c>
      <c r="B1006" s="1" t="n">
        <v>43711</v>
      </c>
      <c r="C1006" s="1" t="n">
        <v>45190</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45811-2019</t>
        </is>
      </c>
      <c r="B1007" s="1" t="n">
        <v>43711</v>
      </c>
      <c r="C1007" s="1" t="n">
        <v>45190</v>
      </c>
      <c r="D1007" t="inlineStr">
        <is>
          <t>SKÅNE LÄN</t>
        </is>
      </c>
      <c r="E1007" t="inlineStr">
        <is>
          <t>HÄSSLEHOLM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44373-2019</t>
        </is>
      </c>
      <c r="B1008" s="1" t="n">
        <v>43711</v>
      </c>
      <c r="C1008" s="1" t="n">
        <v>45190</v>
      </c>
      <c r="D1008" t="inlineStr">
        <is>
          <t>SKÅNE LÄN</t>
        </is>
      </c>
      <c r="E1008" t="inlineStr">
        <is>
          <t>OSBY</t>
        </is>
      </c>
      <c r="F1008" t="inlineStr">
        <is>
          <t>Sveaskog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45843-2019</t>
        </is>
      </c>
      <c r="B1009" s="1" t="n">
        <v>43711</v>
      </c>
      <c r="C1009" s="1" t="n">
        <v>45190</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44346-2019</t>
        </is>
      </c>
      <c r="B1010" s="1" t="n">
        <v>43711</v>
      </c>
      <c r="C1010" s="1" t="n">
        <v>45190</v>
      </c>
      <c r="D1010" t="inlineStr">
        <is>
          <t>SKÅNE LÄN</t>
        </is>
      </c>
      <c r="E1010" t="inlineStr">
        <is>
          <t>OSBY</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44368-2019</t>
        </is>
      </c>
      <c r="B1011" s="1" t="n">
        <v>43711</v>
      </c>
      <c r="C1011" s="1" t="n">
        <v>45190</v>
      </c>
      <c r="D1011" t="inlineStr">
        <is>
          <t>SKÅNE LÄN</t>
        </is>
      </c>
      <c r="E1011" t="inlineStr">
        <is>
          <t>OSBY</t>
        </is>
      </c>
      <c r="F1011" t="inlineStr">
        <is>
          <t>Sveaskog</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44534-2019</t>
        </is>
      </c>
      <c r="B1012" s="1" t="n">
        <v>43711</v>
      </c>
      <c r="C1012" s="1" t="n">
        <v>45190</v>
      </c>
      <c r="D1012" t="inlineStr">
        <is>
          <t>SKÅNE LÄN</t>
        </is>
      </c>
      <c r="E1012" t="inlineStr">
        <is>
          <t>OSBY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44493-2019</t>
        </is>
      </c>
      <c r="B1013" s="1" t="n">
        <v>43711</v>
      </c>
      <c r="C1013" s="1" t="n">
        <v>45190</v>
      </c>
      <c r="D1013" t="inlineStr">
        <is>
          <t>SKÅNE LÄN</t>
        </is>
      </c>
      <c r="E1013" t="inlineStr">
        <is>
          <t>OSBY</t>
        </is>
      </c>
      <c r="F1013" t="inlineStr">
        <is>
          <t>Naturvårdsverket</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44532-2019</t>
        </is>
      </c>
      <c r="B1014" s="1" t="n">
        <v>43711</v>
      </c>
      <c r="C1014" s="1" t="n">
        <v>45190</v>
      </c>
      <c r="D1014" t="inlineStr">
        <is>
          <t>SKÅNE LÄN</t>
        </is>
      </c>
      <c r="E1014" t="inlineStr">
        <is>
          <t>OSBY</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44543-2019</t>
        </is>
      </c>
      <c r="B1015" s="1" t="n">
        <v>43711</v>
      </c>
      <c r="C1015" s="1" t="n">
        <v>45190</v>
      </c>
      <c r="D1015" t="inlineStr">
        <is>
          <t>SKÅNE LÄN</t>
        </is>
      </c>
      <c r="E1015" t="inlineStr">
        <is>
          <t>HÄSSLEHOLM</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44800-2019</t>
        </is>
      </c>
      <c r="B1016" s="1" t="n">
        <v>43712</v>
      </c>
      <c r="C1016" s="1" t="n">
        <v>45190</v>
      </c>
      <c r="D1016" t="inlineStr">
        <is>
          <t>SKÅNE LÄN</t>
        </is>
      </c>
      <c r="E1016" t="inlineStr">
        <is>
          <t>KRISTIANSTAD</t>
        </is>
      </c>
      <c r="G1016" t="n">
        <v>3.8</v>
      </c>
      <c r="H1016" t="n">
        <v>0</v>
      </c>
      <c r="I1016" t="n">
        <v>0</v>
      </c>
      <c r="J1016" t="n">
        <v>0</v>
      </c>
      <c r="K1016" t="n">
        <v>0</v>
      </c>
      <c r="L1016" t="n">
        <v>0</v>
      </c>
      <c r="M1016" t="n">
        <v>0</v>
      </c>
      <c r="N1016" t="n">
        <v>0</v>
      </c>
      <c r="O1016" t="n">
        <v>0</v>
      </c>
      <c r="P1016" t="n">
        <v>0</v>
      </c>
      <c r="Q1016" t="n">
        <v>0</v>
      </c>
      <c r="R1016" s="2" t="inlineStr"/>
    </row>
    <row r="1017" ht="15" customHeight="1">
      <c r="A1017" t="inlineStr">
        <is>
          <t>A 45939-2019</t>
        </is>
      </c>
      <c r="B1017" s="1" t="n">
        <v>43712</v>
      </c>
      <c r="C1017" s="1" t="n">
        <v>45190</v>
      </c>
      <c r="D1017" t="inlineStr">
        <is>
          <t>SKÅNE LÄN</t>
        </is>
      </c>
      <c r="E1017" t="inlineStr">
        <is>
          <t>KLIPPAN</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44777-2019</t>
        </is>
      </c>
      <c r="B1018" s="1" t="n">
        <v>43712</v>
      </c>
      <c r="C1018" s="1" t="n">
        <v>45190</v>
      </c>
      <c r="D1018" t="inlineStr">
        <is>
          <t>SKÅNE LÄN</t>
        </is>
      </c>
      <c r="E1018" t="inlineStr">
        <is>
          <t>HÖRBY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45867-2019</t>
        </is>
      </c>
      <c r="B1019" s="1" t="n">
        <v>43712</v>
      </c>
      <c r="C1019" s="1" t="n">
        <v>45190</v>
      </c>
      <c r="D1019" t="inlineStr">
        <is>
          <t>SKÅNE LÄN</t>
        </is>
      </c>
      <c r="E1019" t="inlineStr">
        <is>
          <t>OSBY</t>
        </is>
      </c>
      <c r="F1019" t="inlineStr">
        <is>
          <t>Sveaskog</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44831-2019</t>
        </is>
      </c>
      <c r="B1020" s="1" t="n">
        <v>43712</v>
      </c>
      <c r="C1020" s="1" t="n">
        <v>45190</v>
      </c>
      <c r="D1020" t="inlineStr">
        <is>
          <t>SKÅNE LÄN</t>
        </is>
      </c>
      <c r="E1020" t="inlineStr">
        <is>
          <t>OSBY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45734-2019</t>
        </is>
      </c>
      <c r="B1021" s="1" t="n">
        <v>43712</v>
      </c>
      <c r="C1021" s="1" t="n">
        <v>45190</v>
      </c>
      <c r="D1021" t="inlineStr">
        <is>
          <t>SKÅNE LÄN</t>
        </is>
      </c>
      <c r="E1021" t="inlineStr">
        <is>
          <t>ÄNGELHOLM</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46237-2019</t>
        </is>
      </c>
      <c r="B1022" s="1" t="n">
        <v>43713</v>
      </c>
      <c r="C1022" s="1" t="n">
        <v>45190</v>
      </c>
      <c r="D1022" t="inlineStr">
        <is>
          <t>SKÅNE LÄN</t>
        </is>
      </c>
      <c r="E1022" t="inlineStr">
        <is>
          <t>ÖSTRA GÖINGE</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45069-2019</t>
        </is>
      </c>
      <c r="B1023" s="1" t="n">
        <v>43713</v>
      </c>
      <c r="C1023" s="1" t="n">
        <v>45190</v>
      </c>
      <c r="D1023" t="inlineStr">
        <is>
          <t>SKÅNE LÄN</t>
        </is>
      </c>
      <c r="E1023" t="inlineStr">
        <is>
          <t>ÖRKELLJUNGA</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45213-2019</t>
        </is>
      </c>
      <c r="B1024" s="1" t="n">
        <v>43713</v>
      </c>
      <c r="C1024" s="1" t="n">
        <v>45190</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46216-2019</t>
        </is>
      </c>
      <c r="B1025" s="1" t="n">
        <v>43713</v>
      </c>
      <c r="C1025" s="1" t="n">
        <v>45190</v>
      </c>
      <c r="D1025" t="inlineStr">
        <is>
          <t>SKÅNE LÄN</t>
        </is>
      </c>
      <c r="E1025" t="inlineStr">
        <is>
          <t>SVEDALA</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45238-2019</t>
        </is>
      </c>
      <c r="B1026" s="1" t="n">
        <v>43713</v>
      </c>
      <c r="C1026" s="1" t="n">
        <v>45190</v>
      </c>
      <c r="D1026" t="inlineStr">
        <is>
          <t>SKÅNE LÄN</t>
        </is>
      </c>
      <c r="E1026" t="inlineStr">
        <is>
          <t>HÄSSLEHOLM</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45970-2019</t>
        </is>
      </c>
      <c r="B1027" s="1" t="n">
        <v>43713</v>
      </c>
      <c r="C1027" s="1" t="n">
        <v>45190</v>
      </c>
      <c r="D1027" t="inlineStr">
        <is>
          <t>SKÅNE LÄN</t>
        </is>
      </c>
      <c r="E1027" t="inlineStr">
        <is>
          <t>ESLÖV</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45372-2019</t>
        </is>
      </c>
      <c r="B1028" s="1" t="n">
        <v>43714</v>
      </c>
      <c r="C1028" s="1" t="n">
        <v>45190</v>
      </c>
      <c r="D1028" t="inlineStr">
        <is>
          <t>SKÅNE LÄN</t>
        </is>
      </c>
      <c r="E1028" t="inlineStr">
        <is>
          <t>LUND</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45395-2019</t>
        </is>
      </c>
      <c r="B1029" s="1" t="n">
        <v>43714</v>
      </c>
      <c r="C1029" s="1" t="n">
        <v>45190</v>
      </c>
      <c r="D1029" t="inlineStr">
        <is>
          <t>SKÅNE LÄN</t>
        </is>
      </c>
      <c r="E1029" t="inlineStr">
        <is>
          <t>KLIPPAN</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45374-2019</t>
        </is>
      </c>
      <c r="B1030" s="1" t="n">
        <v>43714</v>
      </c>
      <c r="C1030" s="1" t="n">
        <v>45190</v>
      </c>
      <c r="D1030" t="inlineStr">
        <is>
          <t>SKÅNE LÄN</t>
        </is>
      </c>
      <c r="E1030" t="inlineStr">
        <is>
          <t>LUND</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45308-2019</t>
        </is>
      </c>
      <c r="B1031" s="1" t="n">
        <v>43714</v>
      </c>
      <c r="C1031" s="1" t="n">
        <v>45190</v>
      </c>
      <c r="D1031" t="inlineStr">
        <is>
          <t>SKÅNE LÄN</t>
        </is>
      </c>
      <c r="E1031" t="inlineStr">
        <is>
          <t>OSBY</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45391-2019</t>
        </is>
      </c>
      <c r="B1032" s="1" t="n">
        <v>43714</v>
      </c>
      <c r="C1032" s="1" t="n">
        <v>45190</v>
      </c>
      <c r="D1032" t="inlineStr">
        <is>
          <t>SKÅNE LÄN</t>
        </is>
      </c>
      <c r="E1032" t="inlineStr">
        <is>
          <t>KLIPPAN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45836-2019</t>
        </is>
      </c>
      <c r="B1033" s="1" t="n">
        <v>43717</v>
      </c>
      <c r="C1033" s="1" t="n">
        <v>45190</v>
      </c>
      <c r="D1033" t="inlineStr">
        <is>
          <t>SKÅNE LÄN</t>
        </is>
      </c>
      <c r="E1033" t="inlineStr">
        <is>
          <t>HÄSSLEHOLM</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46520-2019</t>
        </is>
      </c>
      <c r="B1034" s="1" t="n">
        <v>43717</v>
      </c>
      <c r="C1034" s="1" t="n">
        <v>45190</v>
      </c>
      <c r="D1034" t="inlineStr">
        <is>
          <t>SKÅNE LÄN</t>
        </is>
      </c>
      <c r="E1034" t="inlineStr">
        <is>
          <t>HÄSSLEHOLM</t>
        </is>
      </c>
      <c r="G1034" t="n">
        <v>9.300000000000001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45799-2019</t>
        </is>
      </c>
      <c r="B1035" s="1" t="n">
        <v>43717</v>
      </c>
      <c r="C1035" s="1" t="n">
        <v>45190</v>
      </c>
      <c r="D1035" t="inlineStr">
        <is>
          <t>SKÅNE LÄN</t>
        </is>
      </c>
      <c r="E1035" t="inlineStr">
        <is>
          <t>KRISTIANSTAD</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45831-2019</t>
        </is>
      </c>
      <c r="B1036" s="1" t="n">
        <v>43717</v>
      </c>
      <c r="C1036" s="1" t="n">
        <v>45190</v>
      </c>
      <c r="D1036" t="inlineStr">
        <is>
          <t>SKÅNE LÄN</t>
        </is>
      </c>
      <c r="E1036" t="inlineStr">
        <is>
          <t>HÄSSLEHOLM</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45682-2019</t>
        </is>
      </c>
      <c r="B1037" s="1" t="n">
        <v>43717</v>
      </c>
      <c r="C1037" s="1" t="n">
        <v>45190</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45693-2019</t>
        </is>
      </c>
      <c r="B1038" s="1" t="n">
        <v>43717</v>
      </c>
      <c r="C1038" s="1" t="n">
        <v>45190</v>
      </c>
      <c r="D1038" t="inlineStr">
        <is>
          <t>SKÅNE LÄN</t>
        </is>
      </c>
      <c r="E1038" t="inlineStr">
        <is>
          <t>ÄNGELHOLM</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45617-2019</t>
        </is>
      </c>
      <c r="B1039" s="1" t="n">
        <v>43717</v>
      </c>
      <c r="C1039" s="1" t="n">
        <v>45190</v>
      </c>
      <c r="D1039" t="inlineStr">
        <is>
          <t>SKÅNE LÄN</t>
        </is>
      </c>
      <c r="E1039" t="inlineStr">
        <is>
          <t>TOMELILLA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46236-2019</t>
        </is>
      </c>
      <c r="B1040" s="1" t="n">
        <v>43718</v>
      </c>
      <c r="C1040" s="1" t="n">
        <v>45190</v>
      </c>
      <c r="D1040" t="inlineStr">
        <is>
          <t>SKÅNE LÄN</t>
        </is>
      </c>
      <c r="E1040" t="inlineStr">
        <is>
          <t>PERSTORP</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46096-2019</t>
        </is>
      </c>
      <c r="B1041" s="1" t="n">
        <v>43718</v>
      </c>
      <c r="C1041" s="1" t="n">
        <v>45190</v>
      </c>
      <c r="D1041" t="inlineStr">
        <is>
          <t>SKÅNE LÄN</t>
        </is>
      </c>
      <c r="E1041" t="inlineStr">
        <is>
          <t>OSBY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46298-2019</t>
        </is>
      </c>
      <c r="B1042" s="1" t="n">
        <v>43718</v>
      </c>
      <c r="C1042" s="1" t="n">
        <v>45190</v>
      </c>
      <c r="D1042" t="inlineStr">
        <is>
          <t>SKÅNE LÄN</t>
        </is>
      </c>
      <c r="E1042" t="inlineStr">
        <is>
          <t>KRISTIANSTAD</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46342-2019</t>
        </is>
      </c>
      <c r="B1043" s="1" t="n">
        <v>43718</v>
      </c>
      <c r="C1043" s="1" t="n">
        <v>45190</v>
      </c>
      <c r="D1043" t="inlineStr">
        <is>
          <t>SKÅNE LÄN</t>
        </is>
      </c>
      <c r="E1043" t="inlineStr">
        <is>
          <t>KLIPPAN</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46006-2019</t>
        </is>
      </c>
      <c r="B1044" s="1" t="n">
        <v>43718</v>
      </c>
      <c r="C1044" s="1" t="n">
        <v>45190</v>
      </c>
      <c r="D1044" t="inlineStr">
        <is>
          <t>SKÅNE LÄN</t>
        </is>
      </c>
      <c r="E1044" t="inlineStr">
        <is>
          <t>OSBY</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46097-2019</t>
        </is>
      </c>
      <c r="B1045" s="1" t="n">
        <v>43718</v>
      </c>
      <c r="C1045" s="1" t="n">
        <v>45190</v>
      </c>
      <c r="D1045" t="inlineStr">
        <is>
          <t>SKÅNE LÄN</t>
        </is>
      </c>
      <c r="E1045" t="inlineStr">
        <is>
          <t>TOMELILLA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46403-2019</t>
        </is>
      </c>
      <c r="B1046" s="1" t="n">
        <v>43719</v>
      </c>
      <c r="C1046" s="1" t="n">
        <v>45190</v>
      </c>
      <c r="D1046" t="inlineStr">
        <is>
          <t>SKÅNE LÄN</t>
        </is>
      </c>
      <c r="E1046" t="inlineStr">
        <is>
          <t>KRISTIANSTAD</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46880-2019</t>
        </is>
      </c>
      <c r="B1047" s="1" t="n">
        <v>43719</v>
      </c>
      <c r="C1047" s="1" t="n">
        <v>45190</v>
      </c>
      <c r="D1047" t="inlineStr">
        <is>
          <t>SKÅNE LÄN</t>
        </is>
      </c>
      <c r="E1047" t="inlineStr">
        <is>
          <t>KLIPPAN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47130-2019</t>
        </is>
      </c>
      <c r="B1048" s="1" t="n">
        <v>43720</v>
      </c>
      <c r="C1048" s="1" t="n">
        <v>45190</v>
      </c>
      <c r="D1048" t="inlineStr">
        <is>
          <t>SKÅNE LÄN</t>
        </is>
      </c>
      <c r="E1048" t="inlineStr">
        <is>
          <t>PERSTORP</t>
        </is>
      </c>
      <c r="F1048" t="inlineStr">
        <is>
          <t>Övriga Aktiebolag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46897-2019</t>
        </is>
      </c>
      <c r="B1049" s="1" t="n">
        <v>43720</v>
      </c>
      <c r="C1049" s="1" t="n">
        <v>45190</v>
      </c>
      <c r="D1049" t="inlineStr">
        <is>
          <t>SKÅNE LÄN</t>
        </is>
      </c>
      <c r="E1049" t="inlineStr">
        <is>
          <t>SIMRISHAMN</t>
        </is>
      </c>
      <c r="G1049" t="n">
        <v>10.6</v>
      </c>
      <c r="H1049" t="n">
        <v>0</v>
      </c>
      <c r="I1049" t="n">
        <v>0</v>
      </c>
      <c r="J1049" t="n">
        <v>0</v>
      </c>
      <c r="K1049" t="n">
        <v>0</v>
      </c>
      <c r="L1049" t="n">
        <v>0</v>
      </c>
      <c r="M1049" t="n">
        <v>0</v>
      </c>
      <c r="N1049" t="n">
        <v>0</v>
      </c>
      <c r="O1049" t="n">
        <v>0</v>
      </c>
      <c r="P1049" t="n">
        <v>0</v>
      </c>
      <c r="Q1049" t="n">
        <v>0</v>
      </c>
      <c r="R1049" s="2" t="inlineStr"/>
    </row>
    <row r="1050" ht="15" customHeight="1">
      <c r="A1050" t="inlineStr">
        <is>
          <t>A 47132-2019</t>
        </is>
      </c>
      <c r="B1050" s="1" t="n">
        <v>43720</v>
      </c>
      <c r="C1050" s="1" t="n">
        <v>45190</v>
      </c>
      <c r="D1050" t="inlineStr">
        <is>
          <t>SKÅNE LÄN</t>
        </is>
      </c>
      <c r="E1050" t="inlineStr">
        <is>
          <t>KLIPPAN</t>
        </is>
      </c>
      <c r="F1050" t="inlineStr">
        <is>
          <t>Övriga Aktiebolag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47546-2019</t>
        </is>
      </c>
      <c r="B1051" s="1" t="n">
        <v>43724</v>
      </c>
      <c r="C1051" s="1" t="n">
        <v>45190</v>
      </c>
      <c r="D1051" t="inlineStr">
        <is>
          <t>SKÅNE LÄN</t>
        </is>
      </c>
      <c r="E1051" t="inlineStr">
        <is>
          <t>OSBY</t>
        </is>
      </c>
      <c r="F1051" t="inlineStr">
        <is>
          <t>Naturvårdsverket</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47540-2019</t>
        </is>
      </c>
      <c r="B1052" s="1" t="n">
        <v>43724</v>
      </c>
      <c r="C1052" s="1" t="n">
        <v>45190</v>
      </c>
      <c r="D1052" t="inlineStr">
        <is>
          <t>SKÅNE LÄN</t>
        </is>
      </c>
      <c r="E1052" t="inlineStr">
        <is>
          <t>OSBY</t>
        </is>
      </c>
      <c r="F1052" t="inlineStr">
        <is>
          <t>Naturvårdsverket</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47788-2019</t>
        </is>
      </c>
      <c r="B1053" s="1" t="n">
        <v>43724</v>
      </c>
      <c r="C1053" s="1" t="n">
        <v>45190</v>
      </c>
      <c r="D1053" t="inlineStr">
        <is>
          <t>SKÅNE LÄN</t>
        </is>
      </c>
      <c r="E1053" t="inlineStr">
        <is>
          <t>KLIPPAN</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47445-2019</t>
        </is>
      </c>
      <c r="B1054" s="1" t="n">
        <v>43724</v>
      </c>
      <c r="C1054" s="1" t="n">
        <v>45190</v>
      </c>
      <c r="D1054" t="inlineStr">
        <is>
          <t>SKÅNE LÄN</t>
        </is>
      </c>
      <c r="E1054" t="inlineStr">
        <is>
          <t>OSBY</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47757-2019</t>
        </is>
      </c>
      <c r="B1055" s="1" t="n">
        <v>43724</v>
      </c>
      <c r="C1055" s="1" t="n">
        <v>45190</v>
      </c>
      <c r="D1055" t="inlineStr">
        <is>
          <t>SKÅNE LÄN</t>
        </is>
      </c>
      <c r="E1055" t="inlineStr">
        <is>
          <t>KRISTIANSTAD</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48103-2019</t>
        </is>
      </c>
      <c r="B1056" s="1" t="n">
        <v>43725</v>
      </c>
      <c r="C1056" s="1" t="n">
        <v>45190</v>
      </c>
      <c r="D1056" t="inlineStr">
        <is>
          <t>SKÅNE LÄN</t>
        </is>
      </c>
      <c r="E1056" t="inlineStr">
        <is>
          <t>OSBY</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48307-2019</t>
        </is>
      </c>
      <c r="B1057" s="1" t="n">
        <v>43726</v>
      </c>
      <c r="C1057" s="1" t="n">
        <v>45190</v>
      </c>
      <c r="D1057" t="inlineStr">
        <is>
          <t>SKÅNE LÄN</t>
        </is>
      </c>
      <c r="E1057" t="inlineStr">
        <is>
          <t>ÖSTRA GÖINGE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48309-2019</t>
        </is>
      </c>
      <c r="B1058" s="1" t="n">
        <v>43726</v>
      </c>
      <c r="C1058" s="1" t="n">
        <v>45190</v>
      </c>
      <c r="D1058" t="inlineStr">
        <is>
          <t>SKÅNE LÄN</t>
        </is>
      </c>
      <c r="E1058" t="inlineStr">
        <is>
          <t>HÄSSLEHOLM</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48363-2019</t>
        </is>
      </c>
      <c r="B1059" s="1" t="n">
        <v>43726</v>
      </c>
      <c r="C1059" s="1" t="n">
        <v>45190</v>
      </c>
      <c r="D1059" t="inlineStr">
        <is>
          <t>SKÅNE LÄN</t>
        </is>
      </c>
      <c r="E1059" t="inlineStr">
        <is>
          <t>HÄSSLEHOLM</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48601-2019</t>
        </is>
      </c>
      <c r="B1060" s="1" t="n">
        <v>43727</v>
      </c>
      <c r="C1060" s="1" t="n">
        <v>45190</v>
      </c>
      <c r="D1060" t="inlineStr">
        <is>
          <t>SKÅNE LÄN</t>
        </is>
      </c>
      <c r="E1060" t="inlineStr">
        <is>
          <t>HÄSSLEHOLM</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48602-2019</t>
        </is>
      </c>
      <c r="B1061" s="1" t="n">
        <v>43727</v>
      </c>
      <c r="C1061" s="1" t="n">
        <v>45190</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48670-2019</t>
        </is>
      </c>
      <c r="B1062" s="1" t="n">
        <v>43727</v>
      </c>
      <c r="C1062" s="1" t="n">
        <v>45190</v>
      </c>
      <c r="D1062" t="inlineStr">
        <is>
          <t>SKÅNE LÄN</t>
        </is>
      </c>
      <c r="E1062" t="inlineStr">
        <is>
          <t>ÖSTRA GÖINGE</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48718-2019</t>
        </is>
      </c>
      <c r="B1063" s="1" t="n">
        <v>43727</v>
      </c>
      <c r="C1063" s="1" t="n">
        <v>45190</v>
      </c>
      <c r="D1063" t="inlineStr">
        <is>
          <t>SKÅNE LÄN</t>
        </is>
      </c>
      <c r="E1063" t="inlineStr">
        <is>
          <t>SVALÖV</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48843-2019</t>
        </is>
      </c>
      <c r="B1064" s="1" t="n">
        <v>43728</v>
      </c>
      <c r="C1064" s="1" t="n">
        <v>45190</v>
      </c>
      <c r="D1064" t="inlineStr">
        <is>
          <t>SKÅNE LÄN</t>
        </is>
      </c>
      <c r="E1064" t="inlineStr">
        <is>
          <t>ÖRKELLJUNGA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48841-2019</t>
        </is>
      </c>
      <c r="B1065" s="1" t="n">
        <v>43728</v>
      </c>
      <c r="C1065" s="1" t="n">
        <v>45190</v>
      </c>
      <c r="D1065" t="inlineStr">
        <is>
          <t>SKÅNE LÄN</t>
        </is>
      </c>
      <c r="E1065" t="inlineStr">
        <is>
          <t>KLIPPAN</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49028-2019</t>
        </is>
      </c>
      <c r="B1066" s="1" t="n">
        <v>43731</v>
      </c>
      <c r="C1066" s="1" t="n">
        <v>45190</v>
      </c>
      <c r="D1066" t="inlineStr">
        <is>
          <t>SKÅNE LÄN</t>
        </is>
      </c>
      <c r="E1066" t="inlineStr">
        <is>
          <t>HÄSSLEHOLM</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49077-2019</t>
        </is>
      </c>
      <c r="B1067" s="1" t="n">
        <v>43731</v>
      </c>
      <c r="C1067" s="1" t="n">
        <v>45190</v>
      </c>
      <c r="D1067" t="inlineStr">
        <is>
          <t>SKÅNE LÄN</t>
        </is>
      </c>
      <c r="E1067" t="inlineStr">
        <is>
          <t>KLIPPAN</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49311-2019</t>
        </is>
      </c>
      <c r="B1068" s="1" t="n">
        <v>43731</v>
      </c>
      <c r="C1068" s="1" t="n">
        <v>45190</v>
      </c>
      <c r="D1068" t="inlineStr">
        <is>
          <t>SKÅNE LÄN</t>
        </is>
      </c>
      <c r="E1068" t="inlineStr">
        <is>
          <t>OSBY</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49552-2019</t>
        </is>
      </c>
      <c r="B1069" s="1" t="n">
        <v>43732</v>
      </c>
      <c r="C1069" s="1" t="n">
        <v>45190</v>
      </c>
      <c r="D1069" t="inlineStr">
        <is>
          <t>SKÅNE LÄN</t>
        </is>
      </c>
      <c r="E1069" t="inlineStr">
        <is>
          <t>OSBY</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49703-2019</t>
        </is>
      </c>
      <c r="B1070" s="1" t="n">
        <v>43733</v>
      </c>
      <c r="C1070" s="1" t="n">
        <v>45190</v>
      </c>
      <c r="D1070" t="inlineStr">
        <is>
          <t>SKÅNE LÄN</t>
        </is>
      </c>
      <c r="E1070" t="inlineStr">
        <is>
          <t>SVALÖV</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49833-2019</t>
        </is>
      </c>
      <c r="B1071" s="1" t="n">
        <v>43733</v>
      </c>
      <c r="C1071" s="1" t="n">
        <v>45190</v>
      </c>
      <c r="D1071" t="inlineStr">
        <is>
          <t>SKÅNE LÄN</t>
        </is>
      </c>
      <c r="E1071" t="inlineStr">
        <is>
          <t>HÖRBY</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51835-2019</t>
        </is>
      </c>
      <c r="B1072" s="1" t="n">
        <v>43734</v>
      </c>
      <c r="C1072" s="1" t="n">
        <v>45190</v>
      </c>
      <c r="D1072" t="inlineStr">
        <is>
          <t>SKÅNE LÄN</t>
        </is>
      </c>
      <c r="E1072" t="inlineStr">
        <is>
          <t>SJÖBO</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51853-2019</t>
        </is>
      </c>
      <c r="B1073" s="1" t="n">
        <v>43734</v>
      </c>
      <c r="C1073" s="1" t="n">
        <v>45190</v>
      </c>
      <c r="D1073" t="inlineStr">
        <is>
          <t>SKÅNE LÄN</t>
        </is>
      </c>
      <c r="E1073" t="inlineStr">
        <is>
          <t>SJÖBO</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51864-2019</t>
        </is>
      </c>
      <c r="B1074" s="1" t="n">
        <v>43734</v>
      </c>
      <c r="C1074" s="1" t="n">
        <v>45190</v>
      </c>
      <c r="D1074" t="inlineStr">
        <is>
          <t>SKÅNE LÄN</t>
        </is>
      </c>
      <c r="E1074" t="inlineStr">
        <is>
          <t>SJÖBO</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50164-2019</t>
        </is>
      </c>
      <c r="B1075" s="1" t="n">
        <v>43734</v>
      </c>
      <c r="C1075" s="1" t="n">
        <v>45190</v>
      </c>
      <c r="D1075" t="inlineStr">
        <is>
          <t>SKÅNE LÄN</t>
        </is>
      </c>
      <c r="E1075" t="inlineStr">
        <is>
          <t>KLIPPAN</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51843-2019</t>
        </is>
      </c>
      <c r="B1076" s="1" t="n">
        <v>43734</v>
      </c>
      <c r="C1076" s="1" t="n">
        <v>45190</v>
      </c>
      <c r="D1076" t="inlineStr">
        <is>
          <t>SKÅNE LÄN</t>
        </is>
      </c>
      <c r="E1076" t="inlineStr">
        <is>
          <t>SJÖBO</t>
        </is>
      </c>
      <c r="G1076" t="n">
        <v>4</v>
      </c>
      <c r="H1076" t="n">
        <v>0</v>
      </c>
      <c r="I1076" t="n">
        <v>0</v>
      </c>
      <c r="J1076" t="n">
        <v>0</v>
      </c>
      <c r="K1076" t="n">
        <v>0</v>
      </c>
      <c r="L1076" t="n">
        <v>0</v>
      </c>
      <c r="M1076" t="n">
        <v>0</v>
      </c>
      <c r="N1076" t="n">
        <v>0</v>
      </c>
      <c r="O1076" t="n">
        <v>0</v>
      </c>
      <c r="P1076" t="n">
        <v>0</v>
      </c>
      <c r="Q1076" t="n">
        <v>0</v>
      </c>
      <c r="R1076" s="2" t="inlineStr"/>
    </row>
    <row r="1077" ht="15" customHeight="1">
      <c r="A1077" t="inlineStr">
        <is>
          <t>A 51860-2019</t>
        </is>
      </c>
      <c r="B1077" s="1" t="n">
        <v>43734</v>
      </c>
      <c r="C1077" s="1" t="n">
        <v>45190</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51886-2019</t>
        </is>
      </c>
      <c r="B1078" s="1" t="n">
        <v>43734</v>
      </c>
      <c r="C1078" s="1" t="n">
        <v>45190</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50017-2019</t>
        </is>
      </c>
      <c r="B1079" s="1" t="n">
        <v>43734</v>
      </c>
      <c r="C1079" s="1" t="n">
        <v>45190</v>
      </c>
      <c r="D1079" t="inlineStr">
        <is>
          <t>SKÅNE LÄN</t>
        </is>
      </c>
      <c r="E1079" t="inlineStr">
        <is>
          <t>ÖRKELLJUNGA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51857-2019</t>
        </is>
      </c>
      <c r="B1080" s="1" t="n">
        <v>43734</v>
      </c>
      <c r="C1080" s="1" t="n">
        <v>45190</v>
      </c>
      <c r="D1080" t="inlineStr">
        <is>
          <t>SKÅNE LÄN</t>
        </is>
      </c>
      <c r="E1080" t="inlineStr">
        <is>
          <t>SJÖBO</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51879-2019</t>
        </is>
      </c>
      <c r="B1081" s="1" t="n">
        <v>43734</v>
      </c>
      <c r="C1081" s="1" t="n">
        <v>45190</v>
      </c>
      <c r="D1081" t="inlineStr">
        <is>
          <t>SKÅNE LÄN</t>
        </is>
      </c>
      <c r="E1081" t="inlineStr">
        <is>
          <t>SJÖBO</t>
        </is>
      </c>
      <c r="G1081" t="n">
        <v>20.1</v>
      </c>
      <c r="H1081" t="n">
        <v>0</v>
      </c>
      <c r="I1081" t="n">
        <v>0</v>
      </c>
      <c r="J1081" t="n">
        <v>0</v>
      </c>
      <c r="K1081" t="n">
        <v>0</v>
      </c>
      <c r="L1081" t="n">
        <v>0</v>
      </c>
      <c r="M1081" t="n">
        <v>0</v>
      </c>
      <c r="N1081" t="n">
        <v>0</v>
      </c>
      <c r="O1081" t="n">
        <v>0</v>
      </c>
      <c r="P1081" t="n">
        <v>0</v>
      </c>
      <c r="Q1081" t="n">
        <v>0</v>
      </c>
      <c r="R1081" s="2" t="inlineStr"/>
    </row>
    <row r="1082" ht="15" customHeight="1">
      <c r="A1082" t="inlineStr">
        <is>
          <t>A 51889-2019</t>
        </is>
      </c>
      <c r="B1082" s="1" t="n">
        <v>43734</v>
      </c>
      <c r="C1082" s="1" t="n">
        <v>45190</v>
      </c>
      <c r="D1082" t="inlineStr">
        <is>
          <t>SKÅNE LÄN</t>
        </is>
      </c>
      <c r="E1082" t="inlineStr">
        <is>
          <t>SJÖBO</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50398-2019</t>
        </is>
      </c>
      <c r="B1083" s="1" t="n">
        <v>43735</v>
      </c>
      <c r="C1083" s="1" t="n">
        <v>45190</v>
      </c>
      <c r="D1083" t="inlineStr">
        <is>
          <t>SKÅNE LÄN</t>
        </is>
      </c>
      <c r="E1083" t="inlineStr">
        <is>
          <t>OSBY</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50740-2019</t>
        </is>
      </c>
      <c r="B1084" s="1" t="n">
        <v>43738</v>
      </c>
      <c r="C1084" s="1" t="n">
        <v>45190</v>
      </c>
      <c r="D1084" t="inlineStr">
        <is>
          <t>SKÅNE LÄN</t>
        </is>
      </c>
      <c r="E1084" t="inlineStr">
        <is>
          <t>SJÖBO</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51052-2019</t>
        </is>
      </c>
      <c r="B1085" s="1" t="n">
        <v>43739</v>
      </c>
      <c r="C1085" s="1" t="n">
        <v>45190</v>
      </c>
      <c r="D1085" t="inlineStr">
        <is>
          <t>SKÅNE LÄN</t>
        </is>
      </c>
      <c r="E1085" t="inlineStr">
        <is>
          <t>KRISTIANSTAD</t>
        </is>
      </c>
      <c r="F1085" t="inlineStr">
        <is>
          <t>Övriga Aktiebolag</t>
        </is>
      </c>
      <c r="G1085" t="n">
        <v>17.8</v>
      </c>
      <c r="H1085" t="n">
        <v>0</v>
      </c>
      <c r="I1085" t="n">
        <v>0</v>
      </c>
      <c r="J1085" t="n">
        <v>0</v>
      </c>
      <c r="K1085" t="n">
        <v>0</v>
      </c>
      <c r="L1085" t="n">
        <v>0</v>
      </c>
      <c r="M1085" t="n">
        <v>0</v>
      </c>
      <c r="N1085" t="n">
        <v>0</v>
      </c>
      <c r="O1085" t="n">
        <v>0</v>
      </c>
      <c r="P1085" t="n">
        <v>0</v>
      </c>
      <c r="Q1085" t="n">
        <v>0</v>
      </c>
      <c r="R1085" s="2" t="inlineStr"/>
    </row>
    <row r="1086" ht="15" customHeight="1">
      <c r="A1086" t="inlineStr">
        <is>
          <t>A 51338-2019</t>
        </is>
      </c>
      <c r="B1086" s="1" t="n">
        <v>43740</v>
      </c>
      <c r="C1086" s="1" t="n">
        <v>45190</v>
      </c>
      <c r="D1086" t="inlineStr">
        <is>
          <t>SKÅNE LÄN</t>
        </is>
      </c>
      <c r="E1086" t="inlineStr">
        <is>
          <t>SIMRISHAMN</t>
        </is>
      </c>
      <c r="F1086" t="inlineStr">
        <is>
          <t>Övriga Aktiebolag</t>
        </is>
      </c>
      <c r="G1086" t="n">
        <v>6.1</v>
      </c>
      <c r="H1086" t="n">
        <v>0</v>
      </c>
      <c r="I1086" t="n">
        <v>0</v>
      </c>
      <c r="J1086" t="n">
        <v>0</v>
      </c>
      <c r="K1086" t="n">
        <v>0</v>
      </c>
      <c r="L1086" t="n">
        <v>0</v>
      </c>
      <c r="M1086" t="n">
        <v>0</v>
      </c>
      <c r="N1086" t="n">
        <v>0</v>
      </c>
      <c r="O1086" t="n">
        <v>0</v>
      </c>
      <c r="P1086" t="n">
        <v>0</v>
      </c>
      <c r="Q1086" t="n">
        <v>0</v>
      </c>
      <c r="R1086" s="2" t="inlineStr"/>
    </row>
    <row r="1087" ht="15" customHeight="1">
      <c r="A1087" t="inlineStr">
        <is>
          <t>A 51581-2019</t>
        </is>
      </c>
      <c r="B1087" s="1" t="n">
        <v>43740</v>
      </c>
      <c r="C1087" s="1" t="n">
        <v>45190</v>
      </c>
      <c r="D1087" t="inlineStr">
        <is>
          <t>SKÅNE LÄN</t>
        </is>
      </c>
      <c r="E1087" t="inlineStr">
        <is>
          <t>HÄSSLEHOLM</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51640-2019</t>
        </is>
      </c>
      <c r="B1088" s="1" t="n">
        <v>43740</v>
      </c>
      <c r="C1088" s="1" t="n">
        <v>45190</v>
      </c>
      <c r="D1088" t="inlineStr">
        <is>
          <t>SKÅNE LÄN</t>
        </is>
      </c>
      <c r="E1088" t="inlineStr">
        <is>
          <t>ÖSTRA GÖINGE</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52964-2019</t>
        </is>
      </c>
      <c r="B1089" s="1" t="n">
        <v>43740</v>
      </c>
      <c r="C1089" s="1" t="n">
        <v>45190</v>
      </c>
      <c r="D1089" t="inlineStr">
        <is>
          <t>SKÅNE LÄN</t>
        </is>
      </c>
      <c r="E1089" t="inlineStr">
        <is>
          <t>HÄSSLEHOLM</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51543-2019</t>
        </is>
      </c>
      <c r="B1090" s="1" t="n">
        <v>43740</v>
      </c>
      <c r="C1090" s="1" t="n">
        <v>45190</v>
      </c>
      <c r="D1090" t="inlineStr">
        <is>
          <t>SKÅNE LÄN</t>
        </is>
      </c>
      <c r="E1090" t="inlineStr">
        <is>
          <t>HÄSSLEHOLM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51476-2019</t>
        </is>
      </c>
      <c r="B1091" s="1" t="n">
        <v>43740</v>
      </c>
      <c r="C1091" s="1" t="n">
        <v>45190</v>
      </c>
      <c r="D1091" t="inlineStr">
        <is>
          <t>SKÅNE LÄN</t>
        </is>
      </c>
      <c r="E1091" t="inlineStr">
        <is>
          <t>HÄSSLEHOLM</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51579-2019</t>
        </is>
      </c>
      <c r="B1092" s="1" t="n">
        <v>43740</v>
      </c>
      <c r="C1092" s="1" t="n">
        <v>45190</v>
      </c>
      <c r="D1092" t="inlineStr">
        <is>
          <t>SKÅNE LÄN</t>
        </is>
      </c>
      <c r="E1092" t="inlineStr">
        <is>
          <t>HÄSSLEHOLM</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51573-2019</t>
        </is>
      </c>
      <c r="B1093" s="1" t="n">
        <v>43740</v>
      </c>
      <c r="C1093" s="1" t="n">
        <v>45190</v>
      </c>
      <c r="D1093" t="inlineStr">
        <is>
          <t>SKÅNE LÄN</t>
        </is>
      </c>
      <c r="E1093" t="inlineStr">
        <is>
          <t>HÄSSLEHOLM</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51745-2019</t>
        </is>
      </c>
      <c r="B1094" s="1" t="n">
        <v>43741</v>
      </c>
      <c r="C1094" s="1" t="n">
        <v>45190</v>
      </c>
      <c r="D1094" t="inlineStr">
        <is>
          <t>SKÅNE LÄN</t>
        </is>
      </c>
      <c r="E1094" t="inlineStr">
        <is>
          <t>KRISTIANSTAD</t>
        </is>
      </c>
      <c r="F1094" t="inlineStr">
        <is>
          <t>Övriga Aktiebolag</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51795-2019</t>
        </is>
      </c>
      <c r="B1095" s="1" t="n">
        <v>43741</v>
      </c>
      <c r="C1095" s="1" t="n">
        <v>45190</v>
      </c>
      <c r="D1095" t="inlineStr">
        <is>
          <t>SKÅNE LÄN</t>
        </is>
      </c>
      <c r="E1095" t="inlineStr">
        <is>
          <t>HÄSSLEHOLM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51936-2019</t>
        </is>
      </c>
      <c r="B1096" s="1" t="n">
        <v>43741</v>
      </c>
      <c r="C1096" s="1" t="n">
        <v>45190</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51933-2019</t>
        </is>
      </c>
      <c r="B1097" s="1" t="n">
        <v>43741</v>
      </c>
      <c r="C1097" s="1" t="n">
        <v>45190</v>
      </c>
      <c r="D1097" t="inlineStr">
        <is>
          <t>SKÅNE LÄN</t>
        </is>
      </c>
      <c r="E1097" t="inlineStr">
        <is>
          <t>KLIPPAN</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51982-2019</t>
        </is>
      </c>
      <c r="B1098" s="1" t="n">
        <v>43742</v>
      </c>
      <c r="C1098" s="1" t="n">
        <v>45190</v>
      </c>
      <c r="D1098" t="inlineStr">
        <is>
          <t>SKÅNE LÄN</t>
        </is>
      </c>
      <c r="E1098" t="inlineStr">
        <is>
          <t>OSBY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52087-2019</t>
        </is>
      </c>
      <c r="B1099" s="1" t="n">
        <v>43742</v>
      </c>
      <c r="C1099" s="1" t="n">
        <v>45190</v>
      </c>
      <c r="D1099" t="inlineStr">
        <is>
          <t>SKÅNE LÄN</t>
        </is>
      </c>
      <c r="E1099" t="inlineStr">
        <is>
          <t>ÖSTRA GÖINGE</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52092-2019</t>
        </is>
      </c>
      <c r="B1100" s="1" t="n">
        <v>43742</v>
      </c>
      <c r="C1100" s="1" t="n">
        <v>45190</v>
      </c>
      <c r="D1100" t="inlineStr">
        <is>
          <t>SKÅNE LÄN</t>
        </is>
      </c>
      <c r="E1100" t="inlineStr">
        <is>
          <t>ÖSTRA GÖINGE</t>
        </is>
      </c>
      <c r="G1100" t="n">
        <v>12.4</v>
      </c>
      <c r="H1100" t="n">
        <v>0</v>
      </c>
      <c r="I1100" t="n">
        <v>0</v>
      </c>
      <c r="J1100" t="n">
        <v>0</v>
      </c>
      <c r="K1100" t="n">
        <v>0</v>
      </c>
      <c r="L1100" t="n">
        <v>0</v>
      </c>
      <c r="M1100" t="n">
        <v>0</v>
      </c>
      <c r="N1100" t="n">
        <v>0</v>
      </c>
      <c r="O1100" t="n">
        <v>0</v>
      </c>
      <c r="P1100" t="n">
        <v>0</v>
      </c>
      <c r="Q1100" t="n">
        <v>0</v>
      </c>
      <c r="R1100" s="2" t="inlineStr"/>
    </row>
    <row r="1101" ht="15" customHeight="1">
      <c r="A1101" t="inlineStr">
        <is>
          <t>A 52111-2019</t>
        </is>
      </c>
      <c r="B1101" s="1" t="n">
        <v>43742</v>
      </c>
      <c r="C1101" s="1" t="n">
        <v>45190</v>
      </c>
      <c r="D1101" t="inlineStr">
        <is>
          <t>SKÅNE LÄN</t>
        </is>
      </c>
      <c r="E1101" t="inlineStr">
        <is>
          <t>ÖSTRA GÖINGE</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52074-2019</t>
        </is>
      </c>
      <c r="B1102" s="1" t="n">
        <v>43742</v>
      </c>
      <c r="C1102" s="1" t="n">
        <v>45190</v>
      </c>
      <c r="D1102" t="inlineStr">
        <is>
          <t>SKÅNE LÄN</t>
        </is>
      </c>
      <c r="E1102" t="inlineStr">
        <is>
          <t>ÖSTRA GÖINGE</t>
        </is>
      </c>
      <c r="G1102" t="n">
        <v>15.4</v>
      </c>
      <c r="H1102" t="n">
        <v>0</v>
      </c>
      <c r="I1102" t="n">
        <v>0</v>
      </c>
      <c r="J1102" t="n">
        <v>0</v>
      </c>
      <c r="K1102" t="n">
        <v>0</v>
      </c>
      <c r="L1102" t="n">
        <v>0</v>
      </c>
      <c r="M1102" t="n">
        <v>0</v>
      </c>
      <c r="N1102" t="n">
        <v>0</v>
      </c>
      <c r="O1102" t="n">
        <v>0</v>
      </c>
      <c r="P1102" t="n">
        <v>0</v>
      </c>
      <c r="Q1102" t="n">
        <v>0</v>
      </c>
      <c r="R1102" s="2" t="inlineStr"/>
    </row>
    <row r="1103" ht="15" customHeight="1">
      <c r="A1103" t="inlineStr">
        <is>
          <t>A 52083-2019</t>
        </is>
      </c>
      <c r="B1103" s="1" t="n">
        <v>43742</v>
      </c>
      <c r="C1103" s="1" t="n">
        <v>45190</v>
      </c>
      <c r="D1103" t="inlineStr">
        <is>
          <t>SKÅNE LÄN</t>
        </is>
      </c>
      <c r="E1103" t="inlineStr">
        <is>
          <t>ÖSTRA GÖINGE</t>
        </is>
      </c>
      <c r="G1103" t="n">
        <v>15.3</v>
      </c>
      <c r="H1103" t="n">
        <v>0</v>
      </c>
      <c r="I1103" t="n">
        <v>0</v>
      </c>
      <c r="J1103" t="n">
        <v>0</v>
      </c>
      <c r="K1103" t="n">
        <v>0</v>
      </c>
      <c r="L1103" t="n">
        <v>0</v>
      </c>
      <c r="M1103" t="n">
        <v>0</v>
      </c>
      <c r="N1103" t="n">
        <v>0</v>
      </c>
      <c r="O1103" t="n">
        <v>0</v>
      </c>
      <c r="P1103" t="n">
        <v>0</v>
      </c>
      <c r="Q1103" t="n">
        <v>0</v>
      </c>
      <c r="R1103" s="2" t="inlineStr"/>
    </row>
    <row r="1104" ht="15" customHeight="1">
      <c r="A1104" t="inlineStr">
        <is>
          <t>A 52091-2019</t>
        </is>
      </c>
      <c r="B1104" s="1" t="n">
        <v>43742</v>
      </c>
      <c r="C1104" s="1" t="n">
        <v>45190</v>
      </c>
      <c r="D1104" t="inlineStr">
        <is>
          <t>SKÅNE LÄN</t>
        </is>
      </c>
      <c r="E1104" t="inlineStr">
        <is>
          <t>ÖSTRA GÖINGE</t>
        </is>
      </c>
      <c r="G1104" t="n">
        <v>10.8</v>
      </c>
      <c r="H1104" t="n">
        <v>0</v>
      </c>
      <c r="I1104" t="n">
        <v>0</v>
      </c>
      <c r="J1104" t="n">
        <v>0</v>
      </c>
      <c r="K1104" t="n">
        <v>0</v>
      </c>
      <c r="L1104" t="n">
        <v>0</v>
      </c>
      <c r="M1104" t="n">
        <v>0</v>
      </c>
      <c r="N1104" t="n">
        <v>0</v>
      </c>
      <c r="O1104" t="n">
        <v>0</v>
      </c>
      <c r="P1104" t="n">
        <v>0</v>
      </c>
      <c r="Q1104" t="n">
        <v>0</v>
      </c>
      <c r="R1104" s="2" t="inlineStr"/>
    </row>
    <row r="1105" ht="15" customHeight="1">
      <c r="A1105" t="inlineStr">
        <is>
          <t>A 52095-2019</t>
        </is>
      </c>
      <c r="B1105" s="1" t="n">
        <v>43742</v>
      </c>
      <c r="C1105" s="1" t="n">
        <v>45190</v>
      </c>
      <c r="D1105" t="inlineStr">
        <is>
          <t>SKÅNE LÄN</t>
        </is>
      </c>
      <c r="E1105" t="inlineStr">
        <is>
          <t>ÖSTRA GÖINGE</t>
        </is>
      </c>
      <c r="G1105" t="n">
        <v>7.2</v>
      </c>
      <c r="H1105" t="n">
        <v>0</v>
      </c>
      <c r="I1105" t="n">
        <v>0</v>
      </c>
      <c r="J1105" t="n">
        <v>0</v>
      </c>
      <c r="K1105" t="n">
        <v>0</v>
      </c>
      <c r="L1105" t="n">
        <v>0</v>
      </c>
      <c r="M1105" t="n">
        <v>0</v>
      </c>
      <c r="N1105" t="n">
        <v>0</v>
      </c>
      <c r="O1105" t="n">
        <v>0</v>
      </c>
      <c r="P1105" t="n">
        <v>0</v>
      </c>
      <c r="Q1105" t="n">
        <v>0</v>
      </c>
      <c r="R1105" s="2" t="inlineStr"/>
    </row>
    <row r="1106" ht="15" customHeight="1">
      <c r="A1106" t="inlineStr">
        <is>
          <t>A 52110-2019</t>
        </is>
      </c>
      <c r="B1106" s="1" t="n">
        <v>43742</v>
      </c>
      <c r="C1106" s="1" t="n">
        <v>45190</v>
      </c>
      <c r="D1106" t="inlineStr">
        <is>
          <t>SKÅNE LÄN</t>
        </is>
      </c>
      <c r="E1106" t="inlineStr">
        <is>
          <t>ÖSTRA GÖINGE</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51990-2019</t>
        </is>
      </c>
      <c r="B1107" s="1" t="n">
        <v>43742</v>
      </c>
      <c r="C1107" s="1" t="n">
        <v>45190</v>
      </c>
      <c r="D1107" t="inlineStr">
        <is>
          <t>SKÅNE LÄN</t>
        </is>
      </c>
      <c r="E1107" t="inlineStr">
        <is>
          <t>OSBY</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52073-2019</t>
        </is>
      </c>
      <c r="B1108" s="1" t="n">
        <v>43742</v>
      </c>
      <c r="C1108" s="1" t="n">
        <v>45190</v>
      </c>
      <c r="D1108" t="inlineStr">
        <is>
          <t>SKÅNE LÄN</t>
        </is>
      </c>
      <c r="E1108" t="inlineStr">
        <is>
          <t>ÖSTRA GÖINGE</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52080-2019</t>
        </is>
      </c>
      <c r="B1109" s="1" t="n">
        <v>43742</v>
      </c>
      <c r="C1109" s="1" t="n">
        <v>45190</v>
      </c>
      <c r="D1109" t="inlineStr">
        <is>
          <t>SKÅNE LÄN</t>
        </is>
      </c>
      <c r="E1109" t="inlineStr">
        <is>
          <t>ÖSTRA GÖINGE</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52090-2019</t>
        </is>
      </c>
      <c r="B1110" s="1" t="n">
        <v>43742</v>
      </c>
      <c r="C1110" s="1" t="n">
        <v>45190</v>
      </c>
      <c r="D1110" t="inlineStr">
        <is>
          <t>SKÅNE LÄN</t>
        </is>
      </c>
      <c r="E1110" t="inlineStr">
        <is>
          <t>ÖSTRA GÖINGE</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52094-2019</t>
        </is>
      </c>
      <c r="B1111" s="1" t="n">
        <v>43742</v>
      </c>
      <c r="C1111" s="1" t="n">
        <v>45190</v>
      </c>
      <c r="D1111" t="inlineStr">
        <is>
          <t>SKÅNE LÄN</t>
        </is>
      </c>
      <c r="E1111" t="inlineStr">
        <is>
          <t>ÖSTRA GÖINGE</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52103-2019</t>
        </is>
      </c>
      <c r="B1112" s="1" t="n">
        <v>43742</v>
      </c>
      <c r="C1112" s="1" t="n">
        <v>45190</v>
      </c>
      <c r="D1112" t="inlineStr">
        <is>
          <t>SKÅNE LÄN</t>
        </is>
      </c>
      <c r="E1112" t="inlineStr">
        <is>
          <t>ÖSTRA GÖINGE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51988-2019</t>
        </is>
      </c>
      <c r="B1113" s="1" t="n">
        <v>43742</v>
      </c>
      <c r="C1113" s="1" t="n">
        <v>45190</v>
      </c>
      <c r="D1113" t="inlineStr">
        <is>
          <t>SKÅNE LÄN</t>
        </is>
      </c>
      <c r="E1113" t="inlineStr">
        <is>
          <t>OSBY</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52077-2019</t>
        </is>
      </c>
      <c r="B1114" s="1" t="n">
        <v>43742</v>
      </c>
      <c r="C1114" s="1" t="n">
        <v>45190</v>
      </c>
      <c r="D1114" t="inlineStr">
        <is>
          <t>SKÅNE LÄN</t>
        </is>
      </c>
      <c r="E1114" t="inlineStr">
        <is>
          <t>ÖSTRA GÖINGE</t>
        </is>
      </c>
      <c r="G1114" t="n">
        <v>5.2</v>
      </c>
      <c r="H1114" t="n">
        <v>0</v>
      </c>
      <c r="I1114" t="n">
        <v>0</v>
      </c>
      <c r="J1114" t="n">
        <v>0</v>
      </c>
      <c r="K1114" t="n">
        <v>0</v>
      </c>
      <c r="L1114" t="n">
        <v>0</v>
      </c>
      <c r="M1114" t="n">
        <v>0</v>
      </c>
      <c r="N1114" t="n">
        <v>0</v>
      </c>
      <c r="O1114" t="n">
        <v>0</v>
      </c>
      <c r="P1114" t="n">
        <v>0</v>
      </c>
      <c r="Q1114" t="n">
        <v>0</v>
      </c>
      <c r="R1114" s="2" t="inlineStr"/>
    </row>
    <row r="1115" ht="15" customHeight="1">
      <c r="A1115" t="inlineStr">
        <is>
          <t>A 52088-2019</t>
        </is>
      </c>
      <c r="B1115" s="1" t="n">
        <v>43742</v>
      </c>
      <c r="C1115" s="1" t="n">
        <v>45190</v>
      </c>
      <c r="D1115" t="inlineStr">
        <is>
          <t>SKÅNE LÄN</t>
        </is>
      </c>
      <c r="E1115" t="inlineStr">
        <is>
          <t>ÖSTRA GÖINGE</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52097-2019</t>
        </is>
      </c>
      <c r="B1116" s="1" t="n">
        <v>43742</v>
      </c>
      <c r="C1116" s="1" t="n">
        <v>45190</v>
      </c>
      <c r="D1116" t="inlineStr">
        <is>
          <t>SKÅNE LÄN</t>
        </is>
      </c>
      <c r="E1116" t="inlineStr">
        <is>
          <t>ÖSTRA GÖINGE</t>
        </is>
      </c>
      <c r="G1116" t="n">
        <v>14.2</v>
      </c>
      <c r="H1116" t="n">
        <v>0</v>
      </c>
      <c r="I1116" t="n">
        <v>0</v>
      </c>
      <c r="J1116" t="n">
        <v>0</v>
      </c>
      <c r="K1116" t="n">
        <v>0</v>
      </c>
      <c r="L1116" t="n">
        <v>0</v>
      </c>
      <c r="M1116" t="n">
        <v>0</v>
      </c>
      <c r="N1116" t="n">
        <v>0</v>
      </c>
      <c r="O1116" t="n">
        <v>0</v>
      </c>
      <c r="P1116" t="n">
        <v>0</v>
      </c>
      <c r="Q1116" t="n">
        <v>0</v>
      </c>
      <c r="R1116" s="2" t="inlineStr"/>
    </row>
    <row r="1117" ht="15" customHeight="1">
      <c r="A1117" t="inlineStr">
        <is>
          <t>A 52531-2019</t>
        </is>
      </c>
      <c r="B1117" s="1" t="n">
        <v>43745</v>
      </c>
      <c r="C1117" s="1" t="n">
        <v>45190</v>
      </c>
      <c r="D1117" t="inlineStr">
        <is>
          <t>SKÅNE LÄN</t>
        </is>
      </c>
      <c r="E1117" t="inlineStr">
        <is>
          <t>ÖRKELLJUNGA</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52896-2019</t>
        </is>
      </c>
      <c r="B1118" s="1" t="n">
        <v>43746</v>
      </c>
      <c r="C1118" s="1" t="n">
        <v>45190</v>
      </c>
      <c r="D1118" t="inlineStr">
        <is>
          <t>SKÅNE LÄN</t>
        </is>
      </c>
      <c r="E1118" t="inlineStr">
        <is>
          <t>HÄSSLEHOLM</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52978-2019</t>
        </is>
      </c>
      <c r="B1119" s="1" t="n">
        <v>43747</v>
      </c>
      <c r="C1119" s="1" t="n">
        <v>45190</v>
      </c>
      <c r="D1119" t="inlineStr">
        <is>
          <t>SKÅNE LÄN</t>
        </is>
      </c>
      <c r="E1119" t="inlineStr">
        <is>
          <t>KRISTIANSTAD</t>
        </is>
      </c>
      <c r="F1119" t="inlineStr">
        <is>
          <t>Övriga Aktiebolag</t>
        </is>
      </c>
      <c r="G1119" t="n">
        <v>10.5</v>
      </c>
      <c r="H1119" t="n">
        <v>0</v>
      </c>
      <c r="I1119" t="n">
        <v>0</v>
      </c>
      <c r="J1119" t="n">
        <v>0</v>
      </c>
      <c r="K1119" t="n">
        <v>0</v>
      </c>
      <c r="L1119" t="n">
        <v>0</v>
      </c>
      <c r="M1119" t="n">
        <v>0</v>
      </c>
      <c r="N1119" t="n">
        <v>0</v>
      </c>
      <c r="O1119" t="n">
        <v>0</v>
      </c>
      <c r="P1119" t="n">
        <v>0</v>
      </c>
      <c r="Q1119" t="n">
        <v>0</v>
      </c>
      <c r="R1119" s="2" t="inlineStr"/>
    </row>
    <row r="1120" ht="15" customHeight="1">
      <c r="A1120" t="inlineStr">
        <is>
          <t>A 52997-2019</t>
        </is>
      </c>
      <c r="B1120" s="1" t="n">
        <v>43747</v>
      </c>
      <c r="C1120" s="1" t="n">
        <v>45190</v>
      </c>
      <c r="D1120" t="inlineStr">
        <is>
          <t>SKÅNE LÄN</t>
        </is>
      </c>
      <c r="E1120" t="inlineStr">
        <is>
          <t>KRISTIANSTAD</t>
        </is>
      </c>
      <c r="F1120" t="inlineStr">
        <is>
          <t>Sveaskog</t>
        </is>
      </c>
      <c r="G1120" t="n">
        <v>5</v>
      </c>
      <c r="H1120" t="n">
        <v>0</v>
      </c>
      <c r="I1120" t="n">
        <v>0</v>
      </c>
      <c r="J1120" t="n">
        <v>0</v>
      </c>
      <c r="K1120" t="n">
        <v>0</v>
      </c>
      <c r="L1120" t="n">
        <v>0</v>
      </c>
      <c r="M1120" t="n">
        <v>0</v>
      </c>
      <c r="N1120" t="n">
        <v>0</v>
      </c>
      <c r="O1120" t="n">
        <v>0</v>
      </c>
      <c r="P1120" t="n">
        <v>0</v>
      </c>
      <c r="Q1120" t="n">
        <v>0</v>
      </c>
      <c r="R1120" s="2" t="inlineStr"/>
    </row>
    <row r="1121" ht="15" customHeight="1">
      <c r="A1121" t="inlineStr">
        <is>
          <t>A 53072-2019</t>
        </is>
      </c>
      <c r="B1121" s="1" t="n">
        <v>43747</v>
      </c>
      <c r="C1121" s="1" t="n">
        <v>45190</v>
      </c>
      <c r="D1121" t="inlineStr">
        <is>
          <t>SKÅNE LÄN</t>
        </is>
      </c>
      <c r="E1121" t="inlineStr">
        <is>
          <t>HÖRBY</t>
        </is>
      </c>
      <c r="F1121" t="inlineStr">
        <is>
          <t>Kyrkan</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53196-2019</t>
        </is>
      </c>
      <c r="B1122" s="1" t="n">
        <v>43748</v>
      </c>
      <c r="C1122" s="1" t="n">
        <v>45190</v>
      </c>
      <c r="D1122" t="inlineStr">
        <is>
          <t>SKÅNE LÄN</t>
        </is>
      </c>
      <c r="E1122" t="inlineStr">
        <is>
          <t>HELSINGBORG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53298-2019</t>
        </is>
      </c>
      <c r="B1123" s="1" t="n">
        <v>43748</v>
      </c>
      <c r="C1123" s="1" t="n">
        <v>45190</v>
      </c>
      <c r="D1123" t="inlineStr">
        <is>
          <t>SKÅNE LÄN</t>
        </is>
      </c>
      <c r="E1123" t="inlineStr">
        <is>
          <t>ÖRKELLJUNGA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54750-2019</t>
        </is>
      </c>
      <c r="B1124" s="1" t="n">
        <v>43748</v>
      </c>
      <c r="C1124" s="1" t="n">
        <v>45190</v>
      </c>
      <c r="D1124" t="inlineStr">
        <is>
          <t>SKÅNE LÄN</t>
        </is>
      </c>
      <c r="E1124" t="inlineStr">
        <is>
          <t>ÖSTRA GÖINGE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53310-2019</t>
        </is>
      </c>
      <c r="B1125" s="1" t="n">
        <v>43748</v>
      </c>
      <c r="C1125" s="1" t="n">
        <v>45190</v>
      </c>
      <c r="D1125" t="inlineStr">
        <is>
          <t>SKÅNE LÄN</t>
        </is>
      </c>
      <c r="E1125" t="inlineStr">
        <is>
          <t>PERSTORP</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54745-2019</t>
        </is>
      </c>
      <c r="B1126" s="1" t="n">
        <v>43749</v>
      </c>
      <c r="C1126" s="1" t="n">
        <v>45190</v>
      </c>
      <c r="D1126" t="inlineStr">
        <is>
          <t>SKÅNE LÄN</t>
        </is>
      </c>
      <c r="E1126" t="inlineStr">
        <is>
          <t>HÄSSLEHOLM</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55155-2019</t>
        </is>
      </c>
      <c r="B1127" s="1" t="n">
        <v>43752</v>
      </c>
      <c r="C1127" s="1" t="n">
        <v>45190</v>
      </c>
      <c r="D1127" t="inlineStr">
        <is>
          <t>SKÅNE LÄN</t>
        </is>
      </c>
      <c r="E1127" t="inlineStr">
        <is>
          <t>HÄSSLEHOLM</t>
        </is>
      </c>
      <c r="F1127" t="inlineStr">
        <is>
          <t>Övriga Aktiebolag</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54092-2019</t>
        </is>
      </c>
      <c r="B1128" s="1" t="n">
        <v>43752</v>
      </c>
      <c r="C1128" s="1" t="n">
        <v>45190</v>
      </c>
      <c r="D1128" t="inlineStr">
        <is>
          <t>SKÅNE LÄN</t>
        </is>
      </c>
      <c r="E1128" t="inlineStr">
        <is>
          <t>PERSTORP</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54334-2019</t>
        </is>
      </c>
      <c r="B1129" s="1" t="n">
        <v>43753</v>
      </c>
      <c r="C1129" s="1" t="n">
        <v>45190</v>
      </c>
      <c r="D1129" t="inlineStr">
        <is>
          <t>SKÅNE LÄN</t>
        </is>
      </c>
      <c r="E1129" t="inlineStr">
        <is>
          <t>BROMÖLLA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54662-2019</t>
        </is>
      </c>
      <c r="B1130" s="1" t="n">
        <v>43754</v>
      </c>
      <c r="C1130" s="1" t="n">
        <v>45190</v>
      </c>
      <c r="D1130" t="inlineStr">
        <is>
          <t>SKÅNE LÄN</t>
        </is>
      </c>
      <c r="E1130" t="inlineStr">
        <is>
          <t>ÖRKELLJUNGA</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56224-2019</t>
        </is>
      </c>
      <c r="B1131" s="1" t="n">
        <v>43755</v>
      </c>
      <c r="C1131" s="1" t="n">
        <v>45190</v>
      </c>
      <c r="D1131" t="inlineStr">
        <is>
          <t>SKÅNE LÄN</t>
        </is>
      </c>
      <c r="E1131" t="inlineStr">
        <is>
          <t>KÄVLINGE</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56220-2019</t>
        </is>
      </c>
      <c r="B1132" s="1" t="n">
        <v>43755</v>
      </c>
      <c r="C1132" s="1" t="n">
        <v>45190</v>
      </c>
      <c r="D1132" t="inlineStr">
        <is>
          <t>SKÅNE LÄN</t>
        </is>
      </c>
      <c r="E1132" t="inlineStr">
        <is>
          <t>KÄVLINGE</t>
        </is>
      </c>
      <c r="F1132" t="inlineStr">
        <is>
          <t>Övriga Aktiebolag</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55167-2019</t>
        </is>
      </c>
      <c r="B1133" s="1" t="n">
        <v>43756</v>
      </c>
      <c r="C1133" s="1" t="n">
        <v>45190</v>
      </c>
      <c r="D1133" t="inlineStr">
        <is>
          <t>SKÅNE LÄN</t>
        </is>
      </c>
      <c r="E1133" t="inlineStr">
        <is>
          <t>HÄSSLEHOLM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55087-2019</t>
        </is>
      </c>
      <c r="B1134" s="1" t="n">
        <v>43756</v>
      </c>
      <c r="C1134" s="1" t="n">
        <v>45190</v>
      </c>
      <c r="D1134" t="inlineStr">
        <is>
          <t>SKÅNE LÄN</t>
        </is>
      </c>
      <c r="E1134" t="inlineStr">
        <is>
          <t>HÄSSLEHOLM</t>
        </is>
      </c>
      <c r="F1134" t="inlineStr">
        <is>
          <t>Kommuner</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55410-2019</t>
        </is>
      </c>
      <c r="B1135" s="1" t="n">
        <v>43758</v>
      </c>
      <c r="C1135" s="1" t="n">
        <v>45190</v>
      </c>
      <c r="D1135" t="inlineStr">
        <is>
          <t>SKÅNE LÄN</t>
        </is>
      </c>
      <c r="E1135" t="inlineStr">
        <is>
          <t>HÄSSLEHOLM</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55984-2019</t>
        </is>
      </c>
      <c r="B1136" s="1" t="n">
        <v>43759</v>
      </c>
      <c r="C1136" s="1" t="n">
        <v>45190</v>
      </c>
      <c r="D1136" t="inlineStr">
        <is>
          <t>SKÅNE LÄN</t>
        </is>
      </c>
      <c r="E1136" t="inlineStr">
        <is>
          <t>HÄSSLEHOLM</t>
        </is>
      </c>
      <c r="F1136" t="inlineStr">
        <is>
          <t>Kommuner</t>
        </is>
      </c>
      <c r="G1136" t="n">
        <v>21.9</v>
      </c>
      <c r="H1136" t="n">
        <v>0</v>
      </c>
      <c r="I1136" t="n">
        <v>0</v>
      </c>
      <c r="J1136" t="n">
        <v>0</v>
      </c>
      <c r="K1136" t="n">
        <v>0</v>
      </c>
      <c r="L1136" t="n">
        <v>0</v>
      </c>
      <c r="M1136" t="n">
        <v>0</v>
      </c>
      <c r="N1136" t="n">
        <v>0</v>
      </c>
      <c r="O1136" t="n">
        <v>0</v>
      </c>
      <c r="P1136" t="n">
        <v>0</v>
      </c>
      <c r="Q1136" t="n">
        <v>0</v>
      </c>
      <c r="R1136" s="2" t="inlineStr"/>
    </row>
    <row r="1137" ht="15" customHeight="1">
      <c r="A1137" t="inlineStr">
        <is>
          <t>A 55761-2019</t>
        </is>
      </c>
      <c r="B1137" s="1" t="n">
        <v>43759</v>
      </c>
      <c r="C1137" s="1" t="n">
        <v>45190</v>
      </c>
      <c r="D1137" t="inlineStr">
        <is>
          <t>SKÅNE LÄN</t>
        </is>
      </c>
      <c r="E1137" t="inlineStr">
        <is>
          <t>HÄSSLEHOLM</t>
        </is>
      </c>
      <c r="F1137" t="inlineStr">
        <is>
          <t>Kommuner</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57275-2019</t>
        </is>
      </c>
      <c r="B1138" s="1" t="n">
        <v>43760</v>
      </c>
      <c r="C1138" s="1" t="n">
        <v>45190</v>
      </c>
      <c r="D1138" t="inlineStr">
        <is>
          <t>SKÅNE LÄN</t>
        </is>
      </c>
      <c r="E1138" t="inlineStr">
        <is>
          <t>HÄSSLEHOLM</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55631-2019</t>
        </is>
      </c>
      <c r="B1139" s="1" t="n">
        <v>43760</v>
      </c>
      <c r="C1139" s="1" t="n">
        <v>45190</v>
      </c>
      <c r="D1139" t="inlineStr">
        <is>
          <t>SKÅNE LÄN</t>
        </is>
      </c>
      <c r="E1139" t="inlineStr">
        <is>
          <t>HÄSSLEHOLM</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55654-2019</t>
        </is>
      </c>
      <c r="B1140" s="1" t="n">
        <v>43760</v>
      </c>
      <c r="C1140" s="1" t="n">
        <v>45190</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55669-2019</t>
        </is>
      </c>
      <c r="B1141" s="1" t="n">
        <v>43760</v>
      </c>
      <c r="C1141" s="1" t="n">
        <v>45190</v>
      </c>
      <c r="D1141" t="inlineStr">
        <is>
          <t>SKÅNE LÄN</t>
        </is>
      </c>
      <c r="E1141" t="inlineStr">
        <is>
          <t>PERSTORP</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57614-2019</t>
        </is>
      </c>
      <c r="B1142" s="1" t="n">
        <v>43761</v>
      </c>
      <c r="C1142" s="1" t="n">
        <v>45190</v>
      </c>
      <c r="D1142" t="inlineStr">
        <is>
          <t>SKÅNE LÄN</t>
        </is>
      </c>
      <c r="E1142" t="inlineStr">
        <is>
          <t>SVALÖV</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55995-2019</t>
        </is>
      </c>
      <c r="B1143" s="1" t="n">
        <v>43761</v>
      </c>
      <c r="C1143" s="1" t="n">
        <v>45190</v>
      </c>
      <c r="D1143" t="inlineStr">
        <is>
          <t>SKÅNE LÄN</t>
        </is>
      </c>
      <c r="E1143" t="inlineStr">
        <is>
          <t>HÄSSLEHOLM</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56211-2019</t>
        </is>
      </c>
      <c r="B1144" s="1" t="n">
        <v>43761</v>
      </c>
      <c r="C1144" s="1" t="n">
        <v>45190</v>
      </c>
      <c r="D1144" t="inlineStr">
        <is>
          <t>SKÅNE LÄN</t>
        </is>
      </c>
      <c r="E1144" t="inlineStr">
        <is>
          <t>ÖSTRA GÖINGE</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56451-2019</t>
        </is>
      </c>
      <c r="B1145" s="1" t="n">
        <v>43762</v>
      </c>
      <c r="C1145" s="1" t="n">
        <v>45190</v>
      </c>
      <c r="D1145" t="inlineStr">
        <is>
          <t>SKÅNE LÄN</t>
        </is>
      </c>
      <c r="E1145" t="inlineStr">
        <is>
          <t>OSBY</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56330-2019</t>
        </is>
      </c>
      <c r="B1146" s="1" t="n">
        <v>43762</v>
      </c>
      <c r="C1146" s="1" t="n">
        <v>45190</v>
      </c>
      <c r="D1146" t="inlineStr">
        <is>
          <t>SKÅNE LÄN</t>
        </is>
      </c>
      <c r="E1146" t="inlineStr">
        <is>
          <t>KLIPPAN</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56248-2019</t>
        </is>
      </c>
      <c r="B1147" s="1" t="n">
        <v>43762</v>
      </c>
      <c r="C1147" s="1" t="n">
        <v>45190</v>
      </c>
      <c r="D1147" t="inlineStr">
        <is>
          <t>SKÅNE LÄN</t>
        </is>
      </c>
      <c r="E1147" t="inlineStr">
        <is>
          <t>ÖRKELLJUNGA</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56473-2019</t>
        </is>
      </c>
      <c r="B1148" s="1" t="n">
        <v>43762</v>
      </c>
      <c r="C1148" s="1" t="n">
        <v>45190</v>
      </c>
      <c r="D1148" t="inlineStr">
        <is>
          <t>SKÅNE LÄN</t>
        </is>
      </c>
      <c r="E1148" t="inlineStr">
        <is>
          <t>KLIPPAN</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57178-2019</t>
        </is>
      </c>
      <c r="B1149" s="1" t="n">
        <v>43766</v>
      </c>
      <c r="C1149" s="1" t="n">
        <v>45190</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57176-2019</t>
        </is>
      </c>
      <c r="B1150" s="1" t="n">
        <v>43766</v>
      </c>
      <c r="C1150" s="1" t="n">
        <v>45190</v>
      </c>
      <c r="D1150" t="inlineStr">
        <is>
          <t>SKÅNE LÄN</t>
        </is>
      </c>
      <c r="E1150" t="inlineStr">
        <is>
          <t>OSBY</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57153-2019</t>
        </is>
      </c>
      <c r="B1151" s="1" t="n">
        <v>43766</v>
      </c>
      <c r="C1151" s="1" t="n">
        <v>45190</v>
      </c>
      <c r="D1151" t="inlineStr">
        <is>
          <t>SKÅNE LÄN</t>
        </is>
      </c>
      <c r="E1151" t="inlineStr">
        <is>
          <t>SJÖBO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58525-2019</t>
        </is>
      </c>
      <c r="B1152" s="1" t="n">
        <v>43766</v>
      </c>
      <c r="C1152" s="1" t="n">
        <v>45190</v>
      </c>
      <c r="D1152" t="inlineStr">
        <is>
          <t>SKÅNE LÄN</t>
        </is>
      </c>
      <c r="E1152" t="inlineStr">
        <is>
          <t>HÄSSLEHOLM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56856-2019</t>
        </is>
      </c>
      <c r="B1153" s="1" t="n">
        <v>43766</v>
      </c>
      <c r="C1153" s="1" t="n">
        <v>45190</v>
      </c>
      <c r="D1153" t="inlineStr">
        <is>
          <t>SKÅNE LÄN</t>
        </is>
      </c>
      <c r="E1153" t="inlineStr">
        <is>
          <t>SVEDALA</t>
        </is>
      </c>
      <c r="F1153" t="inlineStr">
        <is>
          <t>Kommuner</t>
        </is>
      </c>
      <c r="G1153" t="n">
        <v>6.9</v>
      </c>
      <c r="H1153" t="n">
        <v>0</v>
      </c>
      <c r="I1153" t="n">
        <v>0</v>
      </c>
      <c r="J1153" t="n">
        <v>0</v>
      </c>
      <c r="K1153" t="n">
        <v>0</v>
      </c>
      <c r="L1153" t="n">
        <v>0</v>
      </c>
      <c r="M1153" t="n">
        <v>0</v>
      </c>
      <c r="N1153" t="n">
        <v>0</v>
      </c>
      <c r="O1153" t="n">
        <v>0</v>
      </c>
      <c r="P1153" t="n">
        <v>0</v>
      </c>
      <c r="Q1153" t="n">
        <v>0</v>
      </c>
      <c r="R1153" s="2" t="inlineStr"/>
    </row>
    <row r="1154" ht="15" customHeight="1">
      <c r="A1154" t="inlineStr">
        <is>
          <t>A 57203-2019</t>
        </is>
      </c>
      <c r="B1154" s="1" t="n">
        <v>43767</v>
      </c>
      <c r="C1154" s="1" t="n">
        <v>45190</v>
      </c>
      <c r="D1154" t="inlineStr">
        <is>
          <t>SKÅNE LÄN</t>
        </is>
      </c>
      <c r="E1154" t="inlineStr">
        <is>
          <t>OSBY</t>
        </is>
      </c>
      <c r="F1154" t="inlineStr">
        <is>
          <t>Naturvårdsverket</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57191-2019</t>
        </is>
      </c>
      <c r="B1155" s="1" t="n">
        <v>43767</v>
      </c>
      <c r="C1155" s="1" t="n">
        <v>45190</v>
      </c>
      <c r="D1155" t="inlineStr">
        <is>
          <t>SKÅNE LÄN</t>
        </is>
      </c>
      <c r="E1155" t="inlineStr">
        <is>
          <t>OSBY</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57402-2019</t>
        </is>
      </c>
      <c r="B1156" s="1" t="n">
        <v>43767</v>
      </c>
      <c r="C1156" s="1" t="n">
        <v>45190</v>
      </c>
      <c r="D1156" t="inlineStr">
        <is>
          <t>SKÅNE LÄN</t>
        </is>
      </c>
      <c r="E1156" t="inlineStr">
        <is>
          <t>OSBY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58840-2019</t>
        </is>
      </c>
      <c r="B1157" s="1" t="n">
        <v>43768</v>
      </c>
      <c r="C1157" s="1" t="n">
        <v>45190</v>
      </c>
      <c r="D1157" t="inlineStr">
        <is>
          <t>SKÅNE LÄN</t>
        </is>
      </c>
      <c r="E1157" t="inlineStr">
        <is>
          <t>HÄSSLEHOLM</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58818-2019</t>
        </is>
      </c>
      <c r="B1158" s="1" t="n">
        <v>43768</v>
      </c>
      <c r="C1158" s="1" t="n">
        <v>45190</v>
      </c>
      <c r="D1158" t="inlineStr">
        <is>
          <t>SKÅNE LÄN</t>
        </is>
      </c>
      <c r="E1158" t="inlineStr">
        <is>
          <t>HÄSSLEHOLM</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58723-2019</t>
        </is>
      </c>
      <c r="B1159" s="1" t="n">
        <v>43768</v>
      </c>
      <c r="C1159" s="1" t="n">
        <v>45190</v>
      </c>
      <c r="D1159" t="inlineStr">
        <is>
          <t>SKÅNE LÄN</t>
        </is>
      </c>
      <c r="E1159" t="inlineStr">
        <is>
          <t>KLIPPAN</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58979-2019</t>
        </is>
      </c>
      <c r="B1160" s="1" t="n">
        <v>43769</v>
      </c>
      <c r="C1160" s="1" t="n">
        <v>45190</v>
      </c>
      <c r="D1160" t="inlineStr">
        <is>
          <t>SKÅNE LÄN</t>
        </is>
      </c>
      <c r="E1160" t="inlineStr">
        <is>
          <t>ÖSTRA GÖINGE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58989-2019</t>
        </is>
      </c>
      <c r="B1161" s="1" t="n">
        <v>43769</v>
      </c>
      <c r="C1161" s="1" t="n">
        <v>45190</v>
      </c>
      <c r="D1161" t="inlineStr">
        <is>
          <t>SKÅNE LÄN</t>
        </is>
      </c>
      <c r="E1161" t="inlineStr">
        <is>
          <t>ÖSTRA GÖINGE</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58023-2019</t>
        </is>
      </c>
      <c r="B1162" s="1" t="n">
        <v>43769</v>
      </c>
      <c r="C1162" s="1" t="n">
        <v>45190</v>
      </c>
      <c r="D1162" t="inlineStr">
        <is>
          <t>SKÅNE LÄN</t>
        </is>
      </c>
      <c r="E1162" t="inlineStr">
        <is>
          <t>OSBY</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58202-2019</t>
        </is>
      </c>
      <c r="B1163" s="1" t="n">
        <v>43770</v>
      </c>
      <c r="C1163" s="1" t="n">
        <v>45190</v>
      </c>
      <c r="D1163" t="inlineStr">
        <is>
          <t>SKÅNE LÄN</t>
        </is>
      </c>
      <c r="E1163" t="inlineStr">
        <is>
          <t>SIMRISHAMN</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59351-2019</t>
        </is>
      </c>
      <c r="B1164" s="1" t="n">
        <v>43770</v>
      </c>
      <c r="C1164" s="1" t="n">
        <v>45190</v>
      </c>
      <c r="D1164" t="inlineStr">
        <is>
          <t>SKÅNE LÄN</t>
        </is>
      </c>
      <c r="E1164" t="inlineStr">
        <is>
          <t>PERSTORP</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58367-2019</t>
        </is>
      </c>
      <c r="B1165" s="1" t="n">
        <v>43770</v>
      </c>
      <c r="C1165" s="1" t="n">
        <v>45190</v>
      </c>
      <c r="D1165" t="inlineStr">
        <is>
          <t>SKÅNE LÄN</t>
        </is>
      </c>
      <c r="E1165" t="inlineStr">
        <is>
          <t>ÖSTRA GÖINGE</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58885-2019</t>
        </is>
      </c>
      <c r="B1166" s="1" t="n">
        <v>43773</v>
      </c>
      <c r="C1166" s="1" t="n">
        <v>45190</v>
      </c>
      <c r="D1166" t="inlineStr">
        <is>
          <t>SKÅNE LÄN</t>
        </is>
      </c>
      <c r="E1166" t="inlineStr">
        <is>
          <t>SIMRISHAMN</t>
        </is>
      </c>
      <c r="G1166" t="n">
        <v>4.7</v>
      </c>
      <c r="H1166" t="n">
        <v>0</v>
      </c>
      <c r="I1166" t="n">
        <v>0</v>
      </c>
      <c r="J1166" t="n">
        <v>0</v>
      </c>
      <c r="K1166" t="n">
        <v>0</v>
      </c>
      <c r="L1166" t="n">
        <v>0</v>
      </c>
      <c r="M1166" t="n">
        <v>0</v>
      </c>
      <c r="N1166" t="n">
        <v>0</v>
      </c>
      <c r="O1166" t="n">
        <v>0</v>
      </c>
      <c r="P1166" t="n">
        <v>0</v>
      </c>
      <c r="Q1166" t="n">
        <v>0</v>
      </c>
      <c r="R1166" s="2" t="inlineStr"/>
    </row>
    <row r="1167" ht="15" customHeight="1">
      <c r="A1167" t="inlineStr">
        <is>
          <t>A 59293-2019</t>
        </is>
      </c>
      <c r="B1167" s="1" t="n">
        <v>43773</v>
      </c>
      <c r="C1167" s="1" t="n">
        <v>45190</v>
      </c>
      <c r="D1167" t="inlineStr">
        <is>
          <t>SKÅNE LÄN</t>
        </is>
      </c>
      <c r="E1167" t="inlineStr">
        <is>
          <t>KRISTIANSTAD</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58508-2019</t>
        </is>
      </c>
      <c r="B1168" s="1" t="n">
        <v>43773</v>
      </c>
      <c r="C1168" s="1" t="n">
        <v>45190</v>
      </c>
      <c r="D1168" t="inlineStr">
        <is>
          <t>SKÅNE LÄN</t>
        </is>
      </c>
      <c r="E1168" t="inlineStr">
        <is>
          <t>OSBY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58677-2019</t>
        </is>
      </c>
      <c r="B1169" s="1" t="n">
        <v>43773</v>
      </c>
      <c r="C1169" s="1" t="n">
        <v>45190</v>
      </c>
      <c r="D1169" t="inlineStr">
        <is>
          <t>SKÅNE LÄN</t>
        </is>
      </c>
      <c r="E1169" t="inlineStr">
        <is>
          <t>ÖSTRA GÖINGE</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59615-2019</t>
        </is>
      </c>
      <c r="B1170" s="1" t="n">
        <v>43774</v>
      </c>
      <c r="C1170" s="1" t="n">
        <v>45190</v>
      </c>
      <c r="D1170" t="inlineStr">
        <is>
          <t>SKÅNE LÄN</t>
        </is>
      </c>
      <c r="E1170" t="inlineStr">
        <is>
          <t>ÖSTRA GÖINGE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58889-2019</t>
        </is>
      </c>
      <c r="B1171" s="1" t="n">
        <v>43774</v>
      </c>
      <c r="C1171" s="1" t="n">
        <v>45190</v>
      </c>
      <c r="D1171" t="inlineStr">
        <is>
          <t>SKÅNE LÄN</t>
        </is>
      </c>
      <c r="E1171" t="inlineStr">
        <is>
          <t>HÄSSLEHOLM</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59641-2019</t>
        </is>
      </c>
      <c r="B1172" s="1" t="n">
        <v>43774</v>
      </c>
      <c r="C1172" s="1" t="n">
        <v>45190</v>
      </c>
      <c r="D1172" t="inlineStr">
        <is>
          <t>SKÅNE LÄN</t>
        </is>
      </c>
      <c r="E1172" t="inlineStr">
        <is>
          <t>ÖSTRA GÖINGE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59877-2019</t>
        </is>
      </c>
      <c r="B1173" s="1" t="n">
        <v>43775</v>
      </c>
      <c r="C1173" s="1" t="n">
        <v>45190</v>
      </c>
      <c r="D1173" t="inlineStr">
        <is>
          <t>SKÅNE LÄN</t>
        </is>
      </c>
      <c r="E1173" t="inlineStr">
        <is>
          <t>PERSTORP</t>
        </is>
      </c>
      <c r="G1173" t="n">
        <v>4.9</v>
      </c>
      <c r="H1173" t="n">
        <v>0</v>
      </c>
      <c r="I1173" t="n">
        <v>0</v>
      </c>
      <c r="J1173" t="n">
        <v>0</v>
      </c>
      <c r="K1173" t="n">
        <v>0</v>
      </c>
      <c r="L1173" t="n">
        <v>0</v>
      </c>
      <c r="M1173" t="n">
        <v>0</v>
      </c>
      <c r="N1173" t="n">
        <v>0</v>
      </c>
      <c r="O1173" t="n">
        <v>0</v>
      </c>
      <c r="P1173" t="n">
        <v>0</v>
      </c>
      <c r="Q1173" t="n">
        <v>0</v>
      </c>
      <c r="R1173" s="2" t="inlineStr"/>
    </row>
    <row r="1174" ht="15" customHeight="1">
      <c r="A1174" t="inlineStr">
        <is>
          <t>A 59946-2019</t>
        </is>
      </c>
      <c r="B1174" s="1" t="n">
        <v>43775</v>
      </c>
      <c r="C1174" s="1" t="n">
        <v>45190</v>
      </c>
      <c r="D1174" t="inlineStr">
        <is>
          <t>SKÅNE LÄN</t>
        </is>
      </c>
      <c r="E1174" t="inlineStr">
        <is>
          <t>KRISTIANSTAD</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59740-2019</t>
        </is>
      </c>
      <c r="B1175" s="1" t="n">
        <v>43776</v>
      </c>
      <c r="C1175" s="1" t="n">
        <v>45190</v>
      </c>
      <c r="D1175" t="inlineStr">
        <is>
          <t>SKÅNE LÄN</t>
        </is>
      </c>
      <c r="E1175" t="inlineStr">
        <is>
          <t>BROMÖLLA</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59828-2019</t>
        </is>
      </c>
      <c r="B1176" s="1" t="n">
        <v>43777</v>
      </c>
      <c r="C1176" s="1" t="n">
        <v>45190</v>
      </c>
      <c r="D1176" t="inlineStr">
        <is>
          <t>SKÅNE LÄN</t>
        </is>
      </c>
      <c r="E1176" t="inlineStr">
        <is>
          <t>HÄSSLEHOLM</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60102-2019</t>
        </is>
      </c>
      <c r="B1177" s="1" t="n">
        <v>43777</v>
      </c>
      <c r="C1177" s="1" t="n">
        <v>45190</v>
      </c>
      <c r="D1177" t="inlineStr">
        <is>
          <t>SKÅNE LÄN</t>
        </is>
      </c>
      <c r="E1177" t="inlineStr">
        <is>
          <t>PERSTORP</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59818-2019</t>
        </is>
      </c>
      <c r="B1178" s="1" t="n">
        <v>43777</v>
      </c>
      <c r="C1178" s="1" t="n">
        <v>45190</v>
      </c>
      <c r="D1178" t="inlineStr">
        <is>
          <t>SKÅNE LÄN</t>
        </is>
      </c>
      <c r="E1178" t="inlineStr">
        <is>
          <t>ÖRKELLJUNGA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60486-2019</t>
        </is>
      </c>
      <c r="B1179" s="1" t="n">
        <v>43780</v>
      </c>
      <c r="C1179" s="1" t="n">
        <v>45190</v>
      </c>
      <c r="D1179" t="inlineStr">
        <is>
          <t>SKÅNE LÄN</t>
        </is>
      </c>
      <c r="E1179" t="inlineStr">
        <is>
          <t>ÖRKELLJUNGA</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60938-2019</t>
        </is>
      </c>
      <c r="B1180" s="1" t="n">
        <v>43780</v>
      </c>
      <c r="C1180" s="1" t="n">
        <v>45190</v>
      </c>
      <c r="D1180" t="inlineStr">
        <is>
          <t>SKÅNE LÄN</t>
        </is>
      </c>
      <c r="E1180" t="inlineStr">
        <is>
          <t>BROMÖLLA</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61926-2019</t>
        </is>
      </c>
      <c r="B1181" s="1" t="n">
        <v>43781</v>
      </c>
      <c r="C1181" s="1" t="n">
        <v>45190</v>
      </c>
      <c r="D1181" t="inlineStr">
        <is>
          <t>SKÅNE LÄN</t>
        </is>
      </c>
      <c r="E1181" t="inlineStr">
        <is>
          <t>OSBY</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61949-2019</t>
        </is>
      </c>
      <c r="B1182" s="1" t="n">
        <v>43781</v>
      </c>
      <c r="C1182" s="1" t="n">
        <v>45190</v>
      </c>
      <c r="D1182" t="inlineStr">
        <is>
          <t>SKÅNE LÄN</t>
        </is>
      </c>
      <c r="E1182" t="inlineStr">
        <is>
          <t>HÖÖR</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61490-2019</t>
        </is>
      </c>
      <c r="B1183" s="1" t="n">
        <v>43783</v>
      </c>
      <c r="C1183" s="1" t="n">
        <v>45190</v>
      </c>
      <c r="D1183" t="inlineStr">
        <is>
          <t>SKÅNE LÄN</t>
        </is>
      </c>
      <c r="E1183" t="inlineStr">
        <is>
          <t>ÖRKELLJUNGA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61487-2019</t>
        </is>
      </c>
      <c r="B1184" s="1" t="n">
        <v>43783</v>
      </c>
      <c r="C1184" s="1" t="n">
        <v>45190</v>
      </c>
      <c r="D1184" t="inlineStr">
        <is>
          <t>SKÅNE LÄN</t>
        </is>
      </c>
      <c r="E1184" t="inlineStr">
        <is>
          <t>ÖRKELLJUNGA</t>
        </is>
      </c>
      <c r="G1184" t="n">
        <v>5.1</v>
      </c>
      <c r="H1184" t="n">
        <v>0</v>
      </c>
      <c r="I1184" t="n">
        <v>0</v>
      </c>
      <c r="J1184" t="n">
        <v>0</v>
      </c>
      <c r="K1184" t="n">
        <v>0</v>
      </c>
      <c r="L1184" t="n">
        <v>0</v>
      </c>
      <c r="M1184" t="n">
        <v>0</v>
      </c>
      <c r="N1184" t="n">
        <v>0</v>
      </c>
      <c r="O1184" t="n">
        <v>0</v>
      </c>
      <c r="P1184" t="n">
        <v>0</v>
      </c>
      <c r="Q1184" t="n">
        <v>0</v>
      </c>
      <c r="R1184" s="2" t="inlineStr"/>
    </row>
    <row r="1185" ht="15" customHeight="1">
      <c r="A1185" t="inlineStr">
        <is>
          <t>A 61572-2019</t>
        </is>
      </c>
      <c r="B1185" s="1" t="n">
        <v>43784</v>
      </c>
      <c r="C1185" s="1" t="n">
        <v>45190</v>
      </c>
      <c r="D1185" t="inlineStr">
        <is>
          <t>SKÅNE LÄN</t>
        </is>
      </c>
      <c r="E1185" t="inlineStr">
        <is>
          <t>HÄSSLEHOLM</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61665-2019</t>
        </is>
      </c>
      <c r="B1186" s="1" t="n">
        <v>43784</v>
      </c>
      <c r="C1186" s="1" t="n">
        <v>45190</v>
      </c>
      <c r="D1186" t="inlineStr">
        <is>
          <t>SKÅNE LÄN</t>
        </is>
      </c>
      <c r="E1186" t="inlineStr">
        <is>
          <t>HÄSSLEHOLM</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61565-2019</t>
        </is>
      </c>
      <c r="B1187" s="1" t="n">
        <v>43784</v>
      </c>
      <c r="C1187" s="1" t="n">
        <v>45190</v>
      </c>
      <c r="D1187" t="inlineStr">
        <is>
          <t>SKÅNE LÄN</t>
        </is>
      </c>
      <c r="E1187" t="inlineStr">
        <is>
          <t>OSBY</t>
        </is>
      </c>
      <c r="F1187" t="inlineStr">
        <is>
          <t>Sveaskog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61664-2019</t>
        </is>
      </c>
      <c r="B1188" s="1" t="n">
        <v>43784</v>
      </c>
      <c r="C1188" s="1" t="n">
        <v>45190</v>
      </c>
      <c r="D1188" t="inlineStr">
        <is>
          <t>SKÅNE LÄN</t>
        </is>
      </c>
      <c r="E1188" t="inlineStr">
        <is>
          <t>HÄSSLEHOLM</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62459-2019</t>
        </is>
      </c>
      <c r="B1189" s="1" t="n">
        <v>43788</v>
      </c>
      <c r="C1189" s="1" t="n">
        <v>45190</v>
      </c>
      <c r="D1189" t="inlineStr">
        <is>
          <t>SKÅNE LÄN</t>
        </is>
      </c>
      <c r="E1189" t="inlineStr">
        <is>
          <t>HÖÖR</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62669-2019</t>
        </is>
      </c>
      <c r="B1190" s="1" t="n">
        <v>43789</v>
      </c>
      <c r="C1190" s="1" t="n">
        <v>45190</v>
      </c>
      <c r="D1190" t="inlineStr">
        <is>
          <t>SKÅNE LÄN</t>
        </is>
      </c>
      <c r="E1190" t="inlineStr">
        <is>
          <t>KLIPPAN</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62947-2019</t>
        </is>
      </c>
      <c r="B1191" s="1" t="n">
        <v>43790</v>
      </c>
      <c r="C1191" s="1" t="n">
        <v>45190</v>
      </c>
      <c r="D1191" t="inlineStr">
        <is>
          <t>SKÅNE LÄN</t>
        </is>
      </c>
      <c r="E1191" t="inlineStr">
        <is>
          <t>ÖRKELLJUNGA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62997-2019</t>
        </is>
      </c>
      <c r="B1192" s="1" t="n">
        <v>43790</v>
      </c>
      <c r="C1192" s="1" t="n">
        <v>45190</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62978-2019</t>
        </is>
      </c>
      <c r="B1193" s="1" t="n">
        <v>43790</v>
      </c>
      <c r="C1193" s="1" t="n">
        <v>45190</v>
      </c>
      <c r="D1193" t="inlineStr">
        <is>
          <t>SKÅNE LÄN</t>
        </is>
      </c>
      <c r="E1193" t="inlineStr">
        <is>
          <t>HÄSSLEHOLM</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62994-2019</t>
        </is>
      </c>
      <c r="B1194" s="1" t="n">
        <v>43790</v>
      </c>
      <c r="C1194" s="1" t="n">
        <v>45190</v>
      </c>
      <c r="D1194" t="inlineStr">
        <is>
          <t>SKÅNE LÄN</t>
        </is>
      </c>
      <c r="E1194" t="inlineStr">
        <is>
          <t>HÄSSLEHOLM</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62784-2019</t>
        </is>
      </c>
      <c r="B1195" s="1" t="n">
        <v>43790</v>
      </c>
      <c r="C1195" s="1" t="n">
        <v>45190</v>
      </c>
      <c r="D1195" t="inlineStr">
        <is>
          <t>SKÅNE LÄN</t>
        </is>
      </c>
      <c r="E1195" t="inlineStr">
        <is>
          <t>ÖRKELLJUNGA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62981-2019</t>
        </is>
      </c>
      <c r="B1196" s="1" t="n">
        <v>43790</v>
      </c>
      <c r="C1196" s="1" t="n">
        <v>45190</v>
      </c>
      <c r="D1196" t="inlineStr">
        <is>
          <t>SKÅNE LÄN</t>
        </is>
      </c>
      <c r="E1196" t="inlineStr">
        <is>
          <t>HÄSSLEHOLM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63073-2019</t>
        </is>
      </c>
      <c r="B1197" s="1" t="n">
        <v>43791</v>
      </c>
      <c r="C1197" s="1" t="n">
        <v>45190</v>
      </c>
      <c r="D1197" t="inlineStr">
        <is>
          <t>SKÅNE LÄN</t>
        </is>
      </c>
      <c r="E1197" t="inlineStr">
        <is>
          <t>OSBY</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63031-2019</t>
        </is>
      </c>
      <c r="B1198" s="1" t="n">
        <v>43791</v>
      </c>
      <c r="C1198" s="1" t="n">
        <v>45190</v>
      </c>
      <c r="D1198" t="inlineStr">
        <is>
          <t>SKÅNE LÄN</t>
        </is>
      </c>
      <c r="E1198" t="inlineStr">
        <is>
          <t>OSBY</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63710-2019</t>
        </is>
      </c>
      <c r="B1199" s="1" t="n">
        <v>43795</v>
      </c>
      <c r="C1199" s="1" t="n">
        <v>45190</v>
      </c>
      <c r="D1199" t="inlineStr">
        <is>
          <t>SKÅNE LÄN</t>
        </is>
      </c>
      <c r="E1199" t="inlineStr">
        <is>
          <t>HÄSSLEHOLM</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64766-2019</t>
        </is>
      </c>
      <c r="B1200" s="1" t="n">
        <v>43795</v>
      </c>
      <c r="C1200" s="1" t="n">
        <v>45190</v>
      </c>
      <c r="D1200" t="inlineStr">
        <is>
          <t>SKÅNE LÄN</t>
        </is>
      </c>
      <c r="E1200" t="inlineStr">
        <is>
          <t>HÄSSLEHOLM</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64957-2019</t>
        </is>
      </c>
      <c r="B1201" s="1" t="n">
        <v>43795</v>
      </c>
      <c r="C1201" s="1" t="n">
        <v>45190</v>
      </c>
      <c r="D1201" t="inlineStr">
        <is>
          <t>SKÅNE LÄN</t>
        </is>
      </c>
      <c r="E1201" t="inlineStr">
        <is>
          <t>KRISTIANSTAD</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65240-2019</t>
        </is>
      </c>
      <c r="B1202" s="1" t="n">
        <v>43797</v>
      </c>
      <c r="C1202" s="1" t="n">
        <v>45190</v>
      </c>
      <c r="D1202" t="inlineStr">
        <is>
          <t>SKÅNE LÄN</t>
        </is>
      </c>
      <c r="E1202" t="inlineStr">
        <is>
          <t>KLIPPAN</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64629-2019</t>
        </is>
      </c>
      <c r="B1203" s="1" t="n">
        <v>43798</v>
      </c>
      <c r="C1203" s="1" t="n">
        <v>45190</v>
      </c>
      <c r="D1203" t="inlineStr">
        <is>
          <t>SKÅNE LÄN</t>
        </is>
      </c>
      <c r="E1203" t="inlineStr">
        <is>
          <t>HÖRBY</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64949-2019</t>
        </is>
      </c>
      <c r="B1204" s="1" t="n">
        <v>43801</v>
      </c>
      <c r="C1204" s="1" t="n">
        <v>45190</v>
      </c>
      <c r="D1204" t="inlineStr">
        <is>
          <t>SKÅNE LÄN</t>
        </is>
      </c>
      <c r="E1204" t="inlineStr">
        <is>
          <t>KRISTIANSTAD</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64755-2019</t>
        </is>
      </c>
      <c r="B1205" s="1" t="n">
        <v>43801</v>
      </c>
      <c r="C1205" s="1" t="n">
        <v>45190</v>
      </c>
      <c r="D1205" t="inlineStr">
        <is>
          <t>SKÅNE LÄN</t>
        </is>
      </c>
      <c r="E1205" t="inlineStr">
        <is>
          <t>ÄNGELHOLM</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65086-2019</t>
        </is>
      </c>
      <c r="B1206" s="1" t="n">
        <v>43802</v>
      </c>
      <c r="C1206" s="1" t="n">
        <v>45190</v>
      </c>
      <c r="D1206" t="inlineStr">
        <is>
          <t>SKÅNE LÄN</t>
        </is>
      </c>
      <c r="E1206" t="inlineStr">
        <is>
          <t>PERSTORP</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65603-2019</t>
        </is>
      </c>
      <c r="B1207" s="1" t="n">
        <v>43804</v>
      </c>
      <c r="C1207" s="1" t="n">
        <v>45190</v>
      </c>
      <c r="D1207" t="inlineStr">
        <is>
          <t>SKÅNE LÄN</t>
        </is>
      </c>
      <c r="E1207" t="inlineStr">
        <is>
          <t>KRISTIANSTAD</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65778-2019</t>
        </is>
      </c>
      <c r="B1208" s="1" t="n">
        <v>43804</v>
      </c>
      <c r="C1208" s="1" t="n">
        <v>45190</v>
      </c>
      <c r="D1208" t="inlineStr">
        <is>
          <t>SKÅNE LÄN</t>
        </is>
      </c>
      <c r="E1208" t="inlineStr">
        <is>
          <t>PERSTORP</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66782-2019</t>
        </is>
      </c>
      <c r="B1209" s="1" t="n">
        <v>43804</v>
      </c>
      <c r="C1209" s="1" t="n">
        <v>45190</v>
      </c>
      <c r="D1209" t="inlineStr">
        <is>
          <t>SKÅNE LÄN</t>
        </is>
      </c>
      <c r="E1209" t="inlineStr">
        <is>
          <t>KRISTIANSTAD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65672-2019</t>
        </is>
      </c>
      <c r="B1210" s="1" t="n">
        <v>43804</v>
      </c>
      <c r="C1210" s="1" t="n">
        <v>45190</v>
      </c>
      <c r="D1210" t="inlineStr">
        <is>
          <t>SKÅNE LÄN</t>
        </is>
      </c>
      <c r="E1210" t="inlineStr">
        <is>
          <t>KLIPPAN</t>
        </is>
      </c>
      <c r="F1210" t="inlineStr">
        <is>
          <t>Övriga Aktiebolag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66885-2019</t>
        </is>
      </c>
      <c r="B1211" s="1" t="n">
        <v>43805</v>
      </c>
      <c r="C1211" s="1" t="n">
        <v>45190</v>
      </c>
      <c r="D1211" t="inlineStr">
        <is>
          <t>SKÅNE LÄN</t>
        </is>
      </c>
      <c r="E1211" t="inlineStr">
        <is>
          <t>HÄSSLEHOLM</t>
        </is>
      </c>
      <c r="F1211" t="inlineStr">
        <is>
          <t>Övriga Aktiebolag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66060-2019</t>
        </is>
      </c>
      <c r="B1212" s="1" t="n">
        <v>43806</v>
      </c>
      <c r="C1212" s="1" t="n">
        <v>45190</v>
      </c>
      <c r="D1212" t="inlineStr">
        <is>
          <t>SKÅNE LÄN</t>
        </is>
      </c>
      <c r="E1212" t="inlineStr">
        <is>
          <t>HÖÖR</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66083-2019</t>
        </is>
      </c>
      <c r="B1213" s="1" t="n">
        <v>43807</v>
      </c>
      <c r="C1213" s="1" t="n">
        <v>45190</v>
      </c>
      <c r="D1213" t="inlineStr">
        <is>
          <t>SKÅNE LÄN</t>
        </is>
      </c>
      <c r="E1213" t="inlineStr">
        <is>
          <t>OSBY</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66085-2019</t>
        </is>
      </c>
      <c r="B1214" s="1" t="n">
        <v>43807</v>
      </c>
      <c r="C1214" s="1" t="n">
        <v>45190</v>
      </c>
      <c r="D1214" t="inlineStr">
        <is>
          <t>SKÅNE LÄN</t>
        </is>
      </c>
      <c r="E1214" t="inlineStr">
        <is>
          <t>OSBY</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67240-2019</t>
        </is>
      </c>
      <c r="B1215" s="1" t="n">
        <v>43808</v>
      </c>
      <c r="C1215" s="1" t="n">
        <v>45190</v>
      </c>
      <c r="D1215" t="inlineStr">
        <is>
          <t>SKÅNE LÄN</t>
        </is>
      </c>
      <c r="E1215" t="inlineStr">
        <is>
          <t>PERSTORP</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67241-2019</t>
        </is>
      </c>
      <c r="B1216" s="1" t="n">
        <v>43808</v>
      </c>
      <c r="C1216" s="1" t="n">
        <v>45190</v>
      </c>
      <c r="D1216" t="inlineStr">
        <is>
          <t>SKÅNE LÄN</t>
        </is>
      </c>
      <c r="E1216" t="inlineStr">
        <is>
          <t>PERSTORP</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66428-2019</t>
        </is>
      </c>
      <c r="B1217" s="1" t="n">
        <v>43809</v>
      </c>
      <c r="C1217" s="1" t="n">
        <v>45190</v>
      </c>
      <c r="D1217" t="inlineStr">
        <is>
          <t>SKÅNE LÄN</t>
        </is>
      </c>
      <c r="E1217" t="inlineStr">
        <is>
          <t>HÄSSLEHOLM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66662-2019</t>
        </is>
      </c>
      <c r="B1218" s="1" t="n">
        <v>43809</v>
      </c>
      <c r="C1218" s="1" t="n">
        <v>45190</v>
      </c>
      <c r="D1218" t="inlineStr">
        <is>
          <t>SKÅNE LÄN</t>
        </is>
      </c>
      <c r="E1218" t="inlineStr">
        <is>
          <t>HÄSSLEHOLM</t>
        </is>
      </c>
      <c r="G1218" t="n">
        <v>9</v>
      </c>
      <c r="H1218" t="n">
        <v>0</v>
      </c>
      <c r="I1218" t="n">
        <v>0</v>
      </c>
      <c r="J1218" t="n">
        <v>0</v>
      </c>
      <c r="K1218" t="n">
        <v>0</v>
      </c>
      <c r="L1218" t="n">
        <v>0</v>
      </c>
      <c r="M1218" t="n">
        <v>0</v>
      </c>
      <c r="N1218" t="n">
        <v>0</v>
      </c>
      <c r="O1218" t="n">
        <v>0</v>
      </c>
      <c r="P1218" t="n">
        <v>0</v>
      </c>
      <c r="Q1218" t="n">
        <v>0</v>
      </c>
      <c r="R1218" s="2" t="inlineStr"/>
    </row>
    <row r="1219" ht="15" customHeight="1">
      <c r="A1219" t="inlineStr">
        <is>
          <t>A 67739-2019</t>
        </is>
      </c>
      <c r="B1219" s="1" t="n">
        <v>43810</v>
      </c>
      <c r="C1219" s="1" t="n">
        <v>45190</v>
      </c>
      <c r="D1219" t="inlineStr">
        <is>
          <t>SKÅNE LÄN</t>
        </is>
      </c>
      <c r="E1219" t="inlineStr">
        <is>
          <t>ÄNGELHOLM</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67731-2019</t>
        </is>
      </c>
      <c r="B1220" s="1" t="n">
        <v>43810</v>
      </c>
      <c r="C1220" s="1" t="n">
        <v>45190</v>
      </c>
      <c r="D1220" t="inlineStr">
        <is>
          <t>SKÅNE LÄN</t>
        </is>
      </c>
      <c r="E1220" t="inlineStr">
        <is>
          <t>ÄNGELHOLM</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66796-2019</t>
        </is>
      </c>
      <c r="B1221" s="1" t="n">
        <v>43810</v>
      </c>
      <c r="C1221" s="1" t="n">
        <v>45190</v>
      </c>
      <c r="D1221" t="inlineStr">
        <is>
          <t>SKÅNE LÄN</t>
        </is>
      </c>
      <c r="E1221" t="inlineStr">
        <is>
          <t>HÖÖR</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67756-2019</t>
        </is>
      </c>
      <c r="B1222" s="1" t="n">
        <v>43810</v>
      </c>
      <c r="C1222" s="1" t="n">
        <v>45190</v>
      </c>
      <c r="D1222" t="inlineStr">
        <is>
          <t>SKÅNE LÄN</t>
        </is>
      </c>
      <c r="E1222" t="inlineStr">
        <is>
          <t>HÄSSLEHOLM</t>
        </is>
      </c>
      <c r="G1222" t="n">
        <v>4.2</v>
      </c>
      <c r="H1222" t="n">
        <v>0</v>
      </c>
      <c r="I1222" t="n">
        <v>0</v>
      </c>
      <c r="J1222" t="n">
        <v>0</v>
      </c>
      <c r="K1222" t="n">
        <v>0</v>
      </c>
      <c r="L1222" t="n">
        <v>0</v>
      </c>
      <c r="M1222" t="n">
        <v>0</v>
      </c>
      <c r="N1222" t="n">
        <v>0</v>
      </c>
      <c r="O1222" t="n">
        <v>0</v>
      </c>
      <c r="P1222" t="n">
        <v>0</v>
      </c>
      <c r="Q1222" t="n">
        <v>0</v>
      </c>
      <c r="R1222" s="2" t="inlineStr"/>
    </row>
    <row r="1223" ht="15" customHeight="1">
      <c r="A1223" t="inlineStr">
        <is>
          <t>A 68517-2019</t>
        </is>
      </c>
      <c r="B1223" s="1" t="n">
        <v>43811</v>
      </c>
      <c r="C1223" s="1" t="n">
        <v>45190</v>
      </c>
      <c r="D1223" t="inlineStr">
        <is>
          <t>SKÅNE LÄN</t>
        </is>
      </c>
      <c r="E1223" t="inlineStr">
        <is>
          <t>SVALÖV</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67050-2019</t>
        </is>
      </c>
      <c r="B1224" s="1" t="n">
        <v>43811</v>
      </c>
      <c r="C1224" s="1" t="n">
        <v>45190</v>
      </c>
      <c r="D1224" t="inlineStr">
        <is>
          <t>SKÅNE LÄN</t>
        </is>
      </c>
      <c r="E1224" t="inlineStr">
        <is>
          <t>ÖRKELLJUNGA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67195-2019</t>
        </is>
      </c>
      <c r="B1225" s="1" t="n">
        <v>43811</v>
      </c>
      <c r="C1225" s="1" t="n">
        <v>45190</v>
      </c>
      <c r="D1225" t="inlineStr">
        <is>
          <t>SKÅNE LÄN</t>
        </is>
      </c>
      <c r="E1225" t="inlineStr">
        <is>
          <t>KRISTIANSTAD</t>
        </is>
      </c>
      <c r="G1225" t="n">
        <v>17.9</v>
      </c>
      <c r="H1225" t="n">
        <v>0</v>
      </c>
      <c r="I1225" t="n">
        <v>0</v>
      </c>
      <c r="J1225" t="n">
        <v>0</v>
      </c>
      <c r="K1225" t="n">
        <v>0</v>
      </c>
      <c r="L1225" t="n">
        <v>0</v>
      </c>
      <c r="M1225" t="n">
        <v>0</v>
      </c>
      <c r="N1225" t="n">
        <v>0</v>
      </c>
      <c r="O1225" t="n">
        <v>0</v>
      </c>
      <c r="P1225" t="n">
        <v>0</v>
      </c>
      <c r="Q1225" t="n">
        <v>0</v>
      </c>
      <c r="R1225" s="2" t="inlineStr"/>
    </row>
    <row r="1226" ht="15" customHeight="1">
      <c r="A1226" t="inlineStr">
        <is>
          <t>A 67147-2019</t>
        </is>
      </c>
      <c r="B1226" s="1" t="n">
        <v>43811</v>
      </c>
      <c r="C1226" s="1" t="n">
        <v>45190</v>
      </c>
      <c r="D1226" t="inlineStr">
        <is>
          <t>SKÅNE LÄN</t>
        </is>
      </c>
      <c r="E1226" t="inlineStr">
        <is>
          <t>KRISTIANSTAD</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67048-2019</t>
        </is>
      </c>
      <c r="B1227" s="1" t="n">
        <v>43811</v>
      </c>
      <c r="C1227" s="1" t="n">
        <v>45190</v>
      </c>
      <c r="D1227" t="inlineStr">
        <is>
          <t>SKÅNE LÄN</t>
        </is>
      </c>
      <c r="E1227" t="inlineStr">
        <is>
          <t>ÖRKELLJUNGA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68546-2019</t>
        </is>
      </c>
      <c r="B1228" s="1" t="n">
        <v>43811</v>
      </c>
      <c r="C1228" s="1" t="n">
        <v>45190</v>
      </c>
      <c r="D1228" t="inlineStr">
        <is>
          <t>SKÅNE LÄN</t>
        </is>
      </c>
      <c r="E1228" t="inlineStr">
        <is>
          <t>HÄSSLEHOLM</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67347-2019</t>
        </is>
      </c>
      <c r="B1229" s="1" t="n">
        <v>43812</v>
      </c>
      <c r="C1229" s="1" t="n">
        <v>45190</v>
      </c>
      <c r="D1229" t="inlineStr">
        <is>
          <t>SKÅNE LÄN</t>
        </is>
      </c>
      <c r="E1229" t="inlineStr">
        <is>
          <t>KRISTIANSTAD</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68817-2019</t>
        </is>
      </c>
      <c r="B1230" s="1" t="n">
        <v>43815</v>
      </c>
      <c r="C1230" s="1" t="n">
        <v>45190</v>
      </c>
      <c r="D1230" t="inlineStr">
        <is>
          <t>SKÅNE LÄN</t>
        </is>
      </c>
      <c r="E1230" t="inlineStr">
        <is>
          <t>HÄSSLEHOLM</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68676-2019</t>
        </is>
      </c>
      <c r="B1231" s="1" t="n">
        <v>43815</v>
      </c>
      <c r="C1231" s="1" t="n">
        <v>45190</v>
      </c>
      <c r="D1231" t="inlineStr">
        <is>
          <t>SKÅNE LÄN</t>
        </is>
      </c>
      <c r="E1231" t="inlineStr">
        <is>
          <t>PERSTORP</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67882-2019</t>
        </is>
      </c>
      <c r="B1232" s="1" t="n">
        <v>43816</v>
      </c>
      <c r="C1232" s="1" t="n">
        <v>45190</v>
      </c>
      <c r="D1232" t="inlineStr">
        <is>
          <t>SKÅNE LÄN</t>
        </is>
      </c>
      <c r="E1232" t="inlineStr">
        <is>
          <t>HÖRBY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67970-2019</t>
        </is>
      </c>
      <c r="B1233" s="1" t="n">
        <v>43816</v>
      </c>
      <c r="C1233" s="1" t="n">
        <v>45190</v>
      </c>
      <c r="D1233" t="inlineStr">
        <is>
          <t>SKÅNE LÄN</t>
        </is>
      </c>
      <c r="E1233" t="inlineStr">
        <is>
          <t>KRISTIANSTAD</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68071-2019</t>
        </is>
      </c>
      <c r="B1234" s="1" t="n">
        <v>43816</v>
      </c>
      <c r="C1234" s="1" t="n">
        <v>45190</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67968-2019</t>
        </is>
      </c>
      <c r="B1235" s="1" t="n">
        <v>43816</v>
      </c>
      <c r="C1235" s="1" t="n">
        <v>45190</v>
      </c>
      <c r="D1235" t="inlineStr">
        <is>
          <t>SKÅNE LÄN</t>
        </is>
      </c>
      <c r="E1235" t="inlineStr">
        <is>
          <t>KRISTIANSTAD</t>
        </is>
      </c>
      <c r="F1235" t="inlineStr">
        <is>
          <t>Övriga Aktiebolag</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68668-2019</t>
        </is>
      </c>
      <c r="B1236" s="1" t="n">
        <v>43816</v>
      </c>
      <c r="C1236" s="1" t="n">
        <v>45190</v>
      </c>
      <c r="D1236" t="inlineStr">
        <is>
          <t>SKÅNE LÄN</t>
        </is>
      </c>
      <c r="E1236" t="inlineStr">
        <is>
          <t>KLIPPAN</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318-2020</t>
        </is>
      </c>
      <c r="B1237" s="1" t="n">
        <v>43816</v>
      </c>
      <c r="C1237" s="1" t="n">
        <v>45190</v>
      </c>
      <c r="D1237" t="inlineStr">
        <is>
          <t>SKÅNE LÄN</t>
        </is>
      </c>
      <c r="E1237" t="inlineStr">
        <is>
          <t>KLIPPAN</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436-2020</t>
        </is>
      </c>
      <c r="B1238" s="1" t="n">
        <v>43816</v>
      </c>
      <c r="C1238" s="1" t="n">
        <v>45190</v>
      </c>
      <c r="D1238" t="inlineStr">
        <is>
          <t>SKÅNE LÄN</t>
        </is>
      </c>
      <c r="E1238" t="inlineStr">
        <is>
          <t>ESLÖV</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68070-2019</t>
        </is>
      </c>
      <c r="B1239" s="1" t="n">
        <v>43816</v>
      </c>
      <c r="C1239" s="1" t="n">
        <v>45190</v>
      </c>
      <c r="D1239" t="inlineStr">
        <is>
          <t>SKÅNE LÄN</t>
        </is>
      </c>
      <c r="E1239" t="inlineStr">
        <is>
          <t>SJÖBO</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68072-2019</t>
        </is>
      </c>
      <c r="B1240" s="1" t="n">
        <v>43816</v>
      </c>
      <c r="C1240" s="1" t="n">
        <v>45190</v>
      </c>
      <c r="D1240" t="inlineStr">
        <is>
          <t>SKÅNE LÄN</t>
        </is>
      </c>
      <c r="E1240" t="inlineStr">
        <is>
          <t>SJÖBO</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435-2020</t>
        </is>
      </c>
      <c r="B1241" s="1" t="n">
        <v>43817</v>
      </c>
      <c r="C1241" s="1" t="n">
        <v>45190</v>
      </c>
      <c r="D1241" t="inlineStr">
        <is>
          <t>SKÅNE LÄN</t>
        </is>
      </c>
      <c r="E1241" t="inlineStr">
        <is>
          <t>KLIPPAN</t>
        </is>
      </c>
      <c r="F1241" t="inlineStr">
        <is>
          <t>Övriga Aktiebolag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68161-2019</t>
        </is>
      </c>
      <c r="B1242" s="1" t="n">
        <v>43817</v>
      </c>
      <c r="C1242" s="1" t="n">
        <v>45190</v>
      </c>
      <c r="D1242" t="inlineStr">
        <is>
          <t>SKÅNE LÄN</t>
        </is>
      </c>
      <c r="E1242" t="inlineStr">
        <is>
          <t>ÖSTRA GÖINGE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851-2020</t>
        </is>
      </c>
      <c r="B1243" s="1" t="n">
        <v>43818</v>
      </c>
      <c r="C1243" s="1" t="n">
        <v>45190</v>
      </c>
      <c r="D1243" t="inlineStr">
        <is>
          <t>SKÅNE LÄN</t>
        </is>
      </c>
      <c r="E1243" t="inlineStr">
        <is>
          <t>KRISTIANSTAD</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842-2020</t>
        </is>
      </c>
      <c r="B1244" s="1" t="n">
        <v>43818</v>
      </c>
      <c r="C1244" s="1" t="n">
        <v>45190</v>
      </c>
      <c r="D1244" t="inlineStr">
        <is>
          <t>SKÅNE LÄN</t>
        </is>
      </c>
      <c r="E1244" t="inlineStr">
        <is>
          <t>KRISTIANSTAD</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68525-2019</t>
        </is>
      </c>
      <c r="B1245" s="1" t="n">
        <v>43818</v>
      </c>
      <c r="C1245" s="1" t="n">
        <v>45190</v>
      </c>
      <c r="D1245" t="inlineStr">
        <is>
          <t>SKÅNE LÄN</t>
        </is>
      </c>
      <c r="E1245" t="inlineStr">
        <is>
          <t>ÖSTRA GÖINGE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68737-2019</t>
        </is>
      </c>
      <c r="B1246" s="1" t="n">
        <v>43819</v>
      </c>
      <c r="C1246" s="1" t="n">
        <v>45190</v>
      </c>
      <c r="D1246" t="inlineStr">
        <is>
          <t>SKÅNE LÄN</t>
        </is>
      </c>
      <c r="E1246" t="inlineStr">
        <is>
          <t>KLIPPAN</t>
        </is>
      </c>
      <c r="F1246" t="inlineStr">
        <is>
          <t>Sveaskog</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68761-2019</t>
        </is>
      </c>
      <c r="B1247" s="1" t="n">
        <v>43819</v>
      </c>
      <c r="C1247" s="1" t="n">
        <v>45190</v>
      </c>
      <c r="D1247" t="inlineStr">
        <is>
          <t>SKÅNE LÄN</t>
        </is>
      </c>
      <c r="E1247" t="inlineStr">
        <is>
          <t>PERSTORP</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68791-2019</t>
        </is>
      </c>
      <c r="B1248" s="1" t="n">
        <v>43819</v>
      </c>
      <c r="C1248" s="1" t="n">
        <v>45190</v>
      </c>
      <c r="D1248" t="inlineStr">
        <is>
          <t>SKÅNE LÄN</t>
        </is>
      </c>
      <c r="E1248" t="inlineStr">
        <is>
          <t>PERSTORP</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68781-2019</t>
        </is>
      </c>
      <c r="B1249" s="1" t="n">
        <v>43819</v>
      </c>
      <c r="C1249" s="1" t="n">
        <v>45190</v>
      </c>
      <c r="D1249" t="inlineStr">
        <is>
          <t>SKÅNE LÄN</t>
        </is>
      </c>
      <c r="E1249" t="inlineStr">
        <is>
          <t>PERSTORP</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1379-2020</t>
        </is>
      </c>
      <c r="B1250" s="1" t="n">
        <v>43822</v>
      </c>
      <c r="C1250" s="1" t="n">
        <v>45190</v>
      </c>
      <c r="D1250" t="inlineStr">
        <is>
          <t>SKÅNE LÄN</t>
        </is>
      </c>
      <c r="E1250" t="inlineStr">
        <is>
          <t>OSBY</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1315-2020</t>
        </is>
      </c>
      <c r="B1251" s="1" t="n">
        <v>43822</v>
      </c>
      <c r="C1251" s="1" t="n">
        <v>45190</v>
      </c>
      <c r="D1251" t="inlineStr">
        <is>
          <t>SKÅNE LÄN</t>
        </is>
      </c>
      <c r="E1251" t="inlineStr">
        <is>
          <t>SIMRISHAMN</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1382-2020</t>
        </is>
      </c>
      <c r="B1252" s="1" t="n">
        <v>43822</v>
      </c>
      <c r="C1252" s="1" t="n">
        <v>45190</v>
      </c>
      <c r="D1252" t="inlineStr">
        <is>
          <t>SKÅNE LÄN</t>
        </is>
      </c>
      <c r="E1252" t="inlineStr">
        <is>
          <t>OSBY</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1372-2020</t>
        </is>
      </c>
      <c r="B1253" s="1" t="n">
        <v>43822</v>
      </c>
      <c r="C1253" s="1" t="n">
        <v>45190</v>
      </c>
      <c r="D1253" t="inlineStr">
        <is>
          <t>SKÅNE LÄN</t>
        </is>
      </c>
      <c r="E1253" t="inlineStr">
        <is>
          <t>OSBY</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68977-2019</t>
        </is>
      </c>
      <c r="B1254" s="1" t="n">
        <v>43824</v>
      </c>
      <c r="C1254" s="1" t="n">
        <v>45190</v>
      </c>
      <c r="D1254" t="inlineStr">
        <is>
          <t>SKÅNE LÄN</t>
        </is>
      </c>
      <c r="E1254" t="inlineStr">
        <is>
          <t>ÖRKELLJUNGA</t>
        </is>
      </c>
      <c r="G1254" t="n">
        <v>5.9</v>
      </c>
      <c r="H1254" t="n">
        <v>0</v>
      </c>
      <c r="I1254" t="n">
        <v>0</v>
      </c>
      <c r="J1254" t="n">
        <v>0</v>
      </c>
      <c r="K1254" t="n">
        <v>0</v>
      </c>
      <c r="L1254" t="n">
        <v>0</v>
      </c>
      <c r="M1254" t="n">
        <v>0</v>
      </c>
      <c r="N1254" t="n">
        <v>0</v>
      </c>
      <c r="O1254" t="n">
        <v>0</v>
      </c>
      <c r="P1254" t="n">
        <v>0</v>
      </c>
      <c r="Q1254" t="n">
        <v>0</v>
      </c>
      <c r="R1254" s="2" t="inlineStr"/>
    </row>
    <row r="1255" ht="15" customHeight="1">
      <c r="A1255" t="inlineStr">
        <is>
          <t>A 69128-2019</t>
        </is>
      </c>
      <c r="B1255" s="1" t="n">
        <v>43829</v>
      </c>
      <c r="C1255" s="1" t="n">
        <v>45190</v>
      </c>
      <c r="D1255" t="inlineStr">
        <is>
          <t>SKÅNE LÄN</t>
        </is>
      </c>
      <c r="E1255" t="inlineStr">
        <is>
          <t>ÖSTRA GÖINGE</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247-2020</t>
        </is>
      </c>
      <c r="B1256" s="1" t="n">
        <v>43835</v>
      </c>
      <c r="C1256" s="1" t="n">
        <v>45190</v>
      </c>
      <c r="D1256" t="inlineStr">
        <is>
          <t>SKÅNE LÄN</t>
        </is>
      </c>
      <c r="E1256" t="inlineStr">
        <is>
          <t>SVALÖV</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1828-2020</t>
        </is>
      </c>
      <c r="B1257" s="1" t="n">
        <v>43837</v>
      </c>
      <c r="C1257" s="1" t="n">
        <v>45190</v>
      </c>
      <c r="D1257" t="inlineStr">
        <is>
          <t>SKÅNE LÄN</t>
        </is>
      </c>
      <c r="E1257" t="inlineStr">
        <is>
          <t>PERSTORP</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554-2020</t>
        </is>
      </c>
      <c r="B1258" s="1" t="n">
        <v>43838</v>
      </c>
      <c r="C1258" s="1" t="n">
        <v>45190</v>
      </c>
      <c r="D1258" t="inlineStr">
        <is>
          <t>SKÅNE LÄN</t>
        </is>
      </c>
      <c r="E1258" t="inlineStr">
        <is>
          <t>BROMÖLLA</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607-2020</t>
        </is>
      </c>
      <c r="B1259" s="1" t="n">
        <v>43838</v>
      </c>
      <c r="C1259" s="1" t="n">
        <v>45190</v>
      </c>
      <c r="D1259" t="inlineStr">
        <is>
          <t>SKÅNE LÄN</t>
        </is>
      </c>
      <c r="E1259" t="inlineStr">
        <is>
          <t>OSBY</t>
        </is>
      </c>
      <c r="F1259" t="inlineStr">
        <is>
          <t>Sveaskog</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556-2020</t>
        </is>
      </c>
      <c r="B1260" s="1" t="n">
        <v>43838</v>
      </c>
      <c r="C1260" s="1" t="n">
        <v>45190</v>
      </c>
      <c r="D1260" t="inlineStr">
        <is>
          <t>SKÅNE LÄN</t>
        </is>
      </c>
      <c r="E1260" t="inlineStr">
        <is>
          <t>BROMÖLLA</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850-2020</t>
        </is>
      </c>
      <c r="B1261" s="1" t="n">
        <v>43839</v>
      </c>
      <c r="C1261" s="1" t="n">
        <v>45190</v>
      </c>
      <c r="D1261" t="inlineStr">
        <is>
          <t>SKÅNE LÄN</t>
        </is>
      </c>
      <c r="E1261" t="inlineStr">
        <is>
          <t>OSBY</t>
        </is>
      </c>
      <c r="F1261" t="inlineStr">
        <is>
          <t>Kyrkan</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1249-2020</t>
        </is>
      </c>
      <c r="B1262" s="1" t="n">
        <v>43840</v>
      </c>
      <c r="C1262" s="1" t="n">
        <v>45190</v>
      </c>
      <c r="D1262" t="inlineStr">
        <is>
          <t>SKÅNE LÄN</t>
        </is>
      </c>
      <c r="E1262" t="inlineStr">
        <is>
          <t>KRISTIANSTAD</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1081-2020</t>
        </is>
      </c>
      <c r="B1263" s="1" t="n">
        <v>43840</v>
      </c>
      <c r="C1263" s="1" t="n">
        <v>45190</v>
      </c>
      <c r="D1263" t="inlineStr">
        <is>
          <t>SKÅNE LÄN</t>
        </is>
      </c>
      <c r="E1263" t="inlineStr">
        <is>
          <t>ÖRKELLJUNGA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1345-2020</t>
        </is>
      </c>
      <c r="B1264" s="1" t="n">
        <v>43843</v>
      </c>
      <c r="C1264" s="1" t="n">
        <v>45190</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1391-2020</t>
        </is>
      </c>
      <c r="B1265" s="1" t="n">
        <v>43843</v>
      </c>
      <c r="C1265" s="1" t="n">
        <v>45190</v>
      </c>
      <c r="D1265" t="inlineStr">
        <is>
          <t>SKÅNE LÄN</t>
        </is>
      </c>
      <c r="E1265" t="inlineStr">
        <is>
          <t>SVALÖV</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1413-2020</t>
        </is>
      </c>
      <c r="B1266" s="1" t="n">
        <v>43843</v>
      </c>
      <c r="C1266" s="1" t="n">
        <v>45190</v>
      </c>
      <c r="D1266" t="inlineStr">
        <is>
          <t>SKÅNE LÄN</t>
        </is>
      </c>
      <c r="E1266" t="inlineStr">
        <is>
          <t>OSBY</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3189-2020</t>
        </is>
      </c>
      <c r="B1267" s="1" t="n">
        <v>43844</v>
      </c>
      <c r="C1267" s="1" t="n">
        <v>45190</v>
      </c>
      <c r="D1267" t="inlineStr">
        <is>
          <t>SKÅNE LÄN</t>
        </is>
      </c>
      <c r="E1267" t="inlineStr">
        <is>
          <t>HÄSSLEHOLM</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2700-2020</t>
        </is>
      </c>
      <c r="B1268" s="1" t="n">
        <v>43844</v>
      </c>
      <c r="C1268" s="1" t="n">
        <v>45190</v>
      </c>
      <c r="D1268" t="inlineStr">
        <is>
          <t>SKÅNE LÄN</t>
        </is>
      </c>
      <c r="E1268" t="inlineStr">
        <is>
          <t>HÄSSLEHOLM</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1909-2020</t>
        </is>
      </c>
      <c r="B1269" s="1" t="n">
        <v>43845</v>
      </c>
      <c r="C1269" s="1" t="n">
        <v>45190</v>
      </c>
      <c r="D1269" t="inlineStr">
        <is>
          <t>SKÅNE LÄN</t>
        </is>
      </c>
      <c r="E1269" t="inlineStr">
        <is>
          <t>HÄSSLEHOLM</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1901-2020</t>
        </is>
      </c>
      <c r="B1270" s="1" t="n">
        <v>43845</v>
      </c>
      <c r="C1270" s="1" t="n">
        <v>45190</v>
      </c>
      <c r="D1270" t="inlineStr">
        <is>
          <t>SKÅNE LÄN</t>
        </is>
      </c>
      <c r="E1270" t="inlineStr">
        <is>
          <t>OSBY</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2036-2020</t>
        </is>
      </c>
      <c r="B1271" s="1" t="n">
        <v>43845</v>
      </c>
      <c r="C1271" s="1" t="n">
        <v>45190</v>
      </c>
      <c r="D1271" t="inlineStr">
        <is>
          <t>SKÅNE LÄN</t>
        </is>
      </c>
      <c r="E1271" t="inlineStr">
        <is>
          <t>HÄSSLEHOLM</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2089-2020</t>
        </is>
      </c>
      <c r="B1272" s="1" t="n">
        <v>43845</v>
      </c>
      <c r="C1272" s="1" t="n">
        <v>45190</v>
      </c>
      <c r="D1272" t="inlineStr">
        <is>
          <t>SKÅNE LÄN</t>
        </is>
      </c>
      <c r="E1272" t="inlineStr">
        <is>
          <t>PERSTORP</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3573-2020</t>
        </is>
      </c>
      <c r="B1273" s="1" t="n">
        <v>43845</v>
      </c>
      <c r="C1273" s="1" t="n">
        <v>45190</v>
      </c>
      <c r="D1273" t="inlineStr">
        <is>
          <t>SKÅNE LÄN</t>
        </is>
      </c>
      <c r="E1273" t="inlineStr">
        <is>
          <t>KRISTIANSTAD</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3624-2020</t>
        </is>
      </c>
      <c r="B1274" s="1" t="n">
        <v>43845</v>
      </c>
      <c r="C1274" s="1" t="n">
        <v>45190</v>
      </c>
      <c r="D1274" t="inlineStr">
        <is>
          <t>SKÅNE LÄN</t>
        </is>
      </c>
      <c r="E1274" t="inlineStr">
        <is>
          <t>KRISTIANSTAD</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2555-2020</t>
        </is>
      </c>
      <c r="B1275" s="1" t="n">
        <v>43847</v>
      </c>
      <c r="C1275" s="1" t="n">
        <v>45190</v>
      </c>
      <c r="D1275" t="inlineStr">
        <is>
          <t>SKÅNE LÄN</t>
        </is>
      </c>
      <c r="E1275" t="inlineStr">
        <is>
          <t>BÅSTAD</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3441-2020</t>
        </is>
      </c>
      <c r="B1276" s="1" t="n">
        <v>43847</v>
      </c>
      <c r="C1276" s="1" t="n">
        <v>45190</v>
      </c>
      <c r="D1276" t="inlineStr">
        <is>
          <t>SKÅNE LÄN</t>
        </is>
      </c>
      <c r="E1276" t="inlineStr">
        <is>
          <t>HÄSSLEHOLM</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2961-2020</t>
        </is>
      </c>
      <c r="B1277" s="1" t="n">
        <v>43850</v>
      </c>
      <c r="C1277" s="1" t="n">
        <v>45190</v>
      </c>
      <c r="D1277" t="inlineStr">
        <is>
          <t>SKÅNE LÄN</t>
        </is>
      </c>
      <c r="E1277" t="inlineStr">
        <is>
          <t>KLIPPAN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2731-2020</t>
        </is>
      </c>
      <c r="B1278" s="1" t="n">
        <v>43850</v>
      </c>
      <c r="C1278" s="1" t="n">
        <v>45190</v>
      </c>
      <c r="D1278" t="inlineStr">
        <is>
          <t>SKÅNE LÄN</t>
        </is>
      </c>
      <c r="E1278" t="inlineStr">
        <is>
          <t>HÄSSLEHOLM</t>
        </is>
      </c>
      <c r="G1278" t="n">
        <v>6.2</v>
      </c>
      <c r="H1278" t="n">
        <v>0</v>
      </c>
      <c r="I1278" t="n">
        <v>0</v>
      </c>
      <c r="J1278" t="n">
        <v>0</v>
      </c>
      <c r="K1278" t="n">
        <v>0</v>
      </c>
      <c r="L1278" t="n">
        <v>0</v>
      </c>
      <c r="M1278" t="n">
        <v>0</v>
      </c>
      <c r="N1278" t="n">
        <v>0</v>
      </c>
      <c r="O1278" t="n">
        <v>0</v>
      </c>
      <c r="P1278" t="n">
        <v>0</v>
      </c>
      <c r="Q1278" t="n">
        <v>0</v>
      </c>
      <c r="R1278" s="2" t="inlineStr"/>
    </row>
    <row r="1279" ht="15" customHeight="1">
      <c r="A1279" t="inlineStr">
        <is>
          <t>A 4669-2020</t>
        </is>
      </c>
      <c r="B1279" s="1" t="n">
        <v>43852</v>
      </c>
      <c r="C1279" s="1" t="n">
        <v>45190</v>
      </c>
      <c r="D1279" t="inlineStr">
        <is>
          <t>SKÅNE LÄN</t>
        </is>
      </c>
      <c r="E1279" t="inlineStr">
        <is>
          <t>ÖRKELLJUNGA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3965-2020</t>
        </is>
      </c>
      <c r="B1280" s="1" t="n">
        <v>43854</v>
      </c>
      <c r="C1280" s="1" t="n">
        <v>45190</v>
      </c>
      <c r="D1280" t="inlineStr">
        <is>
          <t>SKÅNE LÄN</t>
        </is>
      </c>
      <c r="E1280" t="inlineStr">
        <is>
          <t>OSBY</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4085-2020</t>
        </is>
      </c>
      <c r="B1281" s="1" t="n">
        <v>43857</v>
      </c>
      <c r="C1281" s="1" t="n">
        <v>45190</v>
      </c>
      <c r="D1281" t="inlineStr">
        <is>
          <t>SKÅNE LÄN</t>
        </is>
      </c>
      <c r="E1281" t="inlineStr">
        <is>
          <t>ÖRKELLJUNGA</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4635-2020</t>
        </is>
      </c>
      <c r="B1282" s="1" t="n">
        <v>43858</v>
      </c>
      <c r="C1282" s="1" t="n">
        <v>45190</v>
      </c>
      <c r="D1282" t="inlineStr">
        <is>
          <t>SKÅNE LÄN</t>
        </is>
      </c>
      <c r="E1282" t="inlineStr">
        <is>
          <t>HÄSSLEHOLM</t>
        </is>
      </c>
      <c r="G1282" t="n">
        <v>10.7</v>
      </c>
      <c r="H1282" t="n">
        <v>0</v>
      </c>
      <c r="I1282" t="n">
        <v>0</v>
      </c>
      <c r="J1282" t="n">
        <v>0</v>
      </c>
      <c r="K1282" t="n">
        <v>0</v>
      </c>
      <c r="L1282" t="n">
        <v>0</v>
      </c>
      <c r="M1282" t="n">
        <v>0</v>
      </c>
      <c r="N1282" t="n">
        <v>0</v>
      </c>
      <c r="O1282" t="n">
        <v>0</v>
      </c>
      <c r="P1282" t="n">
        <v>0</v>
      </c>
      <c r="Q1282" t="n">
        <v>0</v>
      </c>
      <c r="R1282" s="2" t="inlineStr"/>
    </row>
    <row r="1283" ht="15" customHeight="1">
      <c r="A1283" t="inlineStr">
        <is>
          <t>A 4385-2020</t>
        </is>
      </c>
      <c r="B1283" s="1" t="n">
        <v>43858</v>
      </c>
      <c r="C1283" s="1" t="n">
        <v>45190</v>
      </c>
      <c r="D1283" t="inlineStr">
        <is>
          <t>SKÅNE LÄN</t>
        </is>
      </c>
      <c r="E1283" t="inlineStr">
        <is>
          <t>OSBY</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4750-2020</t>
        </is>
      </c>
      <c r="B1284" s="1" t="n">
        <v>43859</v>
      </c>
      <c r="C1284" s="1" t="n">
        <v>45190</v>
      </c>
      <c r="D1284" t="inlineStr">
        <is>
          <t>SKÅNE LÄN</t>
        </is>
      </c>
      <c r="E1284" t="inlineStr">
        <is>
          <t>HÄSSLEHOLM</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5523-2020</t>
        </is>
      </c>
      <c r="B1285" s="1" t="n">
        <v>43859</v>
      </c>
      <c r="C1285" s="1" t="n">
        <v>45190</v>
      </c>
      <c r="D1285" t="inlineStr">
        <is>
          <t>SKÅNE LÄN</t>
        </is>
      </c>
      <c r="E1285" t="inlineStr">
        <is>
          <t>KLIPPAN</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4974-2020</t>
        </is>
      </c>
      <c r="B1286" s="1" t="n">
        <v>43859</v>
      </c>
      <c r="C1286" s="1" t="n">
        <v>45190</v>
      </c>
      <c r="D1286" t="inlineStr">
        <is>
          <t>SKÅNE LÄN</t>
        </is>
      </c>
      <c r="E1286" t="inlineStr">
        <is>
          <t>HÄSSLEHOLM</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5177-2020</t>
        </is>
      </c>
      <c r="B1287" s="1" t="n">
        <v>43860</v>
      </c>
      <c r="C1287" s="1" t="n">
        <v>45190</v>
      </c>
      <c r="D1287" t="inlineStr">
        <is>
          <t>SKÅNE LÄN</t>
        </is>
      </c>
      <c r="E1287" t="inlineStr">
        <is>
          <t>KRISTIANSTAD</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5190-2020</t>
        </is>
      </c>
      <c r="B1288" s="1" t="n">
        <v>43860</v>
      </c>
      <c r="C1288" s="1" t="n">
        <v>45190</v>
      </c>
      <c r="D1288" t="inlineStr">
        <is>
          <t>SKÅNE LÄN</t>
        </is>
      </c>
      <c r="E1288" t="inlineStr">
        <is>
          <t>HÄSSLEHOLM</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5678-2020</t>
        </is>
      </c>
      <c r="B1289" s="1" t="n">
        <v>43861</v>
      </c>
      <c r="C1289" s="1" t="n">
        <v>45190</v>
      </c>
      <c r="D1289" t="inlineStr">
        <is>
          <t>SKÅNE LÄN</t>
        </is>
      </c>
      <c r="E1289" t="inlineStr">
        <is>
          <t>HÖÖR</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5852-2020</t>
        </is>
      </c>
      <c r="B1290" s="1" t="n">
        <v>43864</v>
      </c>
      <c r="C1290" s="1" t="n">
        <v>45190</v>
      </c>
      <c r="D1290" t="inlineStr">
        <is>
          <t>SKÅNE LÄN</t>
        </is>
      </c>
      <c r="E1290" t="inlineStr">
        <is>
          <t>OSBY</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5855-2020</t>
        </is>
      </c>
      <c r="B1291" s="1" t="n">
        <v>43864</v>
      </c>
      <c r="C1291" s="1" t="n">
        <v>45190</v>
      </c>
      <c r="D1291" t="inlineStr">
        <is>
          <t>SKÅNE LÄN</t>
        </is>
      </c>
      <c r="E1291" t="inlineStr">
        <is>
          <t>OSBY</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5880-2020</t>
        </is>
      </c>
      <c r="B1292" s="1" t="n">
        <v>43864</v>
      </c>
      <c r="C1292" s="1" t="n">
        <v>45190</v>
      </c>
      <c r="D1292" t="inlineStr">
        <is>
          <t>SKÅNE LÄN</t>
        </is>
      </c>
      <c r="E1292" t="inlineStr">
        <is>
          <t>ÖSTRA GÖINGE</t>
        </is>
      </c>
      <c r="G1292" t="n">
        <v>5.1</v>
      </c>
      <c r="H1292" t="n">
        <v>0</v>
      </c>
      <c r="I1292" t="n">
        <v>0</v>
      </c>
      <c r="J1292" t="n">
        <v>0</v>
      </c>
      <c r="K1292" t="n">
        <v>0</v>
      </c>
      <c r="L1292" t="n">
        <v>0</v>
      </c>
      <c r="M1292" t="n">
        <v>0</v>
      </c>
      <c r="N1292" t="n">
        <v>0</v>
      </c>
      <c r="O1292" t="n">
        <v>0</v>
      </c>
      <c r="P1292" t="n">
        <v>0</v>
      </c>
      <c r="Q1292" t="n">
        <v>0</v>
      </c>
      <c r="R1292" s="2" t="inlineStr"/>
    </row>
    <row r="1293" ht="15" customHeight="1">
      <c r="A1293" t="inlineStr">
        <is>
          <t>A 6143-2020</t>
        </is>
      </c>
      <c r="B1293" s="1" t="n">
        <v>43865</v>
      </c>
      <c r="C1293" s="1" t="n">
        <v>45190</v>
      </c>
      <c r="D1293" t="inlineStr">
        <is>
          <t>SKÅNE LÄN</t>
        </is>
      </c>
      <c r="E1293" t="inlineStr">
        <is>
          <t>KRISTIANSTAD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6005-2020</t>
        </is>
      </c>
      <c r="B1294" s="1" t="n">
        <v>43865</v>
      </c>
      <c r="C1294" s="1" t="n">
        <v>45190</v>
      </c>
      <c r="D1294" t="inlineStr">
        <is>
          <t>SKÅNE LÄN</t>
        </is>
      </c>
      <c r="E1294" t="inlineStr">
        <is>
          <t>LUND</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6402-2020</t>
        </is>
      </c>
      <c r="B1295" s="1" t="n">
        <v>43866</v>
      </c>
      <c r="C1295" s="1" t="n">
        <v>45190</v>
      </c>
      <c r="D1295" t="inlineStr">
        <is>
          <t>SKÅNE LÄN</t>
        </is>
      </c>
      <c r="E1295" t="inlineStr">
        <is>
          <t>ÖSTRA GÖINGE</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6417-2020</t>
        </is>
      </c>
      <c r="B1296" s="1" t="n">
        <v>43866</v>
      </c>
      <c r="C1296" s="1" t="n">
        <v>45190</v>
      </c>
      <c r="D1296" t="inlineStr">
        <is>
          <t>SKÅNE LÄN</t>
        </is>
      </c>
      <c r="E1296" t="inlineStr">
        <is>
          <t>HÄSSLEHOLM</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6842-2020</t>
        </is>
      </c>
      <c r="B1297" s="1" t="n">
        <v>43867</v>
      </c>
      <c r="C1297" s="1" t="n">
        <v>45190</v>
      </c>
      <c r="D1297" t="inlineStr">
        <is>
          <t>SKÅNE LÄN</t>
        </is>
      </c>
      <c r="E1297" t="inlineStr">
        <is>
          <t>HÄSSLEHOLM</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6928-2020</t>
        </is>
      </c>
      <c r="B1298" s="1" t="n">
        <v>43868</v>
      </c>
      <c r="C1298" s="1" t="n">
        <v>45190</v>
      </c>
      <c r="D1298" t="inlineStr">
        <is>
          <t>SKÅNE LÄN</t>
        </is>
      </c>
      <c r="E1298" t="inlineStr">
        <is>
          <t>KRISTIANSTAD</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7085-2020</t>
        </is>
      </c>
      <c r="B1299" s="1" t="n">
        <v>43868</v>
      </c>
      <c r="C1299" s="1" t="n">
        <v>45190</v>
      </c>
      <c r="D1299" t="inlineStr">
        <is>
          <t>SKÅNE LÄN</t>
        </is>
      </c>
      <c r="E1299" t="inlineStr">
        <is>
          <t>KRISTIANSTAD</t>
        </is>
      </c>
      <c r="F1299" t="inlineStr">
        <is>
          <t>Sveaskog</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7196-2020</t>
        </is>
      </c>
      <c r="B1300" s="1" t="n">
        <v>43871</v>
      </c>
      <c r="C1300" s="1" t="n">
        <v>45190</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7394-2020</t>
        </is>
      </c>
      <c r="B1301" s="1" t="n">
        <v>43871</v>
      </c>
      <c r="C1301" s="1" t="n">
        <v>45190</v>
      </c>
      <c r="D1301" t="inlineStr">
        <is>
          <t>SKÅNE LÄN</t>
        </is>
      </c>
      <c r="E1301" t="inlineStr">
        <is>
          <t>HÄSSLEHOLM</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7195-2020</t>
        </is>
      </c>
      <c r="B1302" s="1" t="n">
        <v>43871</v>
      </c>
      <c r="C1302" s="1" t="n">
        <v>45190</v>
      </c>
      <c r="D1302" t="inlineStr">
        <is>
          <t>SKÅNE LÄN</t>
        </is>
      </c>
      <c r="E1302" t="inlineStr">
        <is>
          <t>HÄSSLEHOLM</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7393-2020</t>
        </is>
      </c>
      <c r="B1303" s="1" t="n">
        <v>43871</v>
      </c>
      <c r="C1303" s="1" t="n">
        <v>45190</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7401-2020</t>
        </is>
      </c>
      <c r="B1304" s="1" t="n">
        <v>43871</v>
      </c>
      <c r="C1304" s="1" t="n">
        <v>45190</v>
      </c>
      <c r="D1304" t="inlineStr">
        <is>
          <t>SKÅNE LÄN</t>
        </is>
      </c>
      <c r="E1304" t="inlineStr">
        <is>
          <t>ÖRKELLJUNGA</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7737-2020</t>
        </is>
      </c>
      <c r="B1305" s="1" t="n">
        <v>43872</v>
      </c>
      <c r="C1305" s="1" t="n">
        <v>45190</v>
      </c>
      <c r="D1305" t="inlineStr">
        <is>
          <t>SKÅNE LÄN</t>
        </is>
      </c>
      <c r="E1305" t="inlineStr">
        <is>
          <t>HÄSSLEHOLM</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7578-2020</t>
        </is>
      </c>
      <c r="B1306" s="1" t="n">
        <v>43872</v>
      </c>
      <c r="C1306" s="1" t="n">
        <v>45190</v>
      </c>
      <c r="D1306" t="inlineStr">
        <is>
          <t>SKÅNE LÄN</t>
        </is>
      </c>
      <c r="E1306" t="inlineStr">
        <is>
          <t>KRISTIANSTAD</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7539-2020</t>
        </is>
      </c>
      <c r="B1307" s="1" t="n">
        <v>43872</v>
      </c>
      <c r="C1307" s="1" t="n">
        <v>45190</v>
      </c>
      <c r="D1307" t="inlineStr">
        <is>
          <t>SKÅNE LÄN</t>
        </is>
      </c>
      <c r="E1307" t="inlineStr">
        <is>
          <t>ÄNGELHOLM</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7997-2020</t>
        </is>
      </c>
      <c r="B1308" s="1" t="n">
        <v>43873</v>
      </c>
      <c r="C1308" s="1" t="n">
        <v>45190</v>
      </c>
      <c r="D1308" t="inlineStr">
        <is>
          <t>SKÅNE LÄN</t>
        </is>
      </c>
      <c r="E1308" t="inlineStr">
        <is>
          <t>KLIPPAN</t>
        </is>
      </c>
      <c r="F1308" t="inlineStr">
        <is>
          <t>Övriga Aktiebolag</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8199-2020</t>
        </is>
      </c>
      <c r="B1309" s="1" t="n">
        <v>43874</v>
      </c>
      <c r="C1309" s="1" t="n">
        <v>45190</v>
      </c>
      <c r="D1309" t="inlineStr">
        <is>
          <t>SKÅNE LÄN</t>
        </is>
      </c>
      <c r="E1309" t="inlineStr">
        <is>
          <t>HÄSSLEHOLM</t>
        </is>
      </c>
      <c r="F1309" t="inlineStr">
        <is>
          <t>Kyrkan</t>
        </is>
      </c>
      <c r="G1309" t="n">
        <v>5.6</v>
      </c>
      <c r="H1309" t="n">
        <v>0</v>
      </c>
      <c r="I1309" t="n">
        <v>0</v>
      </c>
      <c r="J1309" t="n">
        <v>0</v>
      </c>
      <c r="K1309" t="n">
        <v>0</v>
      </c>
      <c r="L1309" t="n">
        <v>0</v>
      </c>
      <c r="M1309" t="n">
        <v>0</v>
      </c>
      <c r="N1309" t="n">
        <v>0</v>
      </c>
      <c r="O1309" t="n">
        <v>0</v>
      </c>
      <c r="P1309" t="n">
        <v>0</v>
      </c>
      <c r="Q1309" t="n">
        <v>0</v>
      </c>
      <c r="R1309" s="2" t="inlineStr"/>
    </row>
    <row r="1310" ht="15" customHeight="1">
      <c r="A1310" t="inlineStr">
        <is>
          <t>A 8768-2020</t>
        </is>
      </c>
      <c r="B1310" s="1" t="n">
        <v>43874</v>
      </c>
      <c r="C1310" s="1" t="n">
        <v>45190</v>
      </c>
      <c r="D1310" t="inlineStr">
        <is>
          <t>SKÅNE LÄN</t>
        </is>
      </c>
      <c r="E1310" t="inlineStr">
        <is>
          <t>SJÖBO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8780-2020</t>
        </is>
      </c>
      <c r="B1311" s="1" t="n">
        <v>43874</v>
      </c>
      <c r="C1311" s="1" t="n">
        <v>45190</v>
      </c>
      <c r="D1311" t="inlineStr">
        <is>
          <t>SKÅNE LÄN</t>
        </is>
      </c>
      <c r="E1311" t="inlineStr">
        <is>
          <t>SJÖBO</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8777-2020</t>
        </is>
      </c>
      <c r="B1312" s="1" t="n">
        <v>43874</v>
      </c>
      <c r="C1312" s="1" t="n">
        <v>45190</v>
      </c>
      <c r="D1312" t="inlineStr">
        <is>
          <t>SKÅNE LÄN</t>
        </is>
      </c>
      <c r="E1312" t="inlineStr">
        <is>
          <t>SJÖBO</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8579-2020</t>
        </is>
      </c>
      <c r="B1313" s="1" t="n">
        <v>43875</v>
      </c>
      <c r="C1313" s="1" t="n">
        <v>45190</v>
      </c>
      <c r="D1313" t="inlineStr">
        <is>
          <t>SKÅNE LÄN</t>
        </is>
      </c>
      <c r="E1313" t="inlineStr">
        <is>
          <t>TOMELILLA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8632-2020</t>
        </is>
      </c>
      <c r="B1314" s="1" t="n">
        <v>43875</v>
      </c>
      <c r="C1314" s="1" t="n">
        <v>45190</v>
      </c>
      <c r="D1314" t="inlineStr">
        <is>
          <t>SKÅNE LÄN</t>
        </is>
      </c>
      <c r="E1314" t="inlineStr">
        <is>
          <t>OSBY</t>
        </is>
      </c>
      <c r="G1314" t="n">
        <v>4.4</v>
      </c>
      <c r="H1314" t="n">
        <v>0</v>
      </c>
      <c r="I1314" t="n">
        <v>0</v>
      </c>
      <c r="J1314" t="n">
        <v>0</v>
      </c>
      <c r="K1314" t="n">
        <v>0</v>
      </c>
      <c r="L1314" t="n">
        <v>0</v>
      </c>
      <c r="M1314" t="n">
        <v>0</v>
      </c>
      <c r="N1314" t="n">
        <v>0</v>
      </c>
      <c r="O1314" t="n">
        <v>0</v>
      </c>
      <c r="P1314" t="n">
        <v>0</v>
      </c>
      <c r="Q1314" t="n">
        <v>0</v>
      </c>
      <c r="R1314" s="2" t="inlineStr"/>
    </row>
    <row r="1315" ht="15" customHeight="1">
      <c r="A1315" t="inlineStr">
        <is>
          <t>A 8849-2020</t>
        </is>
      </c>
      <c r="B1315" s="1" t="n">
        <v>43877</v>
      </c>
      <c r="C1315" s="1" t="n">
        <v>45190</v>
      </c>
      <c r="D1315" t="inlineStr">
        <is>
          <t>SKÅNE LÄN</t>
        </is>
      </c>
      <c r="E1315" t="inlineStr">
        <is>
          <t>KLIPPAN</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8852-2020</t>
        </is>
      </c>
      <c r="B1316" s="1" t="n">
        <v>43877</v>
      </c>
      <c r="C1316" s="1" t="n">
        <v>45190</v>
      </c>
      <c r="D1316" t="inlineStr">
        <is>
          <t>SKÅNE LÄN</t>
        </is>
      </c>
      <c r="E1316" t="inlineStr">
        <is>
          <t>KLIPPAN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8651-2020</t>
        </is>
      </c>
      <c r="B1317" s="1" t="n">
        <v>43878</v>
      </c>
      <c r="C1317" s="1" t="n">
        <v>45190</v>
      </c>
      <c r="D1317" t="inlineStr">
        <is>
          <t>SKÅNE LÄN</t>
        </is>
      </c>
      <c r="E1317" t="inlineStr">
        <is>
          <t>HÄSSLEHOLM</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8660-2020</t>
        </is>
      </c>
      <c r="B1318" s="1" t="n">
        <v>43878</v>
      </c>
      <c r="C1318" s="1" t="n">
        <v>45190</v>
      </c>
      <c r="D1318" t="inlineStr">
        <is>
          <t>SKÅNE LÄN</t>
        </is>
      </c>
      <c r="E1318" t="inlineStr">
        <is>
          <t>OSBY</t>
        </is>
      </c>
      <c r="G1318" t="n">
        <v>11.4</v>
      </c>
      <c r="H1318" t="n">
        <v>0</v>
      </c>
      <c r="I1318" t="n">
        <v>0</v>
      </c>
      <c r="J1318" t="n">
        <v>0</v>
      </c>
      <c r="K1318" t="n">
        <v>0</v>
      </c>
      <c r="L1318" t="n">
        <v>0</v>
      </c>
      <c r="M1318" t="n">
        <v>0</v>
      </c>
      <c r="N1318" t="n">
        <v>0</v>
      </c>
      <c r="O1318" t="n">
        <v>0</v>
      </c>
      <c r="P1318" t="n">
        <v>0</v>
      </c>
      <c r="Q1318" t="n">
        <v>0</v>
      </c>
      <c r="R1318" s="2" t="inlineStr"/>
    </row>
    <row r="1319" ht="15" customHeight="1">
      <c r="A1319" t="inlineStr">
        <is>
          <t>A 8968-2020</t>
        </is>
      </c>
      <c r="B1319" s="1" t="n">
        <v>43878</v>
      </c>
      <c r="C1319" s="1" t="n">
        <v>45190</v>
      </c>
      <c r="D1319" t="inlineStr">
        <is>
          <t>SKÅNE LÄN</t>
        </is>
      </c>
      <c r="E1319" t="inlineStr">
        <is>
          <t>OSBY</t>
        </is>
      </c>
      <c r="F1319" t="inlineStr">
        <is>
          <t>Naturvårdsverket</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12657-2020</t>
        </is>
      </c>
      <c r="B1320" s="1" t="n">
        <v>43878</v>
      </c>
      <c r="C1320" s="1" t="n">
        <v>45190</v>
      </c>
      <c r="D1320" t="inlineStr">
        <is>
          <t>SKÅNE LÄN</t>
        </is>
      </c>
      <c r="E1320" t="inlineStr">
        <is>
          <t>OSBY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8641-2020</t>
        </is>
      </c>
      <c r="B1321" s="1" t="n">
        <v>43878</v>
      </c>
      <c r="C1321" s="1" t="n">
        <v>45190</v>
      </c>
      <c r="D1321" t="inlineStr">
        <is>
          <t>SKÅNE LÄN</t>
        </is>
      </c>
      <c r="E1321" t="inlineStr">
        <is>
          <t>OSBY</t>
        </is>
      </c>
      <c r="G1321" t="n">
        <v>12.4</v>
      </c>
      <c r="H1321" t="n">
        <v>0</v>
      </c>
      <c r="I1321" t="n">
        <v>0</v>
      </c>
      <c r="J1321" t="n">
        <v>0</v>
      </c>
      <c r="K1321" t="n">
        <v>0</v>
      </c>
      <c r="L1321" t="n">
        <v>0</v>
      </c>
      <c r="M1321" t="n">
        <v>0</v>
      </c>
      <c r="N1321" t="n">
        <v>0</v>
      </c>
      <c r="O1321" t="n">
        <v>0</v>
      </c>
      <c r="P1321" t="n">
        <v>0</v>
      </c>
      <c r="Q1321" t="n">
        <v>0</v>
      </c>
      <c r="R1321" s="2" t="inlineStr"/>
    </row>
    <row r="1322" ht="15" customHeight="1">
      <c r="A1322" t="inlineStr">
        <is>
          <t>A 8842-2020</t>
        </is>
      </c>
      <c r="B1322" s="1" t="n">
        <v>43878</v>
      </c>
      <c r="C1322" s="1" t="n">
        <v>45190</v>
      </c>
      <c r="D1322" t="inlineStr">
        <is>
          <t>SKÅNE LÄN</t>
        </is>
      </c>
      <c r="E1322" t="inlineStr">
        <is>
          <t>HÄSSLEHOLM</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8779-2020</t>
        </is>
      </c>
      <c r="B1323" s="1" t="n">
        <v>43878</v>
      </c>
      <c r="C1323" s="1" t="n">
        <v>45190</v>
      </c>
      <c r="D1323" t="inlineStr">
        <is>
          <t>SKÅNE LÄN</t>
        </is>
      </c>
      <c r="E1323" t="inlineStr">
        <is>
          <t>HÖÖR</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8840-2020</t>
        </is>
      </c>
      <c r="B1324" s="1" t="n">
        <v>43878</v>
      </c>
      <c r="C1324" s="1" t="n">
        <v>45190</v>
      </c>
      <c r="D1324" t="inlineStr">
        <is>
          <t>SKÅNE LÄN</t>
        </is>
      </c>
      <c r="E1324" t="inlineStr">
        <is>
          <t>HÄSSLEHOLM</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8946-2020</t>
        </is>
      </c>
      <c r="B1325" s="1" t="n">
        <v>43878</v>
      </c>
      <c r="C1325" s="1" t="n">
        <v>45190</v>
      </c>
      <c r="D1325" t="inlineStr">
        <is>
          <t>SKÅNE LÄN</t>
        </is>
      </c>
      <c r="E1325" t="inlineStr">
        <is>
          <t>KRISTIANSTAD</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12661-2020</t>
        </is>
      </c>
      <c r="B1326" s="1" t="n">
        <v>43878</v>
      </c>
      <c r="C1326" s="1" t="n">
        <v>45190</v>
      </c>
      <c r="D1326" t="inlineStr">
        <is>
          <t>SKÅNE LÄN</t>
        </is>
      </c>
      <c r="E1326" t="inlineStr">
        <is>
          <t>OSBY</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9259-2020</t>
        </is>
      </c>
      <c r="B1327" s="1" t="n">
        <v>43879</v>
      </c>
      <c r="C1327" s="1" t="n">
        <v>45190</v>
      </c>
      <c r="D1327" t="inlineStr">
        <is>
          <t>SKÅNE LÄN</t>
        </is>
      </c>
      <c r="E1327" t="inlineStr">
        <is>
          <t>OSBY</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9078-2020</t>
        </is>
      </c>
      <c r="B1328" s="1" t="n">
        <v>43879</v>
      </c>
      <c r="C1328" s="1" t="n">
        <v>45190</v>
      </c>
      <c r="D1328" t="inlineStr">
        <is>
          <t>SKÅNE LÄN</t>
        </is>
      </c>
      <c r="E1328" t="inlineStr">
        <is>
          <t>KRISTIANSTAD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9425-2020</t>
        </is>
      </c>
      <c r="B1329" s="1" t="n">
        <v>43880</v>
      </c>
      <c r="C1329" s="1" t="n">
        <v>45190</v>
      </c>
      <c r="D1329" t="inlineStr">
        <is>
          <t>SKÅNE LÄN</t>
        </is>
      </c>
      <c r="E1329" t="inlineStr">
        <is>
          <t>HÖÖR</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9498-2020</t>
        </is>
      </c>
      <c r="B1330" s="1" t="n">
        <v>43880</v>
      </c>
      <c r="C1330" s="1" t="n">
        <v>45190</v>
      </c>
      <c r="D1330" t="inlineStr">
        <is>
          <t>SKÅNE LÄN</t>
        </is>
      </c>
      <c r="E1330" t="inlineStr">
        <is>
          <t>ÄNGELHOLM</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9778-2020</t>
        </is>
      </c>
      <c r="B1331" s="1" t="n">
        <v>43881</v>
      </c>
      <c r="C1331" s="1" t="n">
        <v>45190</v>
      </c>
      <c r="D1331" t="inlineStr">
        <is>
          <t>SKÅNE LÄN</t>
        </is>
      </c>
      <c r="E1331" t="inlineStr">
        <is>
          <t>OSBY</t>
        </is>
      </c>
      <c r="G1331" t="n">
        <v>4.8</v>
      </c>
      <c r="H1331" t="n">
        <v>0</v>
      </c>
      <c r="I1331" t="n">
        <v>0</v>
      </c>
      <c r="J1331" t="n">
        <v>0</v>
      </c>
      <c r="K1331" t="n">
        <v>0</v>
      </c>
      <c r="L1331" t="n">
        <v>0</v>
      </c>
      <c r="M1331" t="n">
        <v>0</v>
      </c>
      <c r="N1331" t="n">
        <v>0</v>
      </c>
      <c r="O1331" t="n">
        <v>0</v>
      </c>
      <c r="P1331" t="n">
        <v>0</v>
      </c>
      <c r="Q1331" t="n">
        <v>0</v>
      </c>
      <c r="R1331" s="2" t="inlineStr"/>
    </row>
    <row r="1332" ht="15" customHeight="1">
      <c r="A1332" t="inlineStr">
        <is>
          <t>A 9812-2020</t>
        </is>
      </c>
      <c r="B1332" s="1" t="n">
        <v>43881</v>
      </c>
      <c r="C1332" s="1" t="n">
        <v>45190</v>
      </c>
      <c r="D1332" t="inlineStr">
        <is>
          <t>SKÅNE LÄN</t>
        </is>
      </c>
      <c r="E1332" t="inlineStr">
        <is>
          <t>KRISTIANSTAD</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9661-2020</t>
        </is>
      </c>
      <c r="B1333" s="1" t="n">
        <v>43881</v>
      </c>
      <c r="C1333" s="1" t="n">
        <v>45190</v>
      </c>
      <c r="D1333" t="inlineStr">
        <is>
          <t>SKÅNE LÄN</t>
        </is>
      </c>
      <c r="E1333" t="inlineStr">
        <is>
          <t>HÄSSLEHOLM</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9808-2020</t>
        </is>
      </c>
      <c r="B1334" s="1" t="n">
        <v>43881</v>
      </c>
      <c r="C1334" s="1" t="n">
        <v>45190</v>
      </c>
      <c r="D1334" t="inlineStr">
        <is>
          <t>SKÅNE LÄN</t>
        </is>
      </c>
      <c r="E1334" t="inlineStr">
        <is>
          <t>BROMÖLLA</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9885-2020</t>
        </is>
      </c>
      <c r="B1335" s="1" t="n">
        <v>43882</v>
      </c>
      <c r="C1335" s="1" t="n">
        <v>45190</v>
      </c>
      <c r="D1335" t="inlineStr">
        <is>
          <t>SKÅNE LÄN</t>
        </is>
      </c>
      <c r="E1335" t="inlineStr">
        <is>
          <t>HÄSSLEHOLM</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10015-2020</t>
        </is>
      </c>
      <c r="B1336" s="1" t="n">
        <v>43882</v>
      </c>
      <c r="C1336" s="1" t="n">
        <v>45190</v>
      </c>
      <c r="D1336" t="inlineStr">
        <is>
          <t>SKÅNE LÄN</t>
        </is>
      </c>
      <c r="E1336" t="inlineStr">
        <is>
          <t>PERSTORP</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9890-2020</t>
        </is>
      </c>
      <c r="B1337" s="1" t="n">
        <v>43882</v>
      </c>
      <c r="C1337" s="1" t="n">
        <v>45190</v>
      </c>
      <c r="D1337" t="inlineStr">
        <is>
          <t>SKÅNE LÄN</t>
        </is>
      </c>
      <c r="E1337" t="inlineStr">
        <is>
          <t>HÄSSLEHOLM</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10263-2020</t>
        </is>
      </c>
      <c r="B1338" s="1" t="n">
        <v>43885</v>
      </c>
      <c r="C1338" s="1" t="n">
        <v>45190</v>
      </c>
      <c r="D1338" t="inlineStr">
        <is>
          <t>SKÅNE LÄN</t>
        </is>
      </c>
      <c r="E1338" t="inlineStr">
        <is>
          <t>HÄSSLEHOLM</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10445-2020</t>
        </is>
      </c>
      <c r="B1339" s="1" t="n">
        <v>43886</v>
      </c>
      <c r="C1339" s="1" t="n">
        <v>45190</v>
      </c>
      <c r="D1339" t="inlineStr">
        <is>
          <t>SKÅNE LÄN</t>
        </is>
      </c>
      <c r="E1339" t="inlineStr">
        <is>
          <t>OSBY</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10512-2020</t>
        </is>
      </c>
      <c r="B1340" s="1" t="n">
        <v>43886</v>
      </c>
      <c r="C1340" s="1" t="n">
        <v>45190</v>
      </c>
      <c r="D1340" t="inlineStr">
        <is>
          <t>SKÅNE LÄN</t>
        </is>
      </c>
      <c r="E1340" t="inlineStr">
        <is>
          <t>HÄSSLEHOLM</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10120-2020</t>
        </is>
      </c>
      <c r="B1341" s="1" t="n">
        <v>43887</v>
      </c>
      <c r="C1341" s="1" t="n">
        <v>45190</v>
      </c>
      <c r="D1341" t="inlineStr">
        <is>
          <t>SKÅNE LÄN</t>
        </is>
      </c>
      <c r="E1341" t="inlineStr">
        <is>
          <t>SJÖBO</t>
        </is>
      </c>
      <c r="F1341" t="inlineStr">
        <is>
          <t>Övriga Aktiebolag</t>
        </is>
      </c>
      <c r="G1341" t="n">
        <v>9</v>
      </c>
      <c r="H1341" t="n">
        <v>0</v>
      </c>
      <c r="I1341" t="n">
        <v>0</v>
      </c>
      <c r="J1341" t="n">
        <v>0</v>
      </c>
      <c r="K1341" t="n">
        <v>0</v>
      </c>
      <c r="L1341" t="n">
        <v>0</v>
      </c>
      <c r="M1341" t="n">
        <v>0</v>
      </c>
      <c r="N1341" t="n">
        <v>0</v>
      </c>
      <c r="O1341" t="n">
        <v>0</v>
      </c>
      <c r="P1341" t="n">
        <v>0</v>
      </c>
      <c r="Q1341" t="n">
        <v>0</v>
      </c>
      <c r="R1341" s="2" t="inlineStr"/>
    </row>
    <row r="1342" ht="15" customHeight="1">
      <c r="A1342" t="inlineStr">
        <is>
          <t>A 10310-2020</t>
        </is>
      </c>
      <c r="B1342" s="1" t="n">
        <v>43887</v>
      </c>
      <c r="C1342" s="1" t="n">
        <v>45190</v>
      </c>
      <c r="D1342" t="inlineStr">
        <is>
          <t>SKÅNE LÄN</t>
        </is>
      </c>
      <c r="E1342" t="inlineStr">
        <is>
          <t>YSTAD</t>
        </is>
      </c>
      <c r="F1342" t="inlineStr">
        <is>
          <t>Övriga Aktiebolag</t>
        </is>
      </c>
      <c r="G1342" t="n">
        <v>15.6</v>
      </c>
      <c r="H1342" t="n">
        <v>0</v>
      </c>
      <c r="I1342" t="n">
        <v>0</v>
      </c>
      <c r="J1342" t="n">
        <v>0</v>
      </c>
      <c r="K1342" t="n">
        <v>0</v>
      </c>
      <c r="L1342" t="n">
        <v>0</v>
      </c>
      <c r="M1342" t="n">
        <v>0</v>
      </c>
      <c r="N1342" t="n">
        <v>0</v>
      </c>
      <c r="O1342" t="n">
        <v>0</v>
      </c>
      <c r="P1342" t="n">
        <v>0</v>
      </c>
      <c r="Q1342" t="n">
        <v>0</v>
      </c>
      <c r="R1342" s="2" t="inlineStr"/>
    </row>
    <row r="1343" ht="15" customHeight="1">
      <c r="A1343" t="inlineStr">
        <is>
          <t>A 10149-2020</t>
        </is>
      </c>
      <c r="B1343" s="1" t="n">
        <v>43887</v>
      </c>
      <c r="C1343" s="1" t="n">
        <v>45190</v>
      </c>
      <c r="D1343" t="inlineStr">
        <is>
          <t>SKÅNE LÄN</t>
        </is>
      </c>
      <c r="E1343" t="inlineStr">
        <is>
          <t>OSBY</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10599-2020</t>
        </is>
      </c>
      <c r="B1344" s="1" t="n">
        <v>43887</v>
      </c>
      <c r="C1344" s="1" t="n">
        <v>45190</v>
      </c>
      <c r="D1344" t="inlineStr">
        <is>
          <t>SKÅNE LÄN</t>
        </is>
      </c>
      <c r="E1344" t="inlineStr">
        <is>
          <t>SJÖBO</t>
        </is>
      </c>
      <c r="F1344" t="inlineStr">
        <is>
          <t>Kommuner</t>
        </is>
      </c>
      <c r="G1344" t="n">
        <v>7.2</v>
      </c>
      <c r="H1344" t="n">
        <v>0</v>
      </c>
      <c r="I1344" t="n">
        <v>0</v>
      </c>
      <c r="J1344" t="n">
        <v>0</v>
      </c>
      <c r="K1344" t="n">
        <v>0</v>
      </c>
      <c r="L1344" t="n">
        <v>0</v>
      </c>
      <c r="M1344" t="n">
        <v>0</v>
      </c>
      <c r="N1344" t="n">
        <v>0</v>
      </c>
      <c r="O1344" t="n">
        <v>0</v>
      </c>
      <c r="P1344" t="n">
        <v>0</v>
      </c>
      <c r="Q1344" t="n">
        <v>0</v>
      </c>
      <c r="R1344" s="2" t="inlineStr"/>
    </row>
    <row r="1345" ht="15" customHeight="1">
      <c r="A1345" t="inlineStr">
        <is>
          <t>A 10773-2020</t>
        </is>
      </c>
      <c r="B1345" s="1" t="n">
        <v>43888</v>
      </c>
      <c r="C1345" s="1" t="n">
        <v>45190</v>
      </c>
      <c r="D1345" t="inlineStr">
        <is>
          <t>SKÅNE LÄN</t>
        </is>
      </c>
      <c r="E1345" t="inlineStr">
        <is>
          <t>ÅSTORP</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11262-2020</t>
        </is>
      </c>
      <c r="B1346" s="1" t="n">
        <v>43888</v>
      </c>
      <c r="C1346" s="1" t="n">
        <v>45190</v>
      </c>
      <c r="D1346" t="inlineStr">
        <is>
          <t>SKÅNE LÄN</t>
        </is>
      </c>
      <c r="E1346" t="inlineStr">
        <is>
          <t>KRISTIANSTAD</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10727-2020</t>
        </is>
      </c>
      <c r="B1347" s="1" t="n">
        <v>43888</v>
      </c>
      <c r="C1347" s="1" t="n">
        <v>45190</v>
      </c>
      <c r="D1347" t="inlineStr">
        <is>
          <t>SKÅNE LÄN</t>
        </is>
      </c>
      <c r="E1347" t="inlineStr">
        <is>
          <t>SVALÖV</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10743-2020</t>
        </is>
      </c>
      <c r="B1348" s="1" t="n">
        <v>43888</v>
      </c>
      <c r="C1348" s="1" t="n">
        <v>45190</v>
      </c>
      <c r="D1348" t="inlineStr">
        <is>
          <t>SKÅNE LÄN</t>
        </is>
      </c>
      <c r="E1348" t="inlineStr">
        <is>
          <t>BJUV</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11050-2020</t>
        </is>
      </c>
      <c r="B1349" s="1" t="n">
        <v>43889</v>
      </c>
      <c r="C1349" s="1" t="n">
        <v>45190</v>
      </c>
      <c r="D1349" t="inlineStr">
        <is>
          <t>SKÅNE LÄN</t>
        </is>
      </c>
      <c r="E1349" t="inlineStr">
        <is>
          <t>BÅSTAD</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11111-2020</t>
        </is>
      </c>
      <c r="B1350" s="1" t="n">
        <v>43889</v>
      </c>
      <c r="C1350" s="1" t="n">
        <v>45190</v>
      </c>
      <c r="D1350" t="inlineStr">
        <is>
          <t>SKÅNE LÄN</t>
        </is>
      </c>
      <c r="E1350" t="inlineStr">
        <is>
          <t>KLIPPAN</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11045-2020</t>
        </is>
      </c>
      <c r="B1351" s="1" t="n">
        <v>43889</v>
      </c>
      <c r="C1351" s="1" t="n">
        <v>45190</v>
      </c>
      <c r="D1351" t="inlineStr">
        <is>
          <t>SKÅNE LÄN</t>
        </is>
      </c>
      <c r="E1351" t="inlineStr">
        <is>
          <t>KLIPPAN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11116-2020</t>
        </is>
      </c>
      <c r="B1352" s="1" t="n">
        <v>43889</v>
      </c>
      <c r="C1352" s="1" t="n">
        <v>45190</v>
      </c>
      <c r="D1352" t="inlineStr">
        <is>
          <t>SKÅNE LÄN</t>
        </is>
      </c>
      <c r="E1352" t="inlineStr">
        <is>
          <t>ÖSTRA GÖINGE</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11268-2020</t>
        </is>
      </c>
      <c r="B1353" s="1" t="n">
        <v>43889</v>
      </c>
      <c r="C1353" s="1" t="n">
        <v>45190</v>
      </c>
      <c r="D1353" t="inlineStr">
        <is>
          <t>SKÅNE LÄN</t>
        </is>
      </c>
      <c r="E1353" t="inlineStr">
        <is>
          <t>KLIPPAN</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12140-2020</t>
        </is>
      </c>
      <c r="B1354" s="1" t="n">
        <v>43889</v>
      </c>
      <c r="C1354" s="1" t="n">
        <v>45190</v>
      </c>
      <c r="D1354" t="inlineStr">
        <is>
          <t>SKÅNE LÄN</t>
        </is>
      </c>
      <c r="E1354" t="inlineStr">
        <is>
          <t>HÖRBY</t>
        </is>
      </c>
      <c r="G1354" t="n">
        <v>7.8</v>
      </c>
      <c r="H1354" t="n">
        <v>0</v>
      </c>
      <c r="I1354" t="n">
        <v>0</v>
      </c>
      <c r="J1354" t="n">
        <v>0</v>
      </c>
      <c r="K1354" t="n">
        <v>0</v>
      </c>
      <c r="L1354" t="n">
        <v>0</v>
      </c>
      <c r="M1354" t="n">
        <v>0</v>
      </c>
      <c r="N1354" t="n">
        <v>0</v>
      </c>
      <c r="O1354" t="n">
        <v>0</v>
      </c>
      <c r="P1354" t="n">
        <v>0</v>
      </c>
      <c r="Q1354" t="n">
        <v>0</v>
      </c>
      <c r="R1354" s="2" t="inlineStr"/>
    </row>
    <row r="1355" ht="15" customHeight="1">
      <c r="A1355" t="inlineStr">
        <is>
          <t>A 12683-2020</t>
        </is>
      </c>
      <c r="B1355" s="1" t="n">
        <v>43893</v>
      </c>
      <c r="C1355" s="1" t="n">
        <v>45190</v>
      </c>
      <c r="D1355" t="inlineStr">
        <is>
          <t>SKÅNE LÄN</t>
        </is>
      </c>
      <c r="E1355" t="inlineStr">
        <is>
          <t>ÅSTORP</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11641-2020</t>
        </is>
      </c>
      <c r="B1356" s="1" t="n">
        <v>43893</v>
      </c>
      <c r="C1356" s="1" t="n">
        <v>45190</v>
      </c>
      <c r="D1356" t="inlineStr">
        <is>
          <t>SKÅNE LÄN</t>
        </is>
      </c>
      <c r="E1356" t="inlineStr">
        <is>
          <t>HÖÖR</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12688-2020</t>
        </is>
      </c>
      <c r="B1357" s="1" t="n">
        <v>43893</v>
      </c>
      <c r="C1357" s="1" t="n">
        <v>45190</v>
      </c>
      <c r="D1357" t="inlineStr">
        <is>
          <t>SKÅNE LÄN</t>
        </is>
      </c>
      <c r="E1357" t="inlineStr">
        <is>
          <t>ÅSTORP</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11884-2020</t>
        </is>
      </c>
      <c r="B1358" s="1" t="n">
        <v>43894</v>
      </c>
      <c r="C1358" s="1" t="n">
        <v>45190</v>
      </c>
      <c r="D1358" t="inlineStr">
        <is>
          <t>SKÅNE LÄN</t>
        </is>
      </c>
      <c r="E1358" t="inlineStr">
        <is>
          <t>HÄSSLEHOLM</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11925-2020</t>
        </is>
      </c>
      <c r="B1359" s="1" t="n">
        <v>43894</v>
      </c>
      <c r="C1359" s="1" t="n">
        <v>45190</v>
      </c>
      <c r="D1359" t="inlineStr">
        <is>
          <t>SKÅNE LÄN</t>
        </is>
      </c>
      <c r="E1359" t="inlineStr">
        <is>
          <t>HÄSSLEHOLM</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11883-2020</t>
        </is>
      </c>
      <c r="B1360" s="1" t="n">
        <v>43894</v>
      </c>
      <c r="C1360" s="1" t="n">
        <v>45190</v>
      </c>
      <c r="D1360" t="inlineStr">
        <is>
          <t>SKÅNE LÄN</t>
        </is>
      </c>
      <c r="E1360" t="inlineStr">
        <is>
          <t>HÄSSLEHOLM</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11904-2020</t>
        </is>
      </c>
      <c r="B1361" s="1" t="n">
        <v>43894</v>
      </c>
      <c r="C1361" s="1" t="n">
        <v>45190</v>
      </c>
      <c r="D1361" t="inlineStr">
        <is>
          <t>SKÅNE LÄN</t>
        </is>
      </c>
      <c r="E1361" t="inlineStr">
        <is>
          <t>ÖSTRA GÖINGE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11985-2020</t>
        </is>
      </c>
      <c r="B1362" s="1" t="n">
        <v>43894</v>
      </c>
      <c r="C1362" s="1" t="n">
        <v>45190</v>
      </c>
      <c r="D1362" t="inlineStr">
        <is>
          <t>SKÅNE LÄN</t>
        </is>
      </c>
      <c r="E1362" t="inlineStr">
        <is>
          <t>ÖSTRA GÖINGE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11783-2020</t>
        </is>
      </c>
      <c r="B1363" s="1" t="n">
        <v>43894</v>
      </c>
      <c r="C1363" s="1" t="n">
        <v>45190</v>
      </c>
      <c r="D1363" t="inlineStr">
        <is>
          <t>SKÅNE LÄN</t>
        </is>
      </c>
      <c r="E1363" t="inlineStr">
        <is>
          <t>ÄNGELHOLM</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11994-2020</t>
        </is>
      </c>
      <c r="B1364" s="1" t="n">
        <v>43894</v>
      </c>
      <c r="C1364" s="1" t="n">
        <v>45190</v>
      </c>
      <c r="D1364" t="inlineStr">
        <is>
          <t>SKÅNE LÄN</t>
        </is>
      </c>
      <c r="E1364" t="inlineStr">
        <is>
          <t>HÄSSLEHOLM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11983-2020</t>
        </is>
      </c>
      <c r="B1365" s="1" t="n">
        <v>43894</v>
      </c>
      <c r="C1365" s="1" t="n">
        <v>45190</v>
      </c>
      <c r="D1365" t="inlineStr">
        <is>
          <t>SKÅNE LÄN</t>
        </is>
      </c>
      <c r="E1365" t="inlineStr">
        <is>
          <t>ÖSTRA GÖINGE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13486-2020</t>
        </is>
      </c>
      <c r="B1366" s="1" t="n">
        <v>43894</v>
      </c>
      <c r="C1366" s="1" t="n">
        <v>45190</v>
      </c>
      <c r="D1366" t="inlineStr">
        <is>
          <t>SKÅNE LÄN</t>
        </is>
      </c>
      <c r="E1366" t="inlineStr">
        <is>
          <t>HÄSSLEHOLM</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12283-2020</t>
        </is>
      </c>
      <c r="B1367" s="1" t="n">
        <v>43895</v>
      </c>
      <c r="C1367" s="1" t="n">
        <v>45190</v>
      </c>
      <c r="D1367" t="inlineStr">
        <is>
          <t>SKÅNE LÄN</t>
        </is>
      </c>
      <c r="E1367" t="inlineStr">
        <is>
          <t>ÖRKELLJUNGA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12175-2020</t>
        </is>
      </c>
      <c r="B1368" s="1" t="n">
        <v>43895</v>
      </c>
      <c r="C1368" s="1" t="n">
        <v>45190</v>
      </c>
      <c r="D1368" t="inlineStr">
        <is>
          <t>SKÅNE LÄN</t>
        </is>
      </c>
      <c r="E1368" t="inlineStr">
        <is>
          <t>OSBY</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12281-2020</t>
        </is>
      </c>
      <c r="B1369" s="1" t="n">
        <v>43895</v>
      </c>
      <c r="C1369" s="1" t="n">
        <v>45190</v>
      </c>
      <c r="D1369" t="inlineStr">
        <is>
          <t>SKÅNE LÄN</t>
        </is>
      </c>
      <c r="E1369" t="inlineStr">
        <is>
          <t>ÖRKELLJUNGA</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12278-2020</t>
        </is>
      </c>
      <c r="B1370" s="1" t="n">
        <v>43895</v>
      </c>
      <c r="C1370" s="1" t="n">
        <v>45190</v>
      </c>
      <c r="D1370" t="inlineStr">
        <is>
          <t>SKÅNE LÄN</t>
        </is>
      </c>
      <c r="E1370" t="inlineStr">
        <is>
          <t>ÖRKELLJUNGA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13660-2020</t>
        </is>
      </c>
      <c r="B1371" s="1" t="n">
        <v>43896</v>
      </c>
      <c r="C1371" s="1" t="n">
        <v>45190</v>
      </c>
      <c r="D1371" t="inlineStr">
        <is>
          <t>SKÅNE LÄN</t>
        </is>
      </c>
      <c r="E1371" t="inlineStr">
        <is>
          <t>SIMRISHAMN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12401-2020</t>
        </is>
      </c>
      <c r="B1372" s="1" t="n">
        <v>43896</v>
      </c>
      <c r="C1372" s="1" t="n">
        <v>45190</v>
      </c>
      <c r="D1372" t="inlineStr">
        <is>
          <t>SKÅNE LÄN</t>
        </is>
      </c>
      <c r="E1372" t="inlineStr">
        <is>
          <t>OSBY</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12507-2020</t>
        </is>
      </c>
      <c r="B1373" s="1" t="n">
        <v>43896</v>
      </c>
      <c r="C1373" s="1" t="n">
        <v>45190</v>
      </c>
      <c r="D1373" t="inlineStr">
        <is>
          <t>SKÅNE LÄN</t>
        </is>
      </c>
      <c r="E1373" t="inlineStr">
        <is>
          <t>ÄNGELHOLM</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12400-2020</t>
        </is>
      </c>
      <c r="B1374" s="1" t="n">
        <v>43896</v>
      </c>
      <c r="C1374" s="1" t="n">
        <v>45190</v>
      </c>
      <c r="D1374" t="inlineStr">
        <is>
          <t>SKÅNE LÄN</t>
        </is>
      </c>
      <c r="E1374" t="inlineStr">
        <is>
          <t>OSBY</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12501-2020</t>
        </is>
      </c>
      <c r="B1375" s="1" t="n">
        <v>43896</v>
      </c>
      <c r="C1375" s="1" t="n">
        <v>45190</v>
      </c>
      <c r="D1375" t="inlineStr">
        <is>
          <t>SKÅNE LÄN</t>
        </is>
      </c>
      <c r="E1375" t="inlineStr">
        <is>
          <t>BÅSTAD</t>
        </is>
      </c>
      <c r="G1375" t="n">
        <v>11.8</v>
      </c>
      <c r="H1375" t="n">
        <v>0</v>
      </c>
      <c r="I1375" t="n">
        <v>0</v>
      </c>
      <c r="J1375" t="n">
        <v>0</v>
      </c>
      <c r="K1375" t="n">
        <v>0</v>
      </c>
      <c r="L1375" t="n">
        <v>0</v>
      </c>
      <c r="M1375" t="n">
        <v>0</v>
      </c>
      <c r="N1375" t="n">
        <v>0</v>
      </c>
      <c r="O1375" t="n">
        <v>0</v>
      </c>
      <c r="P1375" t="n">
        <v>0</v>
      </c>
      <c r="Q1375" t="n">
        <v>0</v>
      </c>
      <c r="R1375" s="2" t="inlineStr"/>
    </row>
    <row r="1376" ht="15" customHeight="1">
      <c r="A1376" t="inlineStr">
        <is>
          <t>A 13976-2020</t>
        </is>
      </c>
      <c r="B1376" s="1" t="n">
        <v>43899</v>
      </c>
      <c r="C1376" s="1" t="n">
        <v>45190</v>
      </c>
      <c r="D1376" t="inlineStr">
        <is>
          <t>SKÅNE LÄN</t>
        </is>
      </c>
      <c r="E1376" t="inlineStr">
        <is>
          <t>HÄSSLEHOLM</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12756-2020</t>
        </is>
      </c>
      <c r="B1377" s="1" t="n">
        <v>43899</v>
      </c>
      <c r="C1377" s="1" t="n">
        <v>45190</v>
      </c>
      <c r="D1377" t="inlineStr">
        <is>
          <t>SKÅNE LÄN</t>
        </is>
      </c>
      <c r="E1377" t="inlineStr">
        <is>
          <t>HÄSSLEHOLM</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12752-2020</t>
        </is>
      </c>
      <c r="B1378" s="1" t="n">
        <v>43899</v>
      </c>
      <c r="C1378" s="1" t="n">
        <v>45190</v>
      </c>
      <c r="D1378" t="inlineStr">
        <is>
          <t>SKÅNE LÄN</t>
        </is>
      </c>
      <c r="E1378" t="inlineStr">
        <is>
          <t>HÄSSLEHOLM</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13051-2020</t>
        </is>
      </c>
      <c r="B1379" s="1" t="n">
        <v>43900</v>
      </c>
      <c r="C1379" s="1" t="n">
        <v>45190</v>
      </c>
      <c r="D1379" t="inlineStr">
        <is>
          <t>SKÅNE LÄN</t>
        </is>
      </c>
      <c r="E1379" t="inlineStr">
        <is>
          <t>ÖSTRA GÖINGE</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13144-2020</t>
        </is>
      </c>
      <c r="B1380" s="1" t="n">
        <v>43901</v>
      </c>
      <c r="C1380" s="1" t="n">
        <v>45190</v>
      </c>
      <c r="D1380" t="inlineStr">
        <is>
          <t>SKÅNE LÄN</t>
        </is>
      </c>
      <c r="E1380" t="inlineStr">
        <is>
          <t>ÖSTRA GÖINGE</t>
        </is>
      </c>
      <c r="G1380" t="n">
        <v>14.2</v>
      </c>
      <c r="H1380" t="n">
        <v>0</v>
      </c>
      <c r="I1380" t="n">
        <v>0</v>
      </c>
      <c r="J1380" t="n">
        <v>0</v>
      </c>
      <c r="K1380" t="n">
        <v>0</v>
      </c>
      <c r="L1380" t="n">
        <v>0</v>
      </c>
      <c r="M1380" t="n">
        <v>0</v>
      </c>
      <c r="N1380" t="n">
        <v>0</v>
      </c>
      <c r="O1380" t="n">
        <v>0</v>
      </c>
      <c r="P1380" t="n">
        <v>0</v>
      </c>
      <c r="Q1380" t="n">
        <v>0</v>
      </c>
      <c r="R1380" s="2" t="inlineStr"/>
    </row>
    <row r="1381" ht="15" customHeight="1">
      <c r="A1381" t="inlineStr">
        <is>
          <t>A 13149-2020</t>
        </is>
      </c>
      <c r="B1381" s="1" t="n">
        <v>43901</v>
      </c>
      <c r="C1381" s="1" t="n">
        <v>45190</v>
      </c>
      <c r="D1381" t="inlineStr">
        <is>
          <t>SKÅNE LÄN</t>
        </is>
      </c>
      <c r="E1381" t="inlineStr">
        <is>
          <t>ÖSTRA GÖINGE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13941-2020</t>
        </is>
      </c>
      <c r="B1382" s="1" t="n">
        <v>43906</v>
      </c>
      <c r="C1382" s="1" t="n">
        <v>45190</v>
      </c>
      <c r="D1382" t="inlineStr">
        <is>
          <t>SKÅNE LÄN</t>
        </is>
      </c>
      <c r="E1382" t="inlineStr">
        <is>
          <t>PERSTORP</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13977-2020</t>
        </is>
      </c>
      <c r="B1383" s="1" t="n">
        <v>43906</v>
      </c>
      <c r="C1383" s="1" t="n">
        <v>45190</v>
      </c>
      <c r="D1383" t="inlineStr">
        <is>
          <t>SKÅNE LÄN</t>
        </is>
      </c>
      <c r="E1383" t="inlineStr">
        <is>
          <t>OSBY</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14040-2020</t>
        </is>
      </c>
      <c r="B1384" s="1" t="n">
        <v>43906</v>
      </c>
      <c r="C1384" s="1" t="n">
        <v>45190</v>
      </c>
      <c r="D1384" t="inlineStr">
        <is>
          <t>SKÅNE LÄN</t>
        </is>
      </c>
      <c r="E1384" t="inlineStr">
        <is>
          <t>HÄSSLEHOLM</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13896-2020</t>
        </is>
      </c>
      <c r="B1385" s="1" t="n">
        <v>43906</v>
      </c>
      <c r="C1385" s="1" t="n">
        <v>45190</v>
      </c>
      <c r="D1385" t="inlineStr">
        <is>
          <t>SKÅNE LÄN</t>
        </is>
      </c>
      <c r="E1385" t="inlineStr">
        <is>
          <t>HÄSSLEHOLM</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14107-2020</t>
        </is>
      </c>
      <c r="B1386" s="1" t="n">
        <v>43907</v>
      </c>
      <c r="C1386" s="1" t="n">
        <v>45190</v>
      </c>
      <c r="D1386" t="inlineStr">
        <is>
          <t>SKÅNE LÄN</t>
        </is>
      </c>
      <c r="E1386" t="inlineStr">
        <is>
          <t>SIMRISHAMN</t>
        </is>
      </c>
      <c r="F1386" t="inlineStr">
        <is>
          <t>Övriga Aktiebolag</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14075-2020</t>
        </is>
      </c>
      <c r="B1387" s="1" t="n">
        <v>43907</v>
      </c>
      <c r="C1387" s="1" t="n">
        <v>45190</v>
      </c>
      <c r="D1387" t="inlineStr">
        <is>
          <t>SKÅNE LÄN</t>
        </is>
      </c>
      <c r="E1387" t="inlineStr">
        <is>
          <t>OSBY</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14148-2020</t>
        </is>
      </c>
      <c r="B1388" s="1" t="n">
        <v>43907</v>
      </c>
      <c r="C1388" s="1" t="n">
        <v>45190</v>
      </c>
      <c r="D1388" t="inlineStr">
        <is>
          <t>SKÅNE LÄN</t>
        </is>
      </c>
      <c r="E1388" t="inlineStr">
        <is>
          <t>SIMRISHAMN</t>
        </is>
      </c>
      <c r="F1388" t="inlineStr">
        <is>
          <t>Övriga Aktiebolag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14538-2020</t>
        </is>
      </c>
      <c r="B1389" s="1" t="n">
        <v>43908</v>
      </c>
      <c r="C1389" s="1" t="n">
        <v>45190</v>
      </c>
      <c r="D1389" t="inlineStr">
        <is>
          <t>SKÅNE LÄN</t>
        </is>
      </c>
      <c r="E1389" t="inlineStr">
        <is>
          <t>OSBY</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14668-2020</t>
        </is>
      </c>
      <c r="B1390" s="1" t="n">
        <v>43909</v>
      </c>
      <c r="C1390" s="1" t="n">
        <v>45190</v>
      </c>
      <c r="D1390" t="inlineStr">
        <is>
          <t>SKÅNE LÄN</t>
        </is>
      </c>
      <c r="E1390" t="inlineStr">
        <is>
          <t>BROMÖLLA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16450-2020</t>
        </is>
      </c>
      <c r="B1391" s="1" t="n">
        <v>43909</v>
      </c>
      <c r="C1391" s="1" t="n">
        <v>45190</v>
      </c>
      <c r="D1391" t="inlineStr">
        <is>
          <t>SKÅNE LÄN</t>
        </is>
      </c>
      <c r="E1391" t="inlineStr">
        <is>
          <t>HÖÖR</t>
        </is>
      </c>
      <c r="G1391" t="n">
        <v>6.5</v>
      </c>
      <c r="H1391" t="n">
        <v>0</v>
      </c>
      <c r="I1391" t="n">
        <v>0</v>
      </c>
      <c r="J1391" t="n">
        <v>0</v>
      </c>
      <c r="K1391" t="n">
        <v>0</v>
      </c>
      <c r="L1391" t="n">
        <v>0</v>
      </c>
      <c r="M1391" t="n">
        <v>0</v>
      </c>
      <c r="N1391" t="n">
        <v>0</v>
      </c>
      <c r="O1391" t="n">
        <v>0</v>
      </c>
      <c r="P1391" t="n">
        <v>0</v>
      </c>
      <c r="Q1391" t="n">
        <v>0</v>
      </c>
      <c r="R1391" s="2" t="inlineStr"/>
    </row>
    <row r="1392" ht="15" customHeight="1">
      <c r="A1392" t="inlineStr">
        <is>
          <t>A 16521-2020</t>
        </is>
      </c>
      <c r="B1392" s="1" t="n">
        <v>43909</v>
      </c>
      <c r="C1392" s="1" t="n">
        <v>45190</v>
      </c>
      <c r="D1392" t="inlineStr">
        <is>
          <t>SKÅNE LÄN</t>
        </is>
      </c>
      <c r="E1392" t="inlineStr">
        <is>
          <t>ESLÖV</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16870-2020</t>
        </is>
      </c>
      <c r="B1393" s="1" t="n">
        <v>43910</v>
      </c>
      <c r="C1393" s="1" t="n">
        <v>45190</v>
      </c>
      <c r="D1393" t="inlineStr">
        <is>
          <t>SKÅNE LÄN</t>
        </is>
      </c>
      <c r="E1393" t="inlineStr">
        <is>
          <t>HÖÖR</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15862-2020</t>
        </is>
      </c>
      <c r="B1394" s="1" t="n">
        <v>43910</v>
      </c>
      <c r="C1394" s="1" t="n">
        <v>45190</v>
      </c>
      <c r="D1394" t="inlineStr">
        <is>
          <t>SKÅNE LÄN</t>
        </is>
      </c>
      <c r="E1394" t="inlineStr">
        <is>
          <t>HÄSSLEHOLM</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15860-2020</t>
        </is>
      </c>
      <c r="B1395" s="1" t="n">
        <v>43910</v>
      </c>
      <c r="C1395" s="1" t="n">
        <v>45190</v>
      </c>
      <c r="D1395" t="inlineStr">
        <is>
          <t>SKÅNE LÄN</t>
        </is>
      </c>
      <c r="E1395" t="inlineStr">
        <is>
          <t>HÄSSLEHOLM</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15166-2020</t>
        </is>
      </c>
      <c r="B1396" s="1" t="n">
        <v>43912</v>
      </c>
      <c r="C1396" s="1" t="n">
        <v>45190</v>
      </c>
      <c r="D1396" t="inlineStr">
        <is>
          <t>SKÅNE LÄN</t>
        </is>
      </c>
      <c r="E1396" t="inlineStr">
        <is>
          <t>HÖGANÄS</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15257-2020</t>
        </is>
      </c>
      <c r="B1397" s="1" t="n">
        <v>43913</v>
      </c>
      <c r="C1397" s="1" t="n">
        <v>45190</v>
      </c>
      <c r="D1397" t="inlineStr">
        <is>
          <t>SKÅNE LÄN</t>
        </is>
      </c>
      <c r="E1397" t="inlineStr">
        <is>
          <t>KLIPPAN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17022-2020</t>
        </is>
      </c>
      <c r="B1398" s="1" t="n">
        <v>43913</v>
      </c>
      <c r="C1398" s="1" t="n">
        <v>45190</v>
      </c>
      <c r="D1398" t="inlineStr">
        <is>
          <t>SKÅNE LÄN</t>
        </is>
      </c>
      <c r="E1398" t="inlineStr">
        <is>
          <t>ÖSTRA GÖINGE</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15271-2020</t>
        </is>
      </c>
      <c r="B1399" s="1" t="n">
        <v>43913</v>
      </c>
      <c r="C1399" s="1" t="n">
        <v>45190</v>
      </c>
      <c r="D1399" t="inlineStr">
        <is>
          <t>SKÅNE LÄN</t>
        </is>
      </c>
      <c r="E1399" t="inlineStr">
        <is>
          <t>KLIPPAN</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16998-2020</t>
        </is>
      </c>
      <c r="B1400" s="1" t="n">
        <v>43913</v>
      </c>
      <c r="C1400" s="1" t="n">
        <v>45190</v>
      </c>
      <c r="D1400" t="inlineStr">
        <is>
          <t>SKÅNE LÄN</t>
        </is>
      </c>
      <c r="E1400" t="inlineStr">
        <is>
          <t>ÖSTRA GÖINGE</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15678-2020</t>
        </is>
      </c>
      <c r="B1401" s="1" t="n">
        <v>43915</v>
      </c>
      <c r="C1401" s="1" t="n">
        <v>45190</v>
      </c>
      <c r="D1401" t="inlineStr">
        <is>
          <t>SKÅNE LÄN</t>
        </is>
      </c>
      <c r="E1401" t="inlineStr">
        <is>
          <t>HÄSSLEHOLM</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15778-2020</t>
        </is>
      </c>
      <c r="B1402" s="1" t="n">
        <v>43915</v>
      </c>
      <c r="C1402" s="1" t="n">
        <v>45190</v>
      </c>
      <c r="D1402" t="inlineStr">
        <is>
          <t>SKÅNE LÄN</t>
        </is>
      </c>
      <c r="E1402" t="inlineStr">
        <is>
          <t>OSBY</t>
        </is>
      </c>
      <c r="G1402" t="n">
        <v>7.9</v>
      </c>
      <c r="H1402" t="n">
        <v>0</v>
      </c>
      <c r="I1402" t="n">
        <v>0</v>
      </c>
      <c r="J1402" t="n">
        <v>0</v>
      </c>
      <c r="K1402" t="n">
        <v>0</v>
      </c>
      <c r="L1402" t="n">
        <v>0</v>
      </c>
      <c r="M1402" t="n">
        <v>0</v>
      </c>
      <c r="N1402" t="n">
        <v>0</v>
      </c>
      <c r="O1402" t="n">
        <v>0</v>
      </c>
      <c r="P1402" t="n">
        <v>0</v>
      </c>
      <c r="Q1402" t="n">
        <v>0</v>
      </c>
      <c r="R1402" s="2" t="inlineStr"/>
    </row>
    <row r="1403" ht="15" customHeight="1">
      <c r="A1403" t="inlineStr">
        <is>
          <t>A 17290-2020</t>
        </is>
      </c>
      <c r="B1403" s="1" t="n">
        <v>43915</v>
      </c>
      <c r="C1403" s="1" t="n">
        <v>45190</v>
      </c>
      <c r="D1403" t="inlineStr">
        <is>
          <t>SKÅNE LÄN</t>
        </is>
      </c>
      <c r="E1403" t="inlineStr">
        <is>
          <t>KRISTIANSTAD</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15979-2020</t>
        </is>
      </c>
      <c r="B1404" s="1" t="n">
        <v>43916</v>
      </c>
      <c r="C1404" s="1" t="n">
        <v>45190</v>
      </c>
      <c r="D1404" t="inlineStr">
        <is>
          <t>SKÅNE LÄN</t>
        </is>
      </c>
      <c r="E1404" t="inlineStr">
        <is>
          <t>KLIPPAN</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16036-2020</t>
        </is>
      </c>
      <c r="B1405" s="1" t="n">
        <v>43916</v>
      </c>
      <c r="C1405" s="1" t="n">
        <v>45190</v>
      </c>
      <c r="D1405" t="inlineStr">
        <is>
          <t>SKÅNE LÄN</t>
        </is>
      </c>
      <c r="E1405" t="inlineStr">
        <is>
          <t>SJÖBO</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17421-2020</t>
        </is>
      </c>
      <c r="B1406" s="1" t="n">
        <v>43917</v>
      </c>
      <c r="C1406" s="1" t="n">
        <v>45190</v>
      </c>
      <c r="D1406" t="inlineStr">
        <is>
          <t>SKÅNE LÄN</t>
        </is>
      </c>
      <c r="E1406" t="inlineStr">
        <is>
          <t>HÄSSLEHOLM</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16380-2020</t>
        </is>
      </c>
      <c r="B1407" s="1" t="n">
        <v>43917</v>
      </c>
      <c r="C1407" s="1" t="n">
        <v>45190</v>
      </c>
      <c r="D1407" t="inlineStr">
        <is>
          <t>SKÅNE LÄN</t>
        </is>
      </c>
      <c r="E1407" t="inlineStr">
        <is>
          <t>ÖSTRA GÖINGE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16172-2020</t>
        </is>
      </c>
      <c r="B1408" s="1" t="n">
        <v>43917</v>
      </c>
      <c r="C1408" s="1" t="n">
        <v>45190</v>
      </c>
      <c r="D1408" t="inlineStr">
        <is>
          <t>SKÅNE LÄN</t>
        </is>
      </c>
      <c r="E1408" t="inlineStr">
        <is>
          <t>HÖÖR</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16388-2020</t>
        </is>
      </c>
      <c r="B1409" s="1" t="n">
        <v>43917</v>
      </c>
      <c r="C1409" s="1" t="n">
        <v>45190</v>
      </c>
      <c r="D1409" t="inlineStr">
        <is>
          <t>SKÅNE LÄN</t>
        </is>
      </c>
      <c r="E1409" t="inlineStr">
        <is>
          <t>KRISTIANSTAD</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16252-2020</t>
        </is>
      </c>
      <c r="B1410" s="1" t="n">
        <v>43917</v>
      </c>
      <c r="C1410" s="1" t="n">
        <v>45190</v>
      </c>
      <c r="D1410" t="inlineStr">
        <is>
          <t>SKÅNE LÄN</t>
        </is>
      </c>
      <c r="E1410" t="inlineStr">
        <is>
          <t>KLIPPAN</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16638-2020</t>
        </is>
      </c>
      <c r="B1411" s="1" t="n">
        <v>43920</v>
      </c>
      <c r="C1411" s="1" t="n">
        <v>45190</v>
      </c>
      <c r="D1411" t="inlineStr">
        <is>
          <t>SKÅNE LÄN</t>
        </is>
      </c>
      <c r="E1411" t="inlineStr">
        <is>
          <t>HÖÖR</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17271-2020</t>
        </is>
      </c>
      <c r="B1412" s="1" t="n">
        <v>43922</v>
      </c>
      <c r="C1412" s="1" t="n">
        <v>45190</v>
      </c>
      <c r="D1412" t="inlineStr">
        <is>
          <t>SKÅNE LÄN</t>
        </is>
      </c>
      <c r="E1412" t="inlineStr">
        <is>
          <t>OSBY</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17120-2020</t>
        </is>
      </c>
      <c r="B1413" s="1" t="n">
        <v>43922</v>
      </c>
      <c r="C1413" s="1" t="n">
        <v>45190</v>
      </c>
      <c r="D1413" t="inlineStr">
        <is>
          <t>SKÅNE LÄN</t>
        </is>
      </c>
      <c r="E1413" t="inlineStr">
        <is>
          <t>ÖSTRA GÖINGE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17348-2020</t>
        </is>
      </c>
      <c r="B1414" s="1" t="n">
        <v>43923</v>
      </c>
      <c r="C1414" s="1" t="n">
        <v>45190</v>
      </c>
      <c r="D1414" t="inlineStr">
        <is>
          <t>SKÅNE LÄN</t>
        </is>
      </c>
      <c r="E1414" t="inlineStr">
        <is>
          <t>HÄSSLEHOLM</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17884-2020</t>
        </is>
      </c>
      <c r="B1415" s="1" t="n">
        <v>43923</v>
      </c>
      <c r="C1415" s="1" t="n">
        <v>45190</v>
      </c>
      <c r="D1415" t="inlineStr">
        <is>
          <t>SKÅNE LÄN</t>
        </is>
      </c>
      <c r="E1415" t="inlineStr">
        <is>
          <t>ÖSTRA GÖINGE</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17983-2020</t>
        </is>
      </c>
      <c r="B1416" s="1" t="n">
        <v>43926</v>
      </c>
      <c r="C1416" s="1" t="n">
        <v>45190</v>
      </c>
      <c r="D1416" t="inlineStr">
        <is>
          <t>SKÅNE LÄN</t>
        </is>
      </c>
      <c r="E1416" t="inlineStr">
        <is>
          <t>OSBY</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18198-2020</t>
        </is>
      </c>
      <c r="B1417" s="1" t="n">
        <v>43927</v>
      </c>
      <c r="C1417" s="1" t="n">
        <v>45190</v>
      </c>
      <c r="D1417" t="inlineStr">
        <is>
          <t>SKÅNE LÄN</t>
        </is>
      </c>
      <c r="E1417" t="inlineStr">
        <is>
          <t>BÅSTAD</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18406-2020</t>
        </is>
      </c>
      <c r="B1418" s="1" t="n">
        <v>43928</v>
      </c>
      <c r="C1418" s="1" t="n">
        <v>45190</v>
      </c>
      <c r="D1418" t="inlineStr">
        <is>
          <t>SKÅNE LÄN</t>
        </is>
      </c>
      <c r="E1418" t="inlineStr">
        <is>
          <t>HÄSSLEHOLM</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18516-2020</t>
        </is>
      </c>
      <c r="B1419" s="1" t="n">
        <v>43929</v>
      </c>
      <c r="C1419" s="1" t="n">
        <v>45190</v>
      </c>
      <c r="D1419" t="inlineStr">
        <is>
          <t>SKÅNE LÄN</t>
        </is>
      </c>
      <c r="E1419" t="inlineStr">
        <is>
          <t>TOMELILLA</t>
        </is>
      </c>
      <c r="F1419" t="inlineStr">
        <is>
          <t>Övriga Aktiebolag</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18642-2020</t>
        </is>
      </c>
      <c r="B1420" s="1" t="n">
        <v>43929</v>
      </c>
      <c r="C1420" s="1" t="n">
        <v>45190</v>
      </c>
      <c r="D1420" t="inlineStr">
        <is>
          <t>SKÅNE LÄN</t>
        </is>
      </c>
      <c r="E1420" t="inlineStr">
        <is>
          <t>SVEDALA</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18677-2020</t>
        </is>
      </c>
      <c r="B1421" s="1" t="n">
        <v>43930</v>
      </c>
      <c r="C1421" s="1" t="n">
        <v>45190</v>
      </c>
      <c r="D1421" t="inlineStr">
        <is>
          <t>SKÅNE LÄN</t>
        </is>
      </c>
      <c r="E1421" t="inlineStr">
        <is>
          <t>KRISTIANSTAD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18809-2020</t>
        </is>
      </c>
      <c r="B1422" s="1" t="n">
        <v>43934</v>
      </c>
      <c r="C1422" s="1" t="n">
        <v>45190</v>
      </c>
      <c r="D1422" t="inlineStr">
        <is>
          <t>SKÅNE LÄN</t>
        </is>
      </c>
      <c r="E1422" t="inlineStr">
        <is>
          <t>PERSTORP</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18838-2020</t>
        </is>
      </c>
      <c r="B1423" s="1" t="n">
        <v>43935</v>
      </c>
      <c r="C1423" s="1" t="n">
        <v>45190</v>
      </c>
      <c r="D1423" t="inlineStr">
        <is>
          <t>SKÅNE LÄN</t>
        </is>
      </c>
      <c r="E1423" t="inlineStr">
        <is>
          <t>OSBY</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18846-2020</t>
        </is>
      </c>
      <c r="B1424" s="1" t="n">
        <v>43935</v>
      </c>
      <c r="C1424" s="1" t="n">
        <v>45190</v>
      </c>
      <c r="D1424" t="inlineStr">
        <is>
          <t>SKÅNE LÄN</t>
        </is>
      </c>
      <c r="E1424" t="inlineStr">
        <is>
          <t>HÄSSLEHOLM</t>
        </is>
      </c>
      <c r="F1424" t="inlineStr">
        <is>
          <t>Övriga Aktiebolag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18881-2020</t>
        </is>
      </c>
      <c r="B1425" s="1" t="n">
        <v>43935</v>
      </c>
      <c r="C1425" s="1" t="n">
        <v>45190</v>
      </c>
      <c r="D1425" t="inlineStr">
        <is>
          <t>SKÅNE LÄN</t>
        </is>
      </c>
      <c r="E1425" t="inlineStr">
        <is>
          <t>KRISTIANSTAD</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19126-2020</t>
        </is>
      </c>
      <c r="B1426" s="1" t="n">
        <v>43936</v>
      </c>
      <c r="C1426" s="1" t="n">
        <v>45190</v>
      </c>
      <c r="D1426" t="inlineStr">
        <is>
          <t>SKÅNE LÄN</t>
        </is>
      </c>
      <c r="E1426" t="inlineStr">
        <is>
          <t>ÖRKELLJUNGA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19614-2020</t>
        </is>
      </c>
      <c r="B1427" s="1" t="n">
        <v>43936</v>
      </c>
      <c r="C1427" s="1" t="n">
        <v>45190</v>
      </c>
      <c r="D1427" t="inlineStr">
        <is>
          <t>SKÅNE LÄN</t>
        </is>
      </c>
      <c r="E1427" t="inlineStr">
        <is>
          <t>SVALÖV</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19456-2020</t>
        </is>
      </c>
      <c r="B1428" s="1" t="n">
        <v>43938</v>
      </c>
      <c r="C1428" s="1" t="n">
        <v>45190</v>
      </c>
      <c r="D1428" t="inlineStr">
        <is>
          <t>SKÅNE LÄN</t>
        </is>
      </c>
      <c r="E1428" t="inlineStr">
        <is>
          <t>ÖSTRA GÖINGE</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19781-2020</t>
        </is>
      </c>
      <c r="B1429" s="1" t="n">
        <v>43942</v>
      </c>
      <c r="C1429" s="1" t="n">
        <v>45190</v>
      </c>
      <c r="D1429" t="inlineStr">
        <is>
          <t>SKÅNE LÄN</t>
        </is>
      </c>
      <c r="E1429" t="inlineStr">
        <is>
          <t>OSBY</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19801-2020</t>
        </is>
      </c>
      <c r="B1430" s="1" t="n">
        <v>43942</v>
      </c>
      <c r="C1430" s="1" t="n">
        <v>45190</v>
      </c>
      <c r="D1430" t="inlineStr">
        <is>
          <t>SKÅNE LÄN</t>
        </is>
      </c>
      <c r="E1430" t="inlineStr">
        <is>
          <t>KLIPPAN</t>
        </is>
      </c>
      <c r="F1430" t="inlineStr">
        <is>
          <t>Övriga Aktiebolag</t>
        </is>
      </c>
      <c r="G1430" t="n">
        <v>12.2</v>
      </c>
      <c r="H1430" t="n">
        <v>0</v>
      </c>
      <c r="I1430" t="n">
        <v>0</v>
      </c>
      <c r="J1430" t="n">
        <v>0</v>
      </c>
      <c r="K1430" t="n">
        <v>0</v>
      </c>
      <c r="L1430" t="n">
        <v>0</v>
      </c>
      <c r="M1430" t="n">
        <v>0</v>
      </c>
      <c r="N1430" t="n">
        <v>0</v>
      </c>
      <c r="O1430" t="n">
        <v>0</v>
      </c>
      <c r="P1430" t="n">
        <v>0</v>
      </c>
      <c r="Q1430" t="n">
        <v>0</v>
      </c>
      <c r="R1430" s="2" t="inlineStr"/>
    </row>
    <row r="1431" ht="15" customHeight="1">
      <c r="A1431" t="inlineStr">
        <is>
          <t>A 20052-2020</t>
        </is>
      </c>
      <c r="B1431" s="1" t="n">
        <v>43942</v>
      </c>
      <c r="C1431" s="1" t="n">
        <v>45190</v>
      </c>
      <c r="D1431" t="inlineStr">
        <is>
          <t>SKÅNE LÄN</t>
        </is>
      </c>
      <c r="E1431" t="inlineStr">
        <is>
          <t>ÖRKELLJUNGA</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19795-2020</t>
        </is>
      </c>
      <c r="B1432" s="1" t="n">
        <v>43942</v>
      </c>
      <c r="C1432" s="1" t="n">
        <v>45190</v>
      </c>
      <c r="D1432" t="inlineStr">
        <is>
          <t>SKÅNE LÄN</t>
        </is>
      </c>
      <c r="E1432" t="inlineStr">
        <is>
          <t>KLIPPAN</t>
        </is>
      </c>
      <c r="F1432" t="inlineStr">
        <is>
          <t>Övriga Aktiebolag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20031-2020</t>
        </is>
      </c>
      <c r="B1433" s="1" t="n">
        <v>43943</v>
      </c>
      <c r="C1433" s="1" t="n">
        <v>45190</v>
      </c>
      <c r="D1433" t="inlineStr">
        <is>
          <t>SKÅNE LÄN</t>
        </is>
      </c>
      <c r="E1433" t="inlineStr">
        <is>
          <t>SVALÖV</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20271-2020</t>
        </is>
      </c>
      <c r="B1434" s="1" t="n">
        <v>43945</v>
      </c>
      <c r="C1434" s="1" t="n">
        <v>45190</v>
      </c>
      <c r="D1434" t="inlineStr">
        <is>
          <t>SKÅNE LÄN</t>
        </is>
      </c>
      <c r="E1434" t="inlineStr">
        <is>
          <t>KLIPPAN</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20305-2020</t>
        </is>
      </c>
      <c r="B1435" s="1" t="n">
        <v>43945</v>
      </c>
      <c r="C1435" s="1" t="n">
        <v>45190</v>
      </c>
      <c r="D1435" t="inlineStr">
        <is>
          <t>SKÅNE LÄN</t>
        </is>
      </c>
      <c r="E1435" t="inlineStr">
        <is>
          <t>KLIPPAN</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20555-2020</t>
        </is>
      </c>
      <c r="B1436" s="1" t="n">
        <v>43948</v>
      </c>
      <c r="C1436" s="1" t="n">
        <v>45190</v>
      </c>
      <c r="D1436" t="inlineStr">
        <is>
          <t>SKÅNE LÄN</t>
        </is>
      </c>
      <c r="E1436" t="inlineStr">
        <is>
          <t>OSBY</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20799-2020</t>
        </is>
      </c>
      <c r="B1437" s="1" t="n">
        <v>43949</v>
      </c>
      <c r="C1437" s="1" t="n">
        <v>45190</v>
      </c>
      <c r="D1437" t="inlineStr">
        <is>
          <t>SKÅNE LÄN</t>
        </is>
      </c>
      <c r="E1437" t="inlineStr">
        <is>
          <t>HÄSSLEHOLM</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20715-2020</t>
        </is>
      </c>
      <c r="B1438" s="1" t="n">
        <v>43949</v>
      </c>
      <c r="C1438" s="1" t="n">
        <v>45190</v>
      </c>
      <c r="D1438" t="inlineStr">
        <is>
          <t>SKÅNE LÄN</t>
        </is>
      </c>
      <c r="E1438" t="inlineStr">
        <is>
          <t>OSBY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20948-2020</t>
        </is>
      </c>
      <c r="B1439" s="1" t="n">
        <v>43949</v>
      </c>
      <c r="C1439" s="1" t="n">
        <v>45190</v>
      </c>
      <c r="D1439" t="inlineStr">
        <is>
          <t>SKÅNE LÄN</t>
        </is>
      </c>
      <c r="E1439" t="inlineStr">
        <is>
          <t>TOMELILLA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21011-2020</t>
        </is>
      </c>
      <c r="B1440" s="1" t="n">
        <v>43950</v>
      </c>
      <c r="C1440" s="1" t="n">
        <v>45190</v>
      </c>
      <c r="D1440" t="inlineStr">
        <is>
          <t>SKÅNE LÄN</t>
        </is>
      </c>
      <c r="E1440" t="inlineStr">
        <is>
          <t>OSBY</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20973-2020</t>
        </is>
      </c>
      <c r="B1441" s="1" t="n">
        <v>43950</v>
      </c>
      <c r="C1441" s="1" t="n">
        <v>45190</v>
      </c>
      <c r="D1441" t="inlineStr">
        <is>
          <t>SKÅNE LÄN</t>
        </is>
      </c>
      <c r="E1441" t="inlineStr">
        <is>
          <t>KLIPPAN</t>
        </is>
      </c>
      <c r="F1441" t="inlineStr">
        <is>
          <t>Övriga Aktiebolag</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20967-2020</t>
        </is>
      </c>
      <c r="B1442" s="1" t="n">
        <v>43950</v>
      </c>
      <c r="C1442" s="1" t="n">
        <v>45190</v>
      </c>
      <c r="D1442" t="inlineStr">
        <is>
          <t>SKÅNE LÄN</t>
        </is>
      </c>
      <c r="E1442" t="inlineStr">
        <is>
          <t>HÄSSLEHOLM</t>
        </is>
      </c>
      <c r="F1442" t="inlineStr">
        <is>
          <t>Övriga Aktiebolag</t>
        </is>
      </c>
      <c r="G1442" t="n">
        <v>7.9</v>
      </c>
      <c r="H1442" t="n">
        <v>0</v>
      </c>
      <c r="I1442" t="n">
        <v>0</v>
      </c>
      <c r="J1442" t="n">
        <v>0</v>
      </c>
      <c r="K1442" t="n">
        <v>0</v>
      </c>
      <c r="L1442" t="n">
        <v>0</v>
      </c>
      <c r="M1442" t="n">
        <v>0</v>
      </c>
      <c r="N1442" t="n">
        <v>0</v>
      </c>
      <c r="O1442" t="n">
        <v>0</v>
      </c>
      <c r="P1442" t="n">
        <v>0</v>
      </c>
      <c r="Q1442" t="n">
        <v>0</v>
      </c>
      <c r="R1442" s="2" t="inlineStr"/>
    </row>
    <row r="1443" ht="15" customHeight="1">
      <c r="A1443" t="inlineStr">
        <is>
          <t>A 20977-2020</t>
        </is>
      </c>
      <c r="B1443" s="1" t="n">
        <v>43950</v>
      </c>
      <c r="C1443" s="1" t="n">
        <v>45190</v>
      </c>
      <c r="D1443" t="inlineStr">
        <is>
          <t>SKÅNE LÄN</t>
        </is>
      </c>
      <c r="E1443" t="inlineStr">
        <is>
          <t>HÄSSLEHOLM</t>
        </is>
      </c>
      <c r="F1443" t="inlineStr">
        <is>
          <t>Övriga Aktiebolag</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20993-2020</t>
        </is>
      </c>
      <c r="B1444" s="1" t="n">
        <v>43950</v>
      </c>
      <c r="C1444" s="1" t="n">
        <v>45190</v>
      </c>
      <c r="D1444" t="inlineStr">
        <is>
          <t>SKÅNE LÄN</t>
        </is>
      </c>
      <c r="E1444" t="inlineStr">
        <is>
          <t>HÄSSLEHOLM</t>
        </is>
      </c>
      <c r="F1444" t="inlineStr">
        <is>
          <t>Övriga Aktiebolag</t>
        </is>
      </c>
      <c r="G1444" t="n">
        <v>10.5</v>
      </c>
      <c r="H1444" t="n">
        <v>0</v>
      </c>
      <c r="I1444" t="n">
        <v>0</v>
      </c>
      <c r="J1444" t="n">
        <v>0</v>
      </c>
      <c r="K1444" t="n">
        <v>0</v>
      </c>
      <c r="L1444" t="n">
        <v>0</v>
      </c>
      <c r="M1444" t="n">
        <v>0</v>
      </c>
      <c r="N1444" t="n">
        <v>0</v>
      </c>
      <c r="O1444" t="n">
        <v>0</v>
      </c>
      <c r="P1444" t="n">
        <v>0</v>
      </c>
      <c r="Q1444" t="n">
        <v>0</v>
      </c>
      <c r="R1444" s="2" t="inlineStr"/>
    </row>
    <row r="1445" ht="15" customHeight="1">
      <c r="A1445" t="inlineStr">
        <is>
          <t>A 21263-2020</t>
        </is>
      </c>
      <c r="B1445" s="1" t="n">
        <v>43951</v>
      </c>
      <c r="C1445" s="1" t="n">
        <v>45190</v>
      </c>
      <c r="D1445" t="inlineStr">
        <is>
          <t>SKÅNE LÄN</t>
        </is>
      </c>
      <c r="E1445" t="inlineStr">
        <is>
          <t>HÄSSLEHOLM</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21318-2020</t>
        </is>
      </c>
      <c r="B1446" s="1" t="n">
        <v>43955</v>
      </c>
      <c r="C1446" s="1" t="n">
        <v>45190</v>
      </c>
      <c r="D1446" t="inlineStr">
        <is>
          <t>SKÅNE LÄN</t>
        </is>
      </c>
      <c r="E1446" t="inlineStr">
        <is>
          <t>ÖRKELLJUNGA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21356-2020</t>
        </is>
      </c>
      <c r="B1447" s="1" t="n">
        <v>43955</v>
      </c>
      <c r="C1447" s="1" t="n">
        <v>45190</v>
      </c>
      <c r="D1447" t="inlineStr">
        <is>
          <t>SKÅNE LÄN</t>
        </is>
      </c>
      <c r="E1447" t="inlineStr">
        <is>
          <t>KRISTIANSTAD</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21522-2020</t>
        </is>
      </c>
      <c r="B1448" s="1" t="n">
        <v>43955</v>
      </c>
      <c r="C1448" s="1" t="n">
        <v>45190</v>
      </c>
      <c r="D1448" t="inlineStr">
        <is>
          <t>SKÅNE LÄN</t>
        </is>
      </c>
      <c r="E1448" t="inlineStr">
        <is>
          <t>HÄSSLEHOLM</t>
        </is>
      </c>
      <c r="F1448" t="inlineStr">
        <is>
          <t>Övriga Aktiebolag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21452-2020</t>
        </is>
      </c>
      <c r="B1449" s="1" t="n">
        <v>43955</v>
      </c>
      <c r="C1449" s="1" t="n">
        <v>45190</v>
      </c>
      <c r="D1449" t="inlineStr">
        <is>
          <t>SKÅNE LÄN</t>
        </is>
      </c>
      <c r="E1449" t="inlineStr">
        <is>
          <t>HÄSSLEHOLM</t>
        </is>
      </c>
      <c r="G1449" t="n">
        <v>6</v>
      </c>
      <c r="H1449" t="n">
        <v>0</v>
      </c>
      <c r="I1449" t="n">
        <v>0</v>
      </c>
      <c r="J1449" t="n">
        <v>0</v>
      </c>
      <c r="K1449" t="n">
        <v>0</v>
      </c>
      <c r="L1449" t="n">
        <v>0</v>
      </c>
      <c r="M1449" t="n">
        <v>0</v>
      </c>
      <c r="N1449" t="n">
        <v>0</v>
      </c>
      <c r="O1449" t="n">
        <v>0</v>
      </c>
      <c r="P1449" t="n">
        <v>0</v>
      </c>
      <c r="Q1449" t="n">
        <v>0</v>
      </c>
      <c r="R1449" s="2" t="inlineStr"/>
    </row>
    <row r="1450" ht="15" customHeight="1">
      <c r="A1450" t="inlineStr">
        <is>
          <t>A 21532-2020</t>
        </is>
      </c>
      <c r="B1450" s="1" t="n">
        <v>43955</v>
      </c>
      <c r="C1450" s="1" t="n">
        <v>45190</v>
      </c>
      <c r="D1450" t="inlineStr">
        <is>
          <t>SKÅNE LÄN</t>
        </is>
      </c>
      <c r="E1450" t="inlineStr">
        <is>
          <t>KLIPPAN</t>
        </is>
      </c>
      <c r="F1450" t="inlineStr">
        <is>
          <t>Övriga Aktiebolag</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21286-2020</t>
        </is>
      </c>
      <c r="B1451" s="1" t="n">
        <v>43955</v>
      </c>
      <c r="C1451" s="1" t="n">
        <v>45190</v>
      </c>
      <c r="D1451" t="inlineStr">
        <is>
          <t>SKÅNE LÄN</t>
        </is>
      </c>
      <c r="E1451" t="inlineStr">
        <is>
          <t>ÖSTRA GÖINGE</t>
        </is>
      </c>
      <c r="F1451" t="inlineStr">
        <is>
          <t>Sveaskog</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21396-2020</t>
        </is>
      </c>
      <c r="B1452" s="1" t="n">
        <v>43955</v>
      </c>
      <c r="C1452" s="1" t="n">
        <v>45190</v>
      </c>
      <c r="D1452" t="inlineStr">
        <is>
          <t>SKÅNE LÄN</t>
        </is>
      </c>
      <c r="E1452" t="inlineStr">
        <is>
          <t>ÖRKELLJUNGA</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21636-2020</t>
        </is>
      </c>
      <c r="B1453" s="1" t="n">
        <v>43957</v>
      </c>
      <c r="C1453" s="1" t="n">
        <v>45190</v>
      </c>
      <c r="D1453" t="inlineStr">
        <is>
          <t>SKÅNE LÄN</t>
        </is>
      </c>
      <c r="E1453" t="inlineStr">
        <is>
          <t>ESLÖV</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21697-2020</t>
        </is>
      </c>
      <c r="B1454" s="1" t="n">
        <v>43957</v>
      </c>
      <c r="C1454" s="1" t="n">
        <v>45190</v>
      </c>
      <c r="D1454" t="inlineStr">
        <is>
          <t>SKÅNE LÄN</t>
        </is>
      </c>
      <c r="E1454" t="inlineStr">
        <is>
          <t>HÄSSLEHOLM</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22340-2020</t>
        </is>
      </c>
      <c r="B1455" s="1" t="n">
        <v>43957</v>
      </c>
      <c r="C1455" s="1" t="n">
        <v>45190</v>
      </c>
      <c r="D1455" t="inlineStr">
        <is>
          <t>SKÅNE LÄN</t>
        </is>
      </c>
      <c r="E1455" t="inlineStr">
        <is>
          <t>KLIPPAN</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21776-2020</t>
        </is>
      </c>
      <c r="B1456" s="1" t="n">
        <v>43957</v>
      </c>
      <c r="C1456" s="1" t="n">
        <v>45190</v>
      </c>
      <c r="D1456" t="inlineStr">
        <is>
          <t>SKÅNE LÄN</t>
        </is>
      </c>
      <c r="E1456" t="inlineStr">
        <is>
          <t>OSBY</t>
        </is>
      </c>
      <c r="F1456" t="inlineStr">
        <is>
          <t>Naturvårdsverket</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21699-2020</t>
        </is>
      </c>
      <c r="B1457" s="1" t="n">
        <v>43957</v>
      </c>
      <c r="C1457" s="1" t="n">
        <v>45190</v>
      </c>
      <c r="D1457" t="inlineStr">
        <is>
          <t>SKÅNE LÄN</t>
        </is>
      </c>
      <c r="E1457" t="inlineStr">
        <is>
          <t>HÄSSLEHOLM</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21854-2020</t>
        </is>
      </c>
      <c r="B1458" s="1" t="n">
        <v>43957</v>
      </c>
      <c r="C1458" s="1" t="n">
        <v>45190</v>
      </c>
      <c r="D1458" t="inlineStr">
        <is>
          <t>SKÅNE LÄN</t>
        </is>
      </c>
      <c r="E1458" t="inlineStr">
        <is>
          <t>HÄSSLEHOLM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22342-2020</t>
        </is>
      </c>
      <c r="B1459" s="1" t="n">
        <v>43957</v>
      </c>
      <c r="C1459" s="1" t="n">
        <v>45190</v>
      </c>
      <c r="D1459" t="inlineStr">
        <is>
          <t>SKÅNE LÄN</t>
        </is>
      </c>
      <c r="E1459" t="inlineStr">
        <is>
          <t>KLIPPAN</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22543-2020</t>
        </is>
      </c>
      <c r="B1460" s="1" t="n">
        <v>43959</v>
      </c>
      <c r="C1460" s="1" t="n">
        <v>45190</v>
      </c>
      <c r="D1460" t="inlineStr">
        <is>
          <t>SKÅNE LÄN</t>
        </is>
      </c>
      <c r="E1460" t="inlineStr">
        <is>
          <t>KLIPPAN</t>
        </is>
      </c>
      <c r="G1460" t="n">
        <v>5.7</v>
      </c>
      <c r="H1460" t="n">
        <v>0</v>
      </c>
      <c r="I1460" t="n">
        <v>0</v>
      </c>
      <c r="J1460" t="n">
        <v>0</v>
      </c>
      <c r="K1460" t="n">
        <v>0</v>
      </c>
      <c r="L1460" t="n">
        <v>0</v>
      </c>
      <c r="M1460" t="n">
        <v>0</v>
      </c>
      <c r="N1460" t="n">
        <v>0</v>
      </c>
      <c r="O1460" t="n">
        <v>0</v>
      </c>
      <c r="P1460" t="n">
        <v>0</v>
      </c>
      <c r="Q1460" t="n">
        <v>0</v>
      </c>
      <c r="R1460" s="2" t="inlineStr"/>
    </row>
    <row r="1461" ht="15" customHeight="1">
      <c r="A1461" t="inlineStr">
        <is>
          <t>A 22790-2020</t>
        </is>
      </c>
      <c r="B1461" s="1" t="n">
        <v>43962</v>
      </c>
      <c r="C1461" s="1" t="n">
        <v>45190</v>
      </c>
      <c r="D1461" t="inlineStr">
        <is>
          <t>SKÅNE LÄN</t>
        </is>
      </c>
      <c r="E1461" t="inlineStr">
        <is>
          <t>SJÖBO</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22312-2020</t>
        </is>
      </c>
      <c r="B1462" s="1" t="n">
        <v>43962</v>
      </c>
      <c r="C1462" s="1" t="n">
        <v>45190</v>
      </c>
      <c r="D1462" t="inlineStr">
        <is>
          <t>SKÅNE LÄN</t>
        </is>
      </c>
      <c r="E1462" t="inlineStr">
        <is>
          <t>ÖRKELLJUNGA</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22732-2020</t>
        </is>
      </c>
      <c r="B1463" s="1" t="n">
        <v>43963</v>
      </c>
      <c r="C1463" s="1" t="n">
        <v>45190</v>
      </c>
      <c r="D1463" t="inlineStr">
        <is>
          <t>SKÅNE LÄN</t>
        </is>
      </c>
      <c r="E1463" t="inlineStr">
        <is>
          <t>SIMRISHAMN</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22870-2020</t>
        </is>
      </c>
      <c r="B1464" s="1" t="n">
        <v>43964</v>
      </c>
      <c r="C1464" s="1" t="n">
        <v>45190</v>
      </c>
      <c r="D1464" t="inlineStr">
        <is>
          <t>SKÅNE LÄN</t>
        </is>
      </c>
      <c r="E1464" t="inlineStr">
        <is>
          <t>ÖRKELLJUNGA</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23235-2020</t>
        </is>
      </c>
      <c r="B1465" s="1" t="n">
        <v>43966</v>
      </c>
      <c r="C1465" s="1" t="n">
        <v>45190</v>
      </c>
      <c r="D1465" t="inlineStr">
        <is>
          <t>SKÅNE LÄN</t>
        </is>
      </c>
      <c r="E1465" t="inlineStr">
        <is>
          <t>HÄSSLEHOLM</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23264-2020</t>
        </is>
      </c>
      <c r="B1466" s="1" t="n">
        <v>43966</v>
      </c>
      <c r="C1466" s="1" t="n">
        <v>45190</v>
      </c>
      <c r="D1466" t="inlineStr">
        <is>
          <t>SKÅNE LÄN</t>
        </is>
      </c>
      <c r="E1466" t="inlineStr">
        <is>
          <t>ÖSTRA GÖINGE</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23228-2020</t>
        </is>
      </c>
      <c r="B1467" s="1" t="n">
        <v>43966</v>
      </c>
      <c r="C1467" s="1" t="n">
        <v>45190</v>
      </c>
      <c r="D1467" t="inlineStr">
        <is>
          <t>SKÅNE LÄN</t>
        </is>
      </c>
      <c r="E1467" t="inlineStr">
        <is>
          <t>SJÖBO</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23266-2020</t>
        </is>
      </c>
      <c r="B1468" s="1" t="n">
        <v>43966</v>
      </c>
      <c r="C1468" s="1" t="n">
        <v>45190</v>
      </c>
      <c r="D1468" t="inlineStr">
        <is>
          <t>SKÅNE LÄN</t>
        </is>
      </c>
      <c r="E1468" t="inlineStr">
        <is>
          <t>ÖSTRA GÖINGE</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23238-2020</t>
        </is>
      </c>
      <c r="B1469" s="1" t="n">
        <v>43966</v>
      </c>
      <c r="C1469" s="1" t="n">
        <v>45190</v>
      </c>
      <c r="D1469" t="inlineStr">
        <is>
          <t>SKÅNE LÄN</t>
        </is>
      </c>
      <c r="E1469" t="inlineStr">
        <is>
          <t>OSBY</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23319-2020</t>
        </is>
      </c>
      <c r="B1470" s="1" t="n">
        <v>43966</v>
      </c>
      <c r="C1470" s="1" t="n">
        <v>45190</v>
      </c>
      <c r="D1470" t="inlineStr">
        <is>
          <t>SKÅNE LÄN</t>
        </is>
      </c>
      <c r="E1470" t="inlineStr">
        <is>
          <t>ÖSTRA GÖINGE</t>
        </is>
      </c>
      <c r="G1470" t="n">
        <v>7.7</v>
      </c>
      <c r="H1470" t="n">
        <v>0</v>
      </c>
      <c r="I1470" t="n">
        <v>0</v>
      </c>
      <c r="J1470" t="n">
        <v>0</v>
      </c>
      <c r="K1470" t="n">
        <v>0</v>
      </c>
      <c r="L1470" t="n">
        <v>0</v>
      </c>
      <c r="M1470" t="n">
        <v>0</v>
      </c>
      <c r="N1470" t="n">
        <v>0</v>
      </c>
      <c r="O1470" t="n">
        <v>0</v>
      </c>
      <c r="P1470" t="n">
        <v>0</v>
      </c>
      <c r="Q1470" t="n">
        <v>0</v>
      </c>
      <c r="R1470" s="2" t="inlineStr"/>
    </row>
    <row r="1471" ht="15" customHeight="1">
      <c r="A1471" t="inlineStr">
        <is>
          <t>A 23405-2020</t>
        </is>
      </c>
      <c r="B1471" s="1" t="n">
        <v>43968</v>
      </c>
      <c r="C1471" s="1" t="n">
        <v>45190</v>
      </c>
      <c r="D1471" t="inlineStr">
        <is>
          <t>SKÅNE LÄN</t>
        </is>
      </c>
      <c r="E1471" t="inlineStr">
        <is>
          <t>ÖSTRA GÖINGE</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23478-2020</t>
        </is>
      </c>
      <c r="B1472" s="1" t="n">
        <v>43969</v>
      </c>
      <c r="C1472" s="1" t="n">
        <v>45190</v>
      </c>
      <c r="D1472" t="inlineStr">
        <is>
          <t>SKÅNE LÄN</t>
        </is>
      </c>
      <c r="E1472" t="inlineStr">
        <is>
          <t>ESLÖV</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23476-2020</t>
        </is>
      </c>
      <c r="B1473" s="1" t="n">
        <v>43969</v>
      </c>
      <c r="C1473" s="1" t="n">
        <v>45190</v>
      </c>
      <c r="D1473" t="inlineStr">
        <is>
          <t>SKÅNE LÄN</t>
        </is>
      </c>
      <c r="E1473" t="inlineStr">
        <is>
          <t>ESLÖV</t>
        </is>
      </c>
      <c r="G1473" t="n">
        <v>0.2</v>
      </c>
      <c r="H1473" t="n">
        <v>0</v>
      </c>
      <c r="I1473" t="n">
        <v>0</v>
      </c>
      <c r="J1473" t="n">
        <v>0</v>
      </c>
      <c r="K1473" t="n">
        <v>0</v>
      </c>
      <c r="L1473" t="n">
        <v>0</v>
      </c>
      <c r="M1473" t="n">
        <v>0</v>
      </c>
      <c r="N1473" t="n">
        <v>0</v>
      </c>
      <c r="O1473" t="n">
        <v>0</v>
      </c>
      <c r="P1473" t="n">
        <v>0</v>
      </c>
      <c r="Q1473" t="n">
        <v>0</v>
      </c>
      <c r="R1473" s="2" t="inlineStr"/>
    </row>
    <row r="1474" ht="15" customHeight="1">
      <c r="A1474" t="inlineStr">
        <is>
          <t>A 23536-2020</t>
        </is>
      </c>
      <c r="B1474" s="1" t="n">
        <v>43969</v>
      </c>
      <c r="C1474" s="1" t="n">
        <v>45190</v>
      </c>
      <c r="D1474" t="inlineStr">
        <is>
          <t>SKÅNE LÄN</t>
        </is>
      </c>
      <c r="E1474" t="inlineStr">
        <is>
          <t>HÖÖR</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23513-2020</t>
        </is>
      </c>
      <c r="B1475" s="1" t="n">
        <v>43969</v>
      </c>
      <c r="C1475" s="1" t="n">
        <v>45190</v>
      </c>
      <c r="D1475" t="inlineStr">
        <is>
          <t>SKÅNE LÄN</t>
        </is>
      </c>
      <c r="E1475" t="inlineStr">
        <is>
          <t>TOMELILLA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23715-2020</t>
        </is>
      </c>
      <c r="B1476" s="1" t="n">
        <v>43970</v>
      </c>
      <c r="C1476" s="1" t="n">
        <v>45190</v>
      </c>
      <c r="D1476" t="inlineStr">
        <is>
          <t>SKÅNE LÄN</t>
        </is>
      </c>
      <c r="E1476" t="inlineStr">
        <is>
          <t>SKURUP</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24227-2020</t>
        </is>
      </c>
      <c r="B1477" s="1" t="n">
        <v>43970</v>
      </c>
      <c r="C1477" s="1" t="n">
        <v>45190</v>
      </c>
      <c r="D1477" t="inlineStr">
        <is>
          <t>SKÅNE LÄN</t>
        </is>
      </c>
      <c r="E1477" t="inlineStr">
        <is>
          <t>HÄSSLEHOLM</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23714-2020</t>
        </is>
      </c>
      <c r="B1478" s="1" t="n">
        <v>43970</v>
      </c>
      <c r="C1478" s="1" t="n">
        <v>45190</v>
      </c>
      <c r="D1478" t="inlineStr">
        <is>
          <t>SKÅNE LÄN</t>
        </is>
      </c>
      <c r="E1478" t="inlineStr">
        <is>
          <t>ÄNGELHOLM</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23707-2020</t>
        </is>
      </c>
      <c r="B1479" s="1" t="n">
        <v>43970</v>
      </c>
      <c r="C1479" s="1" t="n">
        <v>45190</v>
      </c>
      <c r="D1479" t="inlineStr">
        <is>
          <t>SKÅNE LÄN</t>
        </is>
      </c>
      <c r="E1479" t="inlineStr">
        <is>
          <t>SKURUP</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23787-2020</t>
        </is>
      </c>
      <c r="B1480" s="1" t="n">
        <v>43970</v>
      </c>
      <c r="C1480" s="1" t="n">
        <v>45190</v>
      </c>
      <c r="D1480" t="inlineStr">
        <is>
          <t>SKÅNE LÄN</t>
        </is>
      </c>
      <c r="E1480" t="inlineStr">
        <is>
          <t>ÖRKELLJUNGA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24233-2020</t>
        </is>
      </c>
      <c r="B1481" s="1" t="n">
        <v>43970</v>
      </c>
      <c r="C1481" s="1" t="n">
        <v>45190</v>
      </c>
      <c r="D1481" t="inlineStr">
        <is>
          <t>SKÅNE LÄN</t>
        </is>
      </c>
      <c r="E1481" t="inlineStr">
        <is>
          <t>HÄSSLEHOLM</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24115-2020</t>
        </is>
      </c>
      <c r="B1482" s="1" t="n">
        <v>43973</v>
      </c>
      <c r="C1482" s="1" t="n">
        <v>45190</v>
      </c>
      <c r="D1482" t="inlineStr">
        <is>
          <t>SKÅNE LÄN</t>
        </is>
      </c>
      <c r="E1482" t="inlineStr">
        <is>
          <t>HÄSSLEHOLM</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24299-2020</t>
        </is>
      </c>
      <c r="B1483" s="1" t="n">
        <v>43976</v>
      </c>
      <c r="C1483" s="1" t="n">
        <v>45190</v>
      </c>
      <c r="D1483" t="inlineStr">
        <is>
          <t>SKÅNE LÄN</t>
        </is>
      </c>
      <c r="E1483" t="inlineStr">
        <is>
          <t>OSBY</t>
        </is>
      </c>
      <c r="F1483" t="inlineStr">
        <is>
          <t>Kyrkan</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24450-2020</t>
        </is>
      </c>
      <c r="B1484" s="1" t="n">
        <v>43976</v>
      </c>
      <c r="C1484" s="1" t="n">
        <v>45190</v>
      </c>
      <c r="D1484" t="inlineStr">
        <is>
          <t>SKÅNE LÄN</t>
        </is>
      </c>
      <c r="E1484" t="inlineStr">
        <is>
          <t>OSBY</t>
        </is>
      </c>
      <c r="F1484" t="inlineStr">
        <is>
          <t>Naturvårdsverket</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24486-2020</t>
        </is>
      </c>
      <c r="B1485" s="1" t="n">
        <v>43976</v>
      </c>
      <c r="C1485" s="1" t="n">
        <v>45190</v>
      </c>
      <c r="D1485" t="inlineStr">
        <is>
          <t>SKÅNE LÄN</t>
        </is>
      </c>
      <c r="E1485" t="inlineStr">
        <is>
          <t>OSBY</t>
        </is>
      </c>
      <c r="F1485" t="inlineStr">
        <is>
          <t>Naturvårdsverket</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24612-2020</t>
        </is>
      </c>
      <c r="B1486" s="1" t="n">
        <v>43977</v>
      </c>
      <c r="C1486" s="1" t="n">
        <v>45190</v>
      </c>
      <c r="D1486" t="inlineStr">
        <is>
          <t>SKÅNE LÄN</t>
        </is>
      </c>
      <c r="E1486" t="inlineStr">
        <is>
          <t>SKURUP</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24628-2020</t>
        </is>
      </c>
      <c r="B1487" s="1" t="n">
        <v>43977</v>
      </c>
      <c r="C1487" s="1" t="n">
        <v>45190</v>
      </c>
      <c r="D1487" t="inlineStr">
        <is>
          <t>SKÅNE LÄN</t>
        </is>
      </c>
      <c r="E1487" t="inlineStr">
        <is>
          <t>HÖÖR</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24669-2020</t>
        </is>
      </c>
      <c r="B1488" s="1" t="n">
        <v>43977</v>
      </c>
      <c r="C1488" s="1" t="n">
        <v>45190</v>
      </c>
      <c r="D1488" t="inlineStr">
        <is>
          <t>SKÅNE LÄN</t>
        </is>
      </c>
      <c r="E1488" t="inlineStr">
        <is>
          <t>HÄSSLEHOLM</t>
        </is>
      </c>
      <c r="G1488" t="n">
        <v>5.4</v>
      </c>
      <c r="H1488" t="n">
        <v>0</v>
      </c>
      <c r="I1488" t="n">
        <v>0</v>
      </c>
      <c r="J1488" t="n">
        <v>0</v>
      </c>
      <c r="K1488" t="n">
        <v>0</v>
      </c>
      <c r="L1488" t="n">
        <v>0</v>
      </c>
      <c r="M1488" t="n">
        <v>0</v>
      </c>
      <c r="N1488" t="n">
        <v>0</v>
      </c>
      <c r="O1488" t="n">
        <v>0</v>
      </c>
      <c r="P1488" t="n">
        <v>0</v>
      </c>
      <c r="Q1488" t="n">
        <v>0</v>
      </c>
      <c r="R1488" s="2" t="inlineStr"/>
    </row>
    <row r="1489" ht="15" customHeight="1">
      <c r="A1489" t="inlineStr">
        <is>
          <t>A 24614-2020</t>
        </is>
      </c>
      <c r="B1489" s="1" t="n">
        <v>43977</v>
      </c>
      <c r="C1489" s="1" t="n">
        <v>45190</v>
      </c>
      <c r="D1489" t="inlineStr">
        <is>
          <t>SKÅNE LÄN</t>
        </is>
      </c>
      <c r="E1489" t="inlineStr">
        <is>
          <t>SKURUP</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24659-2020</t>
        </is>
      </c>
      <c r="B1490" s="1" t="n">
        <v>43977</v>
      </c>
      <c r="C1490" s="1" t="n">
        <v>45190</v>
      </c>
      <c r="D1490" t="inlineStr">
        <is>
          <t>SKÅNE LÄN</t>
        </is>
      </c>
      <c r="E1490" t="inlineStr">
        <is>
          <t>KRISTIANSTAD</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24667-2020</t>
        </is>
      </c>
      <c r="B1491" s="1" t="n">
        <v>43977</v>
      </c>
      <c r="C1491" s="1" t="n">
        <v>45190</v>
      </c>
      <c r="D1491" t="inlineStr">
        <is>
          <t>SKÅNE LÄN</t>
        </is>
      </c>
      <c r="E1491" t="inlineStr">
        <is>
          <t>KRISTIANSTAD</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24668-2020</t>
        </is>
      </c>
      <c r="B1492" s="1" t="n">
        <v>43977</v>
      </c>
      <c r="C1492" s="1" t="n">
        <v>45190</v>
      </c>
      <c r="D1492" t="inlineStr">
        <is>
          <t>SKÅNE LÄN</t>
        </is>
      </c>
      <c r="E1492" t="inlineStr">
        <is>
          <t>HÄSSLEHOLM</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25171-2020</t>
        </is>
      </c>
      <c r="B1493" s="1" t="n">
        <v>43978</v>
      </c>
      <c r="C1493" s="1" t="n">
        <v>45190</v>
      </c>
      <c r="D1493" t="inlineStr">
        <is>
          <t>SKÅNE LÄN</t>
        </is>
      </c>
      <c r="E1493" t="inlineStr">
        <is>
          <t>TOMELILLA</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24991-2020</t>
        </is>
      </c>
      <c r="B1494" s="1" t="n">
        <v>43978</v>
      </c>
      <c r="C1494" s="1" t="n">
        <v>45190</v>
      </c>
      <c r="D1494" t="inlineStr">
        <is>
          <t>SKÅNE LÄN</t>
        </is>
      </c>
      <c r="E1494" t="inlineStr">
        <is>
          <t>TOMELILLA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24916-2020</t>
        </is>
      </c>
      <c r="B1495" s="1" t="n">
        <v>43979</v>
      </c>
      <c r="C1495" s="1" t="n">
        <v>45190</v>
      </c>
      <c r="D1495" t="inlineStr">
        <is>
          <t>SKÅNE LÄN</t>
        </is>
      </c>
      <c r="E1495" t="inlineStr">
        <is>
          <t>ÖSTRA GÖINGE</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25292-2020</t>
        </is>
      </c>
      <c r="B1496" s="1" t="n">
        <v>43979</v>
      </c>
      <c r="C1496" s="1" t="n">
        <v>45190</v>
      </c>
      <c r="D1496" t="inlineStr">
        <is>
          <t>SKÅNE LÄN</t>
        </is>
      </c>
      <c r="E1496" t="inlineStr">
        <is>
          <t>ESLÖV</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24928-2020</t>
        </is>
      </c>
      <c r="B1497" s="1" t="n">
        <v>43979</v>
      </c>
      <c r="C1497" s="1" t="n">
        <v>45190</v>
      </c>
      <c r="D1497" t="inlineStr">
        <is>
          <t>SKÅNE LÄN</t>
        </is>
      </c>
      <c r="E1497" t="inlineStr">
        <is>
          <t>OSBY</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25301-2020</t>
        </is>
      </c>
      <c r="B1498" s="1" t="n">
        <v>43979</v>
      </c>
      <c r="C1498" s="1" t="n">
        <v>45190</v>
      </c>
      <c r="D1498" t="inlineStr">
        <is>
          <t>SKÅNE LÄN</t>
        </is>
      </c>
      <c r="E1498" t="inlineStr">
        <is>
          <t>SVALÖV</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25071-2020</t>
        </is>
      </c>
      <c r="B1499" s="1" t="n">
        <v>43979</v>
      </c>
      <c r="C1499" s="1" t="n">
        <v>45190</v>
      </c>
      <c r="D1499" t="inlineStr">
        <is>
          <t>SKÅNE LÄN</t>
        </is>
      </c>
      <c r="E1499" t="inlineStr">
        <is>
          <t>HÄSSLEHOLM</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25362-2020</t>
        </is>
      </c>
      <c r="B1500" s="1" t="n">
        <v>43980</v>
      </c>
      <c r="C1500" s="1" t="n">
        <v>45190</v>
      </c>
      <c r="D1500" t="inlineStr">
        <is>
          <t>SKÅNE LÄN</t>
        </is>
      </c>
      <c r="E1500" t="inlineStr">
        <is>
          <t>TRELLEBORG</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25227-2020</t>
        </is>
      </c>
      <c r="B1501" s="1" t="n">
        <v>43980</v>
      </c>
      <c r="C1501" s="1" t="n">
        <v>45190</v>
      </c>
      <c r="D1501" t="inlineStr">
        <is>
          <t>SKÅNE LÄN</t>
        </is>
      </c>
      <c r="E1501" t="inlineStr">
        <is>
          <t>KRISTIANSTAD</t>
        </is>
      </c>
      <c r="F1501" t="inlineStr">
        <is>
          <t>Övriga Aktiebolag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25633-2020</t>
        </is>
      </c>
      <c r="B1502" s="1" t="n">
        <v>43983</v>
      </c>
      <c r="C1502" s="1" t="n">
        <v>45190</v>
      </c>
      <c r="D1502" t="inlineStr">
        <is>
          <t>SKÅNE LÄN</t>
        </is>
      </c>
      <c r="E1502" t="inlineStr">
        <is>
          <t>PERSTORP</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25519-2020</t>
        </is>
      </c>
      <c r="B1503" s="1" t="n">
        <v>43983</v>
      </c>
      <c r="C1503" s="1" t="n">
        <v>45190</v>
      </c>
      <c r="D1503" t="inlineStr">
        <is>
          <t>SKÅNE LÄN</t>
        </is>
      </c>
      <c r="E1503" t="inlineStr">
        <is>
          <t>HÄSSLEHOLM</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25599-2020</t>
        </is>
      </c>
      <c r="B1504" s="1" t="n">
        <v>43983</v>
      </c>
      <c r="C1504" s="1" t="n">
        <v>45190</v>
      </c>
      <c r="D1504" t="inlineStr">
        <is>
          <t>SKÅNE LÄN</t>
        </is>
      </c>
      <c r="E1504" t="inlineStr">
        <is>
          <t>KLIPPAN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25794-2020</t>
        </is>
      </c>
      <c r="B1505" s="1" t="n">
        <v>43984</v>
      </c>
      <c r="C1505" s="1" t="n">
        <v>45190</v>
      </c>
      <c r="D1505" t="inlineStr">
        <is>
          <t>SKÅNE LÄN</t>
        </is>
      </c>
      <c r="E1505" t="inlineStr">
        <is>
          <t>ÖSTRA GÖINGE</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25723-2020</t>
        </is>
      </c>
      <c r="B1506" s="1" t="n">
        <v>43984</v>
      </c>
      <c r="C1506" s="1" t="n">
        <v>45190</v>
      </c>
      <c r="D1506" t="inlineStr">
        <is>
          <t>SKÅNE LÄN</t>
        </is>
      </c>
      <c r="E1506" t="inlineStr">
        <is>
          <t>ÄNGELHOLM</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25692-2020</t>
        </is>
      </c>
      <c r="B1507" s="1" t="n">
        <v>43984</v>
      </c>
      <c r="C1507" s="1" t="n">
        <v>45190</v>
      </c>
      <c r="D1507" t="inlineStr">
        <is>
          <t>SKÅNE LÄN</t>
        </is>
      </c>
      <c r="E1507" t="inlineStr">
        <is>
          <t>BROMÖLLA</t>
        </is>
      </c>
      <c r="G1507" t="n">
        <v>4.3</v>
      </c>
      <c r="H1507" t="n">
        <v>0</v>
      </c>
      <c r="I1507" t="n">
        <v>0</v>
      </c>
      <c r="J1507" t="n">
        <v>0</v>
      </c>
      <c r="K1507" t="n">
        <v>0</v>
      </c>
      <c r="L1507" t="n">
        <v>0</v>
      </c>
      <c r="M1507" t="n">
        <v>0</v>
      </c>
      <c r="N1507" t="n">
        <v>0</v>
      </c>
      <c r="O1507" t="n">
        <v>0</v>
      </c>
      <c r="P1507" t="n">
        <v>0</v>
      </c>
      <c r="Q1507" t="n">
        <v>0</v>
      </c>
      <c r="R1507" s="2" t="inlineStr"/>
    </row>
    <row r="1508" ht="15" customHeight="1">
      <c r="A1508" t="inlineStr">
        <is>
          <t>A 25893-2020</t>
        </is>
      </c>
      <c r="B1508" s="1" t="n">
        <v>43984</v>
      </c>
      <c r="C1508" s="1" t="n">
        <v>45190</v>
      </c>
      <c r="D1508" t="inlineStr">
        <is>
          <t>SKÅNE LÄN</t>
        </is>
      </c>
      <c r="E1508" t="inlineStr">
        <is>
          <t>KRISTIANSTAD</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25808-2020</t>
        </is>
      </c>
      <c r="B1509" s="1" t="n">
        <v>43984</v>
      </c>
      <c r="C1509" s="1" t="n">
        <v>45190</v>
      </c>
      <c r="D1509" t="inlineStr">
        <is>
          <t>SKÅNE LÄN</t>
        </is>
      </c>
      <c r="E1509" t="inlineStr">
        <is>
          <t>ÖSTRA GÖINGE</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25849-2020</t>
        </is>
      </c>
      <c r="B1510" s="1" t="n">
        <v>43984</v>
      </c>
      <c r="C1510" s="1" t="n">
        <v>45190</v>
      </c>
      <c r="D1510" t="inlineStr">
        <is>
          <t>SKÅNE LÄN</t>
        </is>
      </c>
      <c r="E1510" t="inlineStr">
        <is>
          <t>OSBY</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25983-2020</t>
        </is>
      </c>
      <c r="B1511" s="1" t="n">
        <v>43985</v>
      </c>
      <c r="C1511" s="1" t="n">
        <v>45190</v>
      </c>
      <c r="D1511" t="inlineStr">
        <is>
          <t>SKÅNE LÄN</t>
        </is>
      </c>
      <c r="E1511" t="inlineStr">
        <is>
          <t>OSBY</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26112-2020</t>
        </is>
      </c>
      <c r="B1512" s="1" t="n">
        <v>43985</v>
      </c>
      <c r="C1512" s="1" t="n">
        <v>45190</v>
      </c>
      <c r="D1512" t="inlineStr">
        <is>
          <t>SKÅNE LÄN</t>
        </is>
      </c>
      <c r="E1512" t="inlineStr">
        <is>
          <t>ÖSTRA GÖINGE</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26020-2020</t>
        </is>
      </c>
      <c r="B1513" s="1" t="n">
        <v>43985</v>
      </c>
      <c r="C1513" s="1" t="n">
        <v>45190</v>
      </c>
      <c r="D1513" t="inlineStr">
        <is>
          <t>SKÅNE LÄN</t>
        </is>
      </c>
      <c r="E1513" t="inlineStr">
        <is>
          <t>HÄSSLEHOLM</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26147-2020</t>
        </is>
      </c>
      <c r="B1514" s="1" t="n">
        <v>43985</v>
      </c>
      <c r="C1514" s="1" t="n">
        <v>45190</v>
      </c>
      <c r="D1514" t="inlineStr">
        <is>
          <t>SKÅNE LÄN</t>
        </is>
      </c>
      <c r="E1514" t="inlineStr">
        <is>
          <t>HÄSSLEHOLM</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26160-2020</t>
        </is>
      </c>
      <c r="B1515" s="1" t="n">
        <v>43985</v>
      </c>
      <c r="C1515" s="1" t="n">
        <v>45190</v>
      </c>
      <c r="D1515" t="inlineStr">
        <is>
          <t>SKÅNE LÄN</t>
        </is>
      </c>
      <c r="E1515" t="inlineStr">
        <is>
          <t>KLIPPAN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26267-2020</t>
        </is>
      </c>
      <c r="B1516" s="1" t="n">
        <v>43986</v>
      </c>
      <c r="C1516" s="1" t="n">
        <v>45190</v>
      </c>
      <c r="D1516" t="inlineStr">
        <is>
          <t>SKÅNE LÄN</t>
        </is>
      </c>
      <c r="E1516" t="inlineStr">
        <is>
          <t>SKURUP</t>
        </is>
      </c>
      <c r="G1516" t="n">
        <v>4</v>
      </c>
      <c r="H1516" t="n">
        <v>0</v>
      </c>
      <c r="I1516" t="n">
        <v>0</v>
      </c>
      <c r="J1516" t="n">
        <v>0</v>
      </c>
      <c r="K1516" t="n">
        <v>0</v>
      </c>
      <c r="L1516" t="n">
        <v>0</v>
      </c>
      <c r="M1516" t="n">
        <v>0</v>
      </c>
      <c r="N1516" t="n">
        <v>0</v>
      </c>
      <c r="O1516" t="n">
        <v>0</v>
      </c>
      <c r="P1516" t="n">
        <v>0</v>
      </c>
      <c r="Q1516" t="n">
        <v>0</v>
      </c>
      <c r="R1516" s="2" t="inlineStr"/>
    </row>
    <row r="1517" ht="15" customHeight="1">
      <c r="A1517" t="inlineStr">
        <is>
          <t>A 26335-2020</t>
        </is>
      </c>
      <c r="B1517" s="1" t="n">
        <v>43986</v>
      </c>
      <c r="C1517" s="1" t="n">
        <v>45190</v>
      </c>
      <c r="D1517" t="inlineStr">
        <is>
          <t>SKÅNE LÄN</t>
        </is>
      </c>
      <c r="E1517" t="inlineStr">
        <is>
          <t>OSBY</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26338-2020</t>
        </is>
      </c>
      <c r="B1518" s="1" t="n">
        <v>43986</v>
      </c>
      <c r="C1518" s="1" t="n">
        <v>45190</v>
      </c>
      <c r="D1518" t="inlineStr">
        <is>
          <t>SKÅNE LÄN</t>
        </is>
      </c>
      <c r="E1518" t="inlineStr">
        <is>
          <t>OSBY</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26363-2020</t>
        </is>
      </c>
      <c r="B1519" s="1" t="n">
        <v>43986</v>
      </c>
      <c r="C1519" s="1" t="n">
        <v>45190</v>
      </c>
      <c r="D1519" t="inlineStr">
        <is>
          <t>SKÅNE LÄN</t>
        </is>
      </c>
      <c r="E1519" t="inlineStr">
        <is>
          <t>KLIPPAN</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26598-2020</t>
        </is>
      </c>
      <c r="B1520" s="1" t="n">
        <v>43987</v>
      </c>
      <c r="C1520" s="1" t="n">
        <v>45190</v>
      </c>
      <c r="D1520" t="inlineStr">
        <is>
          <t>SKÅNE LÄN</t>
        </is>
      </c>
      <c r="E1520" t="inlineStr">
        <is>
          <t>ÖSTRA GÖINGE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26451-2020</t>
        </is>
      </c>
      <c r="B1521" s="1" t="n">
        <v>43987</v>
      </c>
      <c r="C1521" s="1" t="n">
        <v>45190</v>
      </c>
      <c r="D1521" t="inlineStr">
        <is>
          <t>SKÅNE LÄN</t>
        </is>
      </c>
      <c r="E1521" t="inlineStr">
        <is>
          <t>HÄSSLEHOLM</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26524-2020</t>
        </is>
      </c>
      <c r="B1522" s="1" t="n">
        <v>43987</v>
      </c>
      <c r="C1522" s="1" t="n">
        <v>45190</v>
      </c>
      <c r="D1522" t="inlineStr">
        <is>
          <t>SKÅNE LÄN</t>
        </is>
      </c>
      <c r="E1522" t="inlineStr">
        <is>
          <t>ÖSTRA GÖINGE</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26679-2020</t>
        </is>
      </c>
      <c r="B1523" s="1" t="n">
        <v>43989</v>
      </c>
      <c r="C1523" s="1" t="n">
        <v>45190</v>
      </c>
      <c r="D1523" t="inlineStr">
        <is>
          <t>SKÅNE LÄN</t>
        </is>
      </c>
      <c r="E1523" t="inlineStr">
        <is>
          <t>KLIPPAN</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26884-2020</t>
        </is>
      </c>
      <c r="B1524" s="1" t="n">
        <v>43990</v>
      </c>
      <c r="C1524" s="1" t="n">
        <v>45190</v>
      </c>
      <c r="D1524" t="inlineStr">
        <is>
          <t>SKÅNE LÄN</t>
        </is>
      </c>
      <c r="E1524" t="inlineStr">
        <is>
          <t>PERSTORP</t>
        </is>
      </c>
      <c r="F1524" t="inlineStr">
        <is>
          <t>Övriga Aktiebolag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26936-2020</t>
        </is>
      </c>
      <c r="B1525" s="1" t="n">
        <v>43990</v>
      </c>
      <c r="C1525" s="1" t="n">
        <v>45190</v>
      </c>
      <c r="D1525" t="inlineStr">
        <is>
          <t>SKÅNE LÄN</t>
        </is>
      </c>
      <c r="E1525" t="inlineStr">
        <is>
          <t>ÖSTRA GÖINGE</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26991-2020</t>
        </is>
      </c>
      <c r="B1526" s="1" t="n">
        <v>43991</v>
      </c>
      <c r="C1526" s="1" t="n">
        <v>45190</v>
      </c>
      <c r="D1526" t="inlineStr">
        <is>
          <t>SKÅNE LÄN</t>
        </is>
      </c>
      <c r="E1526" t="inlineStr">
        <is>
          <t>KRISTIANSTAD</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27243-2020</t>
        </is>
      </c>
      <c r="B1527" s="1" t="n">
        <v>43992</v>
      </c>
      <c r="C1527" s="1" t="n">
        <v>45190</v>
      </c>
      <c r="D1527" t="inlineStr">
        <is>
          <t>SKÅNE LÄN</t>
        </is>
      </c>
      <c r="E1527" t="inlineStr">
        <is>
          <t>HÄSSLEHOLM</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27453-2020</t>
        </is>
      </c>
      <c r="B1528" s="1" t="n">
        <v>43993</v>
      </c>
      <c r="C1528" s="1" t="n">
        <v>45190</v>
      </c>
      <c r="D1528" t="inlineStr">
        <is>
          <t>SKÅNE LÄN</t>
        </is>
      </c>
      <c r="E1528" t="inlineStr">
        <is>
          <t>HÖÖR</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27935-2020</t>
        </is>
      </c>
      <c r="B1529" s="1" t="n">
        <v>43993</v>
      </c>
      <c r="C1529" s="1" t="n">
        <v>45190</v>
      </c>
      <c r="D1529" t="inlineStr">
        <is>
          <t>SKÅNE LÄN</t>
        </is>
      </c>
      <c r="E1529" t="inlineStr">
        <is>
          <t>HÄSSLEHOLM</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28022-2020</t>
        </is>
      </c>
      <c r="B1530" s="1" t="n">
        <v>43994</v>
      </c>
      <c r="C1530" s="1" t="n">
        <v>45190</v>
      </c>
      <c r="D1530" t="inlineStr">
        <is>
          <t>SKÅNE LÄN</t>
        </is>
      </c>
      <c r="E1530" t="inlineStr">
        <is>
          <t>SVALÖV</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28113-2020</t>
        </is>
      </c>
      <c r="B1531" s="1" t="n">
        <v>43994</v>
      </c>
      <c r="C1531" s="1" t="n">
        <v>45190</v>
      </c>
      <c r="D1531" t="inlineStr">
        <is>
          <t>SKÅNE LÄN</t>
        </is>
      </c>
      <c r="E1531" t="inlineStr">
        <is>
          <t>KLIPPAN</t>
        </is>
      </c>
      <c r="F1531" t="inlineStr">
        <is>
          <t>Övriga Aktiebolag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28126-2020</t>
        </is>
      </c>
      <c r="B1532" s="1" t="n">
        <v>43994</v>
      </c>
      <c r="C1532" s="1" t="n">
        <v>45190</v>
      </c>
      <c r="D1532" t="inlineStr">
        <is>
          <t>SKÅNE LÄN</t>
        </is>
      </c>
      <c r="E1532" t="inlineStr">
        <is>
          <t>KLIPPAN</t>
        </is>
      </c>
      <c r="F1532" t="inlineStr">
        <is>
          <t>Övriga Aktiebolag</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27892-2020</t>
        </is>
      </c>
      <c r="B1533" s="1" t="n">
        <v>43996</v>
      </c>
      <c r="C1533" s="1" t="n">
        <v>45190</v>
      </c>
      <c r="D1533" t="inlineStr">
        <is>
          <t>SKÅNE LÄN</t>
        </is>
      </c>
      <c r="E1533" t="inlineStr">
        <is>
          <t>ÖSTRA GÖINGE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28063-2020</t>
        </is>
      </c>
      <c r="B1534" s="1" t="n">
        <v>43997</v>
      </c>
      <c r="C1534" s="1" t="n">
        <v>45190</v>
      </c>
      <c r="D1534" t="inlineStr">
        <is>
          <t>SKÅNE LÄN</t>
        </is>
      </c>
      <c r="E1534" t="inlineStr">
        <is>
          <t>ÖRKELLJUNGA</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28068-2020</t>
        </is>
      </c>
      <c r="B1535" s="1" t="n">
        <v>43997</v>
      </c>
      <c r="C1535" s="1" t="n">
        <v>45190</v>
      </c>
      <c r="D1535" t="inlineStr">
        <is>
          <t>SKÅNE LÄN</t>
        </is>
      </c>
      <c r="E1535" t="inlineStr">
        <is>
          <t>ÖRKELLJUNGA</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28003-2020</t>
        </is>
      </c>
      <c r="B1536" s="1" t="n">
        <v>43997</v>
      </c>
      <c r="C1536" s="1" t="n">
        <v>45190</v>
      </c>
      <c r="D1536" t="inlineStr">
        <is>
          <t>SKÅNE LÄN</t>
        </is>
      </c>
      <c r="E1536" t="inlineStr">
        <is>
          <t>KRISTIANSTAD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28023-2020</t>
        </is>
      </c>
      <c r="B1537" s="1" t="n">
        <v>43997</v>
      </c>
      <c r="C1537" s="1" t="n">
        <v>45190</v>
      </c>
      <c r="D1537" t="inlineStr">
        <is>
          <t>SKÅNE LÄN</t>
        </is>
      </c>
      <c r="E1537" t="inlineStr">
        <is>
          <t>HÄSSLEHOLM</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28567-2020</t>
        </is>
      </c>
      <c r="B1538" s="1" t="n">
        <v>43998</v>
      </c>
      <c r="C1538" s="1" t="n">
        <v>45190</v>
      </c>
      <c r="D1538" t="inlineStr">
        <is>
          <t>SKÅNE LÄN</t>
        </is>
      </c>
      <c r="E1538" t="inlineStr">
        <is>
          <t>ÖRKELLJUNGA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28530-2020</t>
        </is>
      </c>
      <c r="B1539" s="1" t="n">
        <v>43998</v>
      </c>
      <c r="C1539" s="1" t="n">
        <v>45190</v>
      </c>
      <c r="D1539" t="inlineStr">
        <is>
          <t>SKÅNE LÄN</t>
        </is>
      </c>
      <c r="E1539" t="inlineStr">
        <is>
          <t>ESLÖV</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28338-2020</t>
        </is>
      </c>
      <c r="B1540" s="1" t="n">
        <v>43998</v>
      </c>
      <c r="C1540" s="1" t="n">
        <v>45190</v>
      </c>
      <c r="D1540" t="inlineStr">
        <is>
          <t>SKÅNE LÄN</t>
        </is>
      </c>
      <c r="E1540" t="inlineStr">
        <is>
          <t>TOMELILLA</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28339-2020</t>
        </is>
      </c>
      <c r="B1541" s="1" t="n">
        <v>43998</v>
      </c>
      <c r="C1541" s="1" t="n">
        <v>45190</v>
      </c>
      <c r="D1541" t="inlineStr">
        <is>
          <t>SKÅNE LÄN</t>
        </is>
      </c>
      <c r="E1541" t="inlineStr">
        <is>
          <t>ESLÖV</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28884-2020</t>
        </is>
      </c>
      <c r="B1542" s="1" t="n">
        <v>43999</v>
      </c>
      <c r="C1542" s="1" t="n">
        <v>45190</v>
      </c>
      <c r="D1542" t="inlineStr">
        <is>
          <t>SKÅNE LÄN</t>
        </is>
      </c>
      <c r="E1542" t="inlineStr">
        <is>
          <t>HÄSSLEHOLM</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29016-2020</t>
        </is>
      </c>
      <c r="B1543" s="1" t="n">
        <v>43999</v>
      </c>
      <c r="C1543" s="1" t="n">
        <v>45190</v>
      </c>
      <c r="D1543" t="inlineStr">
        <is>
          <t>SKÅNE LÄN</t>
        </is>
      </c>
      <c r="E1543" t="inlineStr">
        <is>
          <t>HÄSSLEHOLM</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28739-2020</t>
        </is>
      </c>
      <c r="B1544" s="1" t="n">
        <v>43999</v>
      </c>
      <c r="C1544" s="1" t="n">
        <v>45190</v>
      </c>
      <c r="D1544" t="inlineStr">
        <is>
          <t>SKÅNE LÄN</t>
        </is>
      </c>
      <c r="E1544" t="inlineStr">
        <is>
          <t>OSBY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28863-2020</t>
        </is>
      </c>
      <c r="B1545" s="1" t="n">
        <v>43999</v>
      </c>
      <c r="C1545" s="1" t="n">
        <v>45190</v>
      </c>
      <c r="D1545" t="inlineStr">
        <is>
          <t>SKÅNE LÄN</t>
        </is>
      </c>
      <c r="E1545" t="inlineStr">
        <is>
          <t>HÄSSLEHOLM</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29377-2020</t>
        </is>
      </c>
      <c r="B1546" s="1" t="n">
        <v>44000</v>
      </c>
      <c r="C1546" s="1" t="n">
        <v>45190</v>
      </c>
      <c r="D1546" t="inlineStr">
        <is>
          <t>SKÅNE LÄN</t>
        </is>
      </c>
      <c r="E1546" t="inlineStr">
        <is>
          <t>YSTAD</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29399-2020</t>
        </is>
      </c>
      <c r="B1547" s="1" t="n">
        <v>44000</v>
      </c>
      <c r="C1547" s="1" t="n">
        <v>45190</v>
      </c>
      <c r="D1547" t="inlineStr">
        <is>
          <t>SKÅNE LÄN</t>
        </is>
      </c>
      <c r="E1547" t="inlineStr">
        <is>
          <t>ESLÖV</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29391-2020</t>
        </is>
      </c>
      <c r="B1548" s="1" t="n">
        <v>44000</v>
      </c>
      <c r="C1548" s="1" t="n">
        <v>45190</v>
      </c>
      <c r="D1548" t="inlineStr">
        <is>
          <t>SKÅNE LÄN</t>
        </is>
      </c>
      <c r="E1548" t="inlineStr">
        <is>
          <t>YSTAD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29395-2020</t>
        </is>
      </c>
      <c r="B1549" s="1" t="n">
        <v>44000</v>
      </c>
      <c r="C1549" s="1" t="n">
        <v>45190</v>
      </c>
      <c r="D1549" t="inlineStr">
        <is>
          <t>SKÅNE LÄN</t>
        </is>
      </c>
      <c r="E1549" t="inlineStr">
        <is>
          <t>YSTAD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29106-2020</t>
        </is>
      </c>
      <c r="B1550" s="1" t="n">
        <v>44003</v>
      </c>
      <c r="C1550" s="1" t="n">
        <v>45190</v>
      </c>
      <c r="D1550" t="inlineStr">
        <is>
          <t>SKÅNE LÄN</t>
        </is>
      </c>
      <c r="E1550" t="inlineStr">
        <is>
          <t>ÖSTRA GÖINGE</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29462-2020</t>
        </is>
      </c>
      <c r="B1551" s="1" t="n">
        <v>44004</v>
      </c>
      <c r="C1551" s="1" t="n">
        <v>45190</v>
      </c>
      <c r="D1551" t="inlineStr">
        <is>
          <t>SKÅNE LÄN</t>
        </is>
      </c>
      <c r="E1551" t="inlineStr">
        <is>
          <t>KRISTIANSTAD</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29230-2020</t>
        </is>
      </c>
      <c r="B1552" s="1" t="n">
        <v>44004</v>
      </c>
      <c r="C1552" s="1" t="n">
        <v>45190</v>
      </c>
      <c r="D1552" t="inlineStr">
        <is>
          <t>SKÅNE LÄN</t>
        </is>
      </c>
      <c r="E1552" t="inlineStr">
        <is>
          <t>HÄSSLEHOLM</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29818-2020</t>
        </is>
      </c>
      <c r="B1553" s="1" t="n">
        <v>44005</v>
      </c>
      <c r="C1553" s="1" t="n">
        <v>45190</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29572-2020</t>
        </is>
      </c>
      <c r="B1554" s="1" t="n">
        <v>44005</v>
      </c>
      <c r="C1554" s="1" t="n">
        <v>45190</v>
      </c>
      <c r="D1554" t="inlineStr">
        <is>
          <t>SKÅNE LÄN</t>
        </is>
      </c>
      <c r="E1554" t="inlineStr">
        <is>
          <t>ÖRKELLJUNGA</t>
        </is>
      </c>
      <c r="G1554" t="n">
        <v>5</v>
      </c>
      <c r="H1554" t="n">
        <v>0</v>
      </c>
      <c r="I1554" t="n">
        <v>0</v>
      </c>
      <c r="J1554" t="n">
        <v>0</v>
      </c>
      <c r="K1554" t="n">
        <v>0</v>
      </c>
      <c r="L1554" t="n">
        <v>0</v>
      </c>
      <c r="M1554" t="n">
        <v>0</v>
      </c>
      <c r="N1554" t="n">
        <v>0</v>
      </c>
      <c r="O1554" t="n">
        <v>0</v>
      </c>
      <c r="P1554" t="n">
        <v>0</v>
      </c>
      <c r="Q1554" t="n">
        <v>0</v>
      </c>
      <c r="R1554" s="2" t="inlineStr"/>
    </row>
    <row r="1555" ht="15" customHeight="1">
      <c r="A1555" t="inlineStr">
        <is>
          <t>A 29719-2020</t>
        </is>
      </c>
      <c r="B1555" s="1" t="n">
        <v>44005</v>
      </c>
      <c r="C1555" s="1" t="n">
        <v>45190</v>
      </c>
      <c r="D1555" t="inlineStr">
        <is>
          <t>SKÅNE LÄN</t>
        </is>
      </c>
      <c r="E1555" t="inlineStr">
        <is>
          <t>HÄSSLEHOLM</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29822-2020</t>
        </is>
      </c>
      <c r="B1556" s="1" t="n">
        <v>44005</v>
      </c>
      <c r="C1556" s="1" t="n">
        <v>45190</v>
      </c>
      <c r="D1556" t="inlineStr">
        <is>
          <t>SKÅNE LÄN</t>
        </is>
      </c>
      <c r="E1556" t="inlineStr">
        <is>
          <t>OSBY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30011-2020</t>
        </is>
      </c>
      <c r="B1557" s="1" t="n">
        <v>44006</v>
      </c>
      <c r="C1557" s="1" t="n">
        <v>45190</v>
      </c>
      <c r="D1557" t="inlineStr">
        <is>
          <t>SKÅNE LÄN</t>
        </is>
      </c>
      <c r="E1557" t="inlineStr">
        <is>
          <t>HÖRBY</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30515-2020</t>
        </is>
      </c>
      <c r="B1558" s="1" t="n">
        <v>44008</v>
      </c>
      <c r="C1558" s="1" t="n">
        <v>45190</v>
      </c>
      <c r="D1558" t="inlineStr">
        <is>
          <t>SKÅNE LÄN</t>
        </is>
      </c>
      <c r="E1558" t="inlineStr">
        <is>
          <t>TOMELILLA</t>
        </is>
      </c>
      <c r="F1558" t="inlineStr">
        <is>
          <t>Övriga Aktiebolag</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30719-2020</t>
        </is>
      </c>
      <c r="B1559" s="1" t="n">
        <v>44008</v>
      </c>
      <c r="C1559" s="1" t="n">
        <v>45190</v>
      </c>
      <c r="D1559" t="inlineStr">
        <is>
          <t>SKÅNE LÄN</t>
        </is>
      </c>
      <c r="E1559" t="inlineStr">
        <is>
          <t>HÄSSLEHOLM</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31165-2020</t>
        </is>
      </c>
      <c r="B1560" s="1" t="n">
        <v>44011</v>
      </c>
      <c r="C1560" s="1" t="n">
        <v>45190</v>
      </c>
      <c r="D1560" t="inlineStr">
        <is>
          <t>SKÅNE LÄN</t>
        </is>
      </c>
      <c r="E1560" t="inlineStr">
        <is>
          <t>TOMELILLA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30816-2020</t>
        </is>
      </c>
      <c r="B1561" s="1" t="n">
        <v>44011</v>
      </c>
      <c r="C1561" s="1" t="n">
        <v>45190</v>
      </c>
      <c r="D1561" t="inlineStr">
        <is>
          <t>SKÅNE LÄN</t>
        </is>
      </c>
      <c r="E1561" t="inlineStr">
        <is>
          <t>HÄSSLEHOLM</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31172-2020</t>
        </is>
      </c>
      <c r="B1562" s="1" t="n">
        <v>44011</v>
      </c>
      <c r="C1562" s="1" t="n">
        <v>45190</v>
      </c>
      <c r="D1562" t="inlineStr">
        <is>
          <t>SKÅNE LÄN</t>
        </is>
      </c>
      <c r="E1562" t="inlineStr">
        <is>
          <t>TOMELILLA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31069-2020</t>
        </is>
      </c>
      <c r="B1563" s="1" t="n">
        <v>44012</v>
      </c>
      <c r="C1563" s="1" t="n">
        <v>45190</v>
      </c>
      <c r="D1563" t="inlineStr">
        <is>
          <t>SKÅNE LÄN</t>
        </is>
      </c>
      <c r="E1563" t="inlineStr">
        <is>
          <t>HÄSSLEHOLM</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31617-2020</t>
        </is>
      </c>
      <c r="B1564" s="1" t="n">
        <v>44013</v>
      </c>
      <c r="C1564" s="1" t="n">
        <v>45190</v>
      </c>
      <c r="D1564" t="inlineStr">
        <is>
          <t>SKÅNE LÄN</t>
        </is>
      </c>
      <c r="E1564" t="inlineStr">
        <is>
          <t>HÄSSLEHOLM</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31686-2020</t>
        </is>
      </c>
      <c r="B1565" s="1" t="n">
        <v>44013</v>
      </c>
      <c r="C1565" s="1" t="n">
        <v>45190</v>
      </c>
      <c r="D1565" t="inlineStr">
        <is>
          <t>SKÅNE LÄN</t>
        </is>
      </c>
      <c r="E1565" t="inlineStr">
        <is>
          <t>SVALÖV</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31625-2020</t>
        </is>
      </c>
      <c r="B1566" s="1" t="n">
        <v>44013</v>
      </c>
      <c r="C1566" s="1" t="n">
        <v>45190</v>
      </c>
      <c r="D1566" t="inlineStr">
        <is>
          <t>SKÅNE LÄN</t>
        </is>
      </c>
      <c r="E1566" t="inlineStr">
        <is>
          <t>HÄSSLEHOLM</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31691-2020</t>
        </is>
      </c>
      <c r="B1567" s="1" t="n">
        <v>44013</v>
      </c>
      <c r="C1567" s="1" t="n">
        <v>45190</v>
      </c>
      <c r="D1567" t="inlineStr">
        <is>
          <t>SKÅNE LÄN</t>
        </is>
      </c>
      <c r="E1567" t="inlineStr">
        <is>
          <t>ESLÖV</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31451-2020</t>
        </is>
      </c>
      <c r="B1568" s="1" t="n">
        <v>44013</v>
      </c>
      <c r="C1568" s="1" t="n">
        <v>45190</v>
      </c>
      <c r="D1568" t="inlineStr">
        <is>
          <t>SKÅNE LÄN</t>
        </is>
      </c>
      <c r="E1568" t="inlineStr">
        <is>
          <t>KLIPPAN</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31542-2020</t>
        </is>
      </c>
      <c r="B1569" s="1" t="n">
        <v>44013</v>
      </c>
      <c r="C1569" s="1" t="n">
        <v>45190</v>
      </c>
      <c r="D1569" t="inlineStr">
        <is>
          <t>SKÅNE LÄN</t>
        </is>
      </c>
      <c r="E1569" t="inlineStr">
        <is>
          <t>PERSTORP</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31787-2020</t>
        </is>
      </c>
      <c r="B1570" s="1" t="n">
        <v>44014</v>
      </c>
      <c r="C1570" s="1" t="n">
        <v>45190</v>
      </c>
      <c r="D1570" t="inlineStr">
        <is>
          <t>SKÅNE LÄN</t>
        </is>
      </c>
      <c r="E1570" t="inlineStr">
        <is>
          <t>OSBY</t>
        </is>
      </c>
      <c r="G1570" t="n">
        <v>13.3</v>
      </c>
      <c r="H1570" t="n">
        <v>0</v>
      </c>
      <c r="I1570" t="n">
        <v>0</v>
      </c>
      <c r="J1570" t="n">
        <v>0</v>
      </c>
      <c r="K1570" t="n">
        <v>0</v>
      </c>
      <c r="L1570" t="n">
        <v>0</v>
      </c>
      <c r="M1570" t="n">
        <v>0</v>
      </c>
      <c r="N1570" t="n">
        <v>0</v>
      </c>
      <c r="O1570" t="n">
        <v>0</v>
      </c>
      <c r="P1570" t="n">
        <v>0</v>
      </c>
      <c r="Q1570" t="n">
        <v>0</v>
      </c>
      <c r="R1570" s="2" t="inlineStr"/>
    </row>
    <row r="1571" ht="15" customHeight="1">
      <c r="A1571" t="inlineStr">
        <is>
          <t>A 31774-2020</t>
        </is>
      </c>
      <c r="B1571" s="1" t="n">
        <v>44014</v>
      </c>
      <c r="C1571" s="1" t="n">
        <v>45190</v>
      </c>
      <c r="D1571" t="inlineStr">
        <is>
          <t>SKÅNE LÄN</t>
        </is>
      </c>
      <c r="E1571" t="inlineStr">
        <is>
          <t>OSBY</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31961-2020</t>
        </is>
      </c>
      <c r="B1572" s="1" t="n">
        <v>44014</v>
      </c>
      <c r="C1572" s="1" t="n">
        <v>45190</v>
      </c>
      <c r="D1572" t="inlineStr">
        <is>
          <t>SKÅNE LÄN</t>
        </is>
      </c>
      <c r="E1572" t="inlineStr">
        <is>
          <t>OSBY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32281-2020</t>
        </is>
      </c>
      <c r="B1573" s="1" t="n">
        <v>44015</v>
      </c>
      <c r="C1573" s="1" t="n">
        <v>45190</v>
      </c>
      <c r="D1573" t="inlineStr">
        <is>
          <t>SKÅNE LÄN</t>
        </is>
      </c>
      <c r="E1573" t="inlineStr">
        <is>
          <t>OSBY</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32081-2020</t>
        </is>
      </c>
      <c r="B1574" s="1" t="n">
        <v>44015</v>
      </c>
      <c r="C1574" s="1" t="n">
        <v>45190</v>
      </c>
      <c r="D1574" t="inlineStr">
        <is>
          <t>SKÅNE LÄN</t>
        </is>
      </c>
      <c r="E1574" t="inlineStr">
        <is>
          <t>BROMÖLLA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32460-2020</t>
        </is>
      </c>
      <c r="B1575" s="1" t="n">
        <v>44018</v>
      </c>
      <c r="C1575" s="1" t="n">
        <v>45190</v>
      </c>
      <c r="D1575" t="inlineStr">
        <is>
          <t>SKÅNE LÄN</t>
        </is>
      </c>
      <c r="E1575" t="inlineStr">
        <is>
          <t>ÖSTRA GÖINGE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32517-2020</t>
        </is>
      </c>
      <c r="B1576" s="1" t="n">
        <v>44018</v>
      </c>
      <c r="C1576" s="1" t="n">
        <v>45190</v>
      </c>
      <c r="D1576" t="inlineStr">
        <is>
          <t>SKÅNE LÄN</t>
        </is>
      </c>
      <c r="E1576" t="inlineStr">
        <is>
          <t>KRISTIANSTAD</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32499-2020</t>
        </is>
      </c>
      <c r="B1577" s="1" t="n">
        <v>44018</v>
      </c>
      <c r="C1577" s="1" t="n">
        <v>45190</v>
      </c>
      <c r="D1577" t="inlineStr">
        <is>
          <t>SKÅNE LÄN</t>
        </is>
      </c>
      <c r="E1577" t="inlineStr">
        <is>
          <t>HÖRBY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32687-2020</t>
        </is>
      </c>
      <c r="B1578" s="1" t="n">
        <v>44019</v>
      </c>
      <c r="C1578" s="1" t="n">
        <v>45190</v>
      </c>
      <c r="D1578" t="inlineStr">
        <is>
          <t>SKÅNE LÄN</t>
        </is>
      </c>
      <c r="E1578" t="inlineStr">
        <is>
          <t>OSBY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32616-2020</t>
        </is>
      </c>
      <c r="B1579" s="1" t="n">
        <v>44019</v>
      </c>
      <c r="C1579" s="1" t="n">
        <v>45190</v>
      </c>
      <c r="D1579" t="inlineStr">
        <is>
          <t>SKÅNE LÄN</t>
        </is>
      </c>
      <c r="E1579" t="inlineStr">
        <is>
          <t>ESLÖV</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33029-2020</t>
        </is>
      </c>
      <c r="B1580" s="1" t="n">
        <v>44019</v>
      </c>
      <c r="C1580" s="1" t="n">
        <v>45190</v>
      </c>
      <c r="D1580" t="inlineStr">
        <is>
          <t>SKÅNE LÄN</t>
        </is>
      </c>
      <c r="E1580" t="inlineStr">
        <is>
          <t>ÖSTRA GÖINGE</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32593-2020</t>
        </is>
      </c>
      <c r="B1581" s="1" t="n">
        <v>44019</v>
      </c>
      <c r="C1581" s="1" t="n">
        <v>45190</v>
      </c>
      <c r="D1581" t="inlineStr">
        <is>
          <t>SKÅNE LÄN</t>
        </is>
      </c>
      <c r="E1581" t="inlineStr">
        <is>
          <t>KRISTIANSTAD</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32727-2020</t>
        </is>
      </c>
      <c r="B1582" s="1" t="n">
        <v>44019</v>
      </c>
      <c r="C1582" s="1" t="n">
        <v>45190</v>
      </c>
      <c r="D1582" t="inlineStr">
        <is>
          <t>SKÅNE LÄN</t>
        </is>
      </c>
      <c r="E1582" t="inlineStr">
        <is>
          <t>HÄSSLEHOLM</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33030-2020</t>
        </is>
      </c>
      <c r="B1583" s="1" t="n">
        <v>44019</v>
      </c>
      <c r="C1583" s="1" t="n">
        <v>45190</v>
      </c>
      <c r="D1583" t="inlineStr">
        <is>
          <t>SKÅNE LÄN</t>
        </is>
      </c>
      <c r="E1583" t="inlineStr">
        <is>
          <t>ÖSTRA GÖINGE</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32910-2020</t>
        </is>
      </c>
      <c r="B1584" s="1" t="n">
        <v>44020</v>
      </c>
      <c r="C1584" s="1" t="n">
        <v>45190</v>
      </c>
      <c r="D1584" t="inlineStr">
        <is>
          <t>SKÅNE LÄN</t>
        </is>
      </c>
      <c r="E1584" t="inlineStr">
        <is>
          <t>ÖRKELLJUNGA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32912-2020</t>
        </is>
      </c>
      <c r="B1585" s="1" t="n">
        <v>44020</v>
      </c>
      <c r="C1585" s="1" t="n">
        <v>45190</v>
      </c>
      <c r="D1585" t="inlineStr">
        <is>
          <t>SKÅNE LÄN</t>
        </is>
      </c>
      <c r="E1585" t="inlineStr">
        <is>
          <t>ÖRKELLJUNGA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33176-2020</t>
        </is>
      </c>
      <c r="B1586" s="1" t="n">
        <v>44021</v>
      </c>
      <c r="C1586" s="1" t="n">
        <v>45190</v>
      </c>
      <c r="D1586" t="inlineStr">
        <is>
          <t>SKÅNE LÄN</t>
        </is>
      </c>
      <c r="E1586" t="inlineStr">
        <is>
          <t>ÖRKELLJUNGA</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33550-2020</t>
        </is>
      </c>
      <c r="B1587" s="1" t="n">
        <v>44021</v>
      </c>
      <c r="C1587" s="1" t="n">
        <v>45190</v>
      </c>
      <c r="D1587" t="inlineStr">
        <is>
          <t>SKÅNE LÄN</t>
        </is>
      </c>
      <c r="E1587" t="inlineStr">
        <is>
          <t>ÖRKELLJUNGA</t>
        </is>
      </c>
      <c r="G1587" t="n">
        <v>4.3</v>
      </c>
      <c r="H1587" t="n">
        <v>0</v>
      </c>
      <c r="I1587" t="n">
        <v>0</v>
      </c>
      <c r="J1587" t="n">
        <v>0</v>
      </c>
      <c r="K1587" t="n">
        <v>0</v>
      </c>
      <c r="L1587" t="n">
        <v>0</v>
      </c>
      <c r="M1587" t="n">
        <v>0</v>
      </c>
      <c r="N1587" t="n">
        <v>0</v>
      </c>
      <c r="O1587" t="n">
        <v>0</v>
      </c>
      <c r="P1587" t="n">
        <v>0</v>
      </c>
      <c r="Q1587" t="n">
        <v>0</v>
      </c>
      <c r="R1587" s="2" t="inlineStr"/>
    </row>
    <row r="1588" ht="15" customHeight="1">
      <c r="A1588" t="inlineStr">
        <is>
          <t>A 34426-2020</t>
        </is>
      </c>
      <c r="B1588" s="1" t="n">
        <v>44021</v>
      </c>
      <c r="C1588" s="1" t="n">
        <v>45190</v>
      </c>
      <c r="D1588" t="inlineStr">
        <is>
          <t>SKÅNE LÄN</t>
        </is>
      </c>
      <c r="E1588" t="inlineStr">
        <is>
          <t>ÖRKELLJUNGA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33511-2020</t>
        </is>
      </c>
      <c r="B1589" s="1" t="n">
        <v>44022</v>
      </c>
      <c r="C1589" s="1" t="n">
        <v>45190</v>
      </c>
      <c r="D1589" t="inlineStr">
        <is>
          <t>SKÅNE LÄN</t>
        </is>
      </c>
      <c r="E1589" t="inlineStr">
        <is>
          <t>KRISTIANSTAD</t>
        </is>
      </c>
      <c r="G1589" t="n">
        <v>5.5</v>
      </c>
      <c r="H1589" t="n">
        <v>0</v>
      </c>
      <c r="I1589" t="n">
        <v>0</v>
      </c>
      <c r="J1589" t="n">
        <v>0</v>
      </c>
      <c r="K1589" t="n">
        <v>0</v>
      </c>
      <c r="L1589" t="n">
        <v>0</v>
      </c>
      <c r="M1589" t="n">
        <v>0</v>
      </c>
      <c r="N1589" t="n">
        <v>0</v>
      </c>
      <c r="O1589" t="n">
        <v>0</v>
      </c>
      <c r="P1589" t="n">
        <v>0</v>
      </c>
      <c r="Q1589" t="n">
        <v>0</v>
      </c>
      <c r="R1589" s="2" t="inlineStr"/>
    </row>
    <row r="1590" ht="15" customHeight="1">
      <c r="A1590" t="inlineStr">
        <is>
          <t>A 33733-2020</t>
        </is>
      </c>
      <c r="B1590" s="1" t="n">
        <v>44022</v>
      </c>
      <c r="C1590" s="1" t="n">
        <v>45190</v>
      </c>
      <c r="D1590" t="inlineStr">
        <is>
          <t>SKÅNE LÄN</t>
        </is>
      </c>
      <c r="E1590" t="inlineStr">
        <is>
          <t>KRISTIANSTAD</t>
        </is>
      </c>
      <c r="F1590" t="inlineStr">
        <is>
          <t>Övriga Aktiebolag</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33300-2020</t>
        </is>
      </c>
      <c r="B1591" s="1" t="n">
        <v>44022</v>
      </c>
      <c r="C1591" s="1" t="n">
        <v>45190</v>
      </c>
      <c r="D1591" t="inlineStr">
        <is>
          <t>SKÅNE LÄN</t>
        </is>
      </c>
      <c r="E1591" t="inlineStr">
        <is>
          <t>HÄSSLEHOLM</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33515-2020</t>
        </is>
      </c>
      <c r="B1592" s="1" t="n">
        <v>44022</v>
      </c>
      <c r="C1592" s="1" t="n">
        <v>45190</v>
      </c>
      <c r="D1592" t="inlineStr">
        <is>
          <t>SKÅNE LÄN</t>
        </is>
      </c>
      <c r="E1592" t="inlineStr">
        <is>
          <t>KRISTIANSTAD</t>
        </is>
      </c>
      <c r="G1592" t="n">
        <v>6.6</v>
      </c>
      <c r="H1592" t="n">
        <v>0</v>
      </c>
      <c r="I1592" t="n">
        <v>0</v>
      </c>
      <c r="J1592" t="n">
        <v>0</v>
      </c>
      <c r="K1592" t="n">
        <v>0</v>
      </c>
      <c r="L1592" t="n">
        <v>0</v>
      </c>
      <c r="M1592" t="n">
        <v>0</v>
      </c>
      <c r="N1592" t="n">
        <v>0</v>
      </c>
      <c r="O1592" t="n">
        <v>0</v>
      </c>
      <c r="P1592" t="n">
        <v>0</v>
      </c>
      <c r="Q1592" t="n">
        <v>0</v>
      </c>
      <c r="R1592" s="2" t="inlineStr"/>
    </row>
    <row r="1593" ht="15" customHeight="1">
      <c r="A1593" t="inlineStr">
        <is>
          <t>A 33302-2020</t>
        </is>
      </c>
      <c r="B1593" s="1" t="n">
        <v>44022</v>
      </c>
      <c r="C1593" s="1" t="n">
        <v>45190</v>
      </c>
      <c r="D1593" t="inlineStr">
        <is>
          <t>SKÅNE LÄN</t>
        </is>
      </c>
      <c r="E1593" t="inlineStr">
        <is>
          <t>HÄSSLEHOLM</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33516-2020</t>
        </is>
      </c>
      <c r="B1594" s="1" t="n">
        <v>44022</v>
      </c>
      <c r="C1594" s="1" t="n">
        <v>45190</v>
      </c>
      <c r="D1594" t="inlineStr">
        <is>
          <t>SKÅNE LÄN</t>
        </is>
      </c>
      <c r="E1594" t="inlineStr">
        <is>
          <t>KRISTIANSTAD</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33866-2020</t>
        </is>
      </c>
      <c r="B1595" s="1" t="n">
        <v>44025</v>
      </c>
      <c r="C1595" s="1" t="n">
        <v>45190</v>
      </c>
      <c r="D1595" t="inlineStr">
        <is>
          <t>SKÅNE LÄN</t>
        </is>
      </c>
      <c r="E1595" t="inlineStr">
        <is>
          <t>KRISTIANSTAD</t>
        </is>
      </c>
      <c r="F1595" t="inlineStr">
        <is>
          <t>Övriga Aktiebolag</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33737-2020</t>
        </is>
      </c>
      <c r="B1596" s="1" t="n">
        <v>44025</v>
      </c>
      <c r="C1596" s="1" t="n">
        <v>45190</v>
      </c>
      <c r="D1596" t="inlineStr">
        <is>
          <t>SKÅNE LÄN</t>
        </is>
      </c>
      <c r="E1596" t="inlineStr">
        <is>
          <t>KRISTIANSTAD</t>
        </is>
      </c>
      <c r="F1596" t="inlineStr">
        <is>
          <t>Övriga Aktiebolag</t>
        </is>
      </c>
      <c r="G1596" t="n">
        <v>20.3</v>
      </c>
      <c r="H1596" t="n">
        <v>0</v>
      </c>
      <c r="I1596" t="n">
        <v>0</v>
      </c>
      <c r="J1596" t="n">
        <v>0</v>
      </c>
      <c r="K1596" t="n">
        <v>0</v>
      </c>
      <c r="L1596" t="n">
        <v>0</v>
      </c>
      <c r="M1596" t="n">
        <v>0</v>
      </c>
      <c r="N1596" t="n">
        <v>0</v>
      </c>
      <c r="O1596" t="n">
        <v>0</v>
      </c>
      <c r="P1596" t="n">
        <v>0</v>
      </c>
      <c r="Q1596" t="n">
        <v>0</v>
      </c>
      <c r="R1596" s="2" t="inlineStr"/>
    </row>
    <row r="1597" ht="15" customHeight="1">
      <c r="A1597" t="inlineStr">
        <is>
          <t>A 33505-2020</t>
        </is>
      </c>
      <c r="B1597" s="1" t="n">
        <v>44025</v>
      </c>
      <c r="C1597" s="1" t="n">
        <v>45190</v>
      </c>
      <c r="D1597" t="inlineStr">
        <is>
          <t>SKÅNE LÄN</t>
        </is>
      </c>
      <c r="E1597" t="inlineStr">
        <is>
          <t>PERSTORP</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33544-2020</t>
        </is>
      </c>
      <c r="B1598" s="1" t="n">
        <v>44025</v>
      </c>
      <c r="C1598" s="1" t="n">
        <v>45190</v>
      </c>
      <c r="D1598" t="inlineStr">
        <is>
          <t>SKÅNE LÄN</t>
        </is>
      </c>
      <c r="E1598" t="inlineStr">
        <is>
          <t>HÄSSLEHOLM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33742-2020</t>
        </is>
      </c>
      <c r="B1599" s="1" t="n">
        <v>44025</v>
      </c>
      <c r="C1599" s="1" t="n">
        <v>45190</v>
      </c>
      <c r="D1599" t="inlineStr">
        <is>
          <t>SKÅNE LÄN</t>
        </is>
      </c>
      <c r="E1599" t="inlineStr">
        <is>
          <t>KRISTIANSTAD</t>
        </is>
      </c>
      <c r="F1599" t="inlineStr">
        <is>
          <t>Övriga Aktiebolag</t>
        </is>
      </c>
      <c r="G1599" t="n">
        <v>8.5</v>
      </c>
      <c r="H1599" t="n">
        <v>0</v>
      </c>
      <c r="I1599" t="n">
        <v>0</v>
      </c>
      <c r="J1599" t="n">
        <v>0</v>
      </c>
      <c r="K1599" t="n">
        <v>0</v>
      </c>
      <c r="L1599" t="n">
        <v>0</v>
      </c>
      <c r="M1599" t="n">
        <v>0</v>
      </c>
      <c r="N1599" t="n">
        <v>0</v>
      </c>
      <c r="O1599" t="n">
        <v>0</v>
      </c>
      <c r="P1599" t="n">
        <v>0</v>
      </c>
      <c r="Q1599" t="n">
        <v>0</v>
      </c>
      <c r="R1599" s="2" t="inlineStr"/>
    </row>
    <row r="1600" ht="15" customHeight="1">
      <c r="A1600" t="inlineStr">
        <is>
          <t>A 33739-2020</t>
        </is>
      </c>
      <c r="B1600" s="1" t="n">
        <v>44025</v>
      </c>
      <c r="C1600" s="1" t="n">
        <v>45190</v>
      </c>
      <c r="D1600" t="inlineStr">
        <is>
          <t>SKÅNE LÄN</t>
        </is>
      </c>
      <c r="E1600" t="inlineStr">
        <is>
          <t>KRISTIANSTAD</t>
        </is>
      </c>
      <c r="F1600" t="inlineStr">
        <is>
          <t>Övriga Aktiebolag</t>
        </is>
      </c>
      <c r="G1600" t="n">
        <v>18.3</v>
      </c>
      <c r="H1600" t="n">
        <v>0</v>
      </c>
      <c r="I1600" t="n">
        <v>0</v>
      </c>
      <c r="J1600" t="n">
        <v>0</v>
      </c>
      <c r="K1600" t="n">
        <v>0</v>
      </c>
      <c r="L1600" t="n">
        <v>0</v>
      </c>
      <c r="M1600" t="n">
        <v>0</v>
      </c>
      <c r="N1600" t="n">
        <v>0</v>
      </c>
      <c r="O1600" t="n">
        <v>0</v>
      </c>
      <c r="P1600" t="n">
        <v>0</v>
      </c>
      <c r="Q1600" t="n">
        <v>0</v>
      </c>
      <c r="R1600" s="2" t="inlineStr"/>
    </row>
    <row r="1601" ht="15" customHeight="1">
      <c r="A1601" t="inlineStr">
        <is>
          <t>A 33696-2020</t>
        </is>
      </c>
      <c r="B1601" s="1" t="n">
        <v>44026</v>
      </c>
      <c r="C1601" s="1" t="n">
        <v>45190</v>
      </c>
      <c r="D1601" t="inlineStr">
        <is>
          <t>SKÅNE LÄN</t>
        </is>
      </c>
      <c r="E1601" t="inlineStr">
        <is>
          <t>KRISTIANSTAD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33807-2020</t>
        </is>
      </c>
      <c r="B1602" s="1" t="n">
        <v>44026</v>
      </c>
      <c r="C1602" s="1" t="n">
        <v>45190</v>
      </c>
      <c r="D1602" t="inlineStr">
        <is>
          <t>SKÅNE LÄN</t>
        </is>
      </c>
      <c r="E1602" t="inlineStr">
        <is>
          <t>SKURUP</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33697-2020</t>
        </is>
      </c>
      <c r="B1603" s="1" t="n">
        <v>44026</v>
      </c>
      <c r="C1603" s="1" t="n">
        <v>45190</v>
      </c>
      <c r="D1603" t="inlineStr">
        <is>
          <t>SKÅNE LÄN</t>
        </is>
      </c>
      <c r="E1603" t="inlineStr">
        <is>
          <t>HÖRBY</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33824-2020</t>
        </is>
      </c>
      <c r="B1604" s="1" t="n">
        <v>44027</v>
      </c>
      <c r="C1604" s="1" t="n">
        <v>45190</v>
      </c>
      <c r="D1604" t="inlineStr">
        <is>
          <t>SKÅNE LÄN</t>
        </is>
      </c>
      <c r="E1604" t="inlineStr">
        <is>
          <t>HÄSSLEHOLM</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33854-2020</t>
        </is>
      </c>
      <c r="B1605" s="1" t="n">
        <v>44027</v>
      </c>
      <c r="C1605" s="1" t="n">
        <v>45190</v>
      </c>
      <c r="D1605" t="inlineStr">
        <is>
          <t>SKÅNE LÄN</t>
        </is>
      </c>
      <c r="E1605" t="inlineStr">
        <is>
          <t>HÄSSLEHOLM</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34032-2020</t>
        </is>
      </c>
      <c r="B1606" s="1" t="n">
        <v>44028</v>
      </c>
      <c r="C1606" s="1" t="n">
        <v>45190</v>
      </c>
      <c r="D1606" t="inlineStr">
        <is>
          <t>SKÅNE LÄN</t>
        </is>
      </c>
      <c r="E1606" t="inlineStr">
        <is>
          <t>KLIPPAN</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34038-2020</t>
        </is>
      </c>
      <c r="B1607" s="1" t="n">
        <v>44028</v>
      </c>
      <c r="C1607" s="1" t="n">
        <v>45190</v>
      </c>
      <c r="D1607" t="inlineStr">
        <is>
          <t>SKÅNE LÄN</t>
        </is>
      </c>
      <c r="E1607" t="inlineStr">
        <is>
          <t>KLIPPAN</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34355-2020</t>
        </is>
      </c>
      <c r="B1608" s="1" t="n">
        <v>44028</v>
      </c>
      <c r="C1608" s="1" t="n">
        <v>45190</v>
      </c>
      <c r="D1608" t="inlineStr">
        <is>
          <t>SKÅNE LÄN</t>
        </is>
      </c>
      <c r="E1608" t="inlineStr">
        <is>
          <t>OSBY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34375-2020</t>
        </is>
      </c>
      <c r="B1609" s="1" t="n">
        <v>44032</v>
      </c>
      <c r="C1609" s="1" t="n">
        <v>45190</v>
      </c>
      <c r="D1609" t="inlineStr">
        <is>
          <t>SKÅNE LÄN</t>
        </is>
      </c>
      <c r="E1609" t="inlineStr">
        <is>
          <t>ÖSTRA GÖINGE</t>
        </is>
      </c>
      <c r="G1609" t="n">
        <v>4.2</v>
      </c>
      <c r="H1609" t="n">
        <v>0</v>
      </c>
      <c r="I1609" t="n">
        <v>0</v>
      </c>
      <c r="J1609" t="n">
        <v>0</v>
      </c>
      <c r="K1609" t="n">
        <v>0</v>
      </c>
      <c r="L1609" t="n">
        <v>0</v>
      </c>
      <c r="M1609" t="n">
        <v>0</v>
      </c>
      <c r="N1609" t="n">
        <v>0</v>
      </c>
      <c r="O1609" t="n">
        <v>0</v>
      </c>
      <c r="P1609" t="n">
        <v>0</v>
      </c>
      <c r="Q1609" t="n">
        <v>0</v>
      </c>
      <c r="R1609" s="2" t="inlineStr"/>
    </row>
    <row r="1610" ht="15" customHeight="1">
      <c r="A1610" t="inlineStr">
        <is>
          <t>A 34433-2020</t>
        </is>
      </c>
      <c r="B1610" s="1" t="n">
        <v>44032</v>
      </c>
      <c r="C1610" s="1" t="n">
        <v>45190</v>
      </c>
      <c r="D1610" t="inlineStr">
        <is>
          <t>SKÅNE LÄN</t>
        </is>
      </c>
      <c r="E1610" t="inlineStr">
        <is>
          <t>ÖSTRA GÖINGE</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34533-2020</t>
        </is>
      </c>
      <c r="B1611" s="1" t="n">
        <v>44033</v>
      </c>
      <c r="C1611" s="1" t="n">
        <v>45190</v>
      </c>
      <c r="D1611" t="inlineStr">
        <is>
          <t>SKÅNE LÄN</t>
        </is>
      </c>
      <c r="E1611" t="inlineStr">
        <is>
          <t>KLIPPAN</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34548-2020</t>
        </is>
      </c>
      <c r="B1612" s="1" t="n">
        <v>44033</v>
      </c>
      <c r="C1612" s="1" t="n">
        <v>45190</v>
      </c>
      <c r="D1612" t="inlineStr">
        <is>
          <t>SKÅNE LÄN</t>
        </is>
      </c>
      <c r="E1612" t="inlineStr">
        <is>
          <t>KRISTIANSTAD</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34873-2020</t>
        </is>
      </c>
      <c r="B1613" s="1" t="n">
        <v>44036</v>
      </c>
      <c r="C1613" s="1" t="n">
        <v>45190</v>
      </c>
      <c r="D1613" t="inlineStr">
        <is>
          <t>SKÅNE LÄN</t>
        </is>
      </c>
      <c r="E1613" t="inlineStr">
        <is>
          <t>HÄSSLEHOLM</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34871-2020</t>
        </is>
      </c>
      <c r="B1614" s="1" t="n">
        <v>44036</v>
      </c>
      <c r="C1614" s="1" t="n">
        <v>45190</v>
      </c>
      <c r="D1614" t="inlineStr">
        <is>
          <t>SKÅNE LÄN</t>
        </is>
      </c>
      <c r="E1614" t="inlineStr">
        <is>
          <t>HÄSSLEHOLM</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35188-2020</t>
        </is>
      </c>
      <c r="B1615" s="1" t="n">
        <v>44040</v>
      </c>
      <c r="C1615" s="1" t="n">
        <v>45190</v>
      </c>
      <c r="D1615" t="inlineStr">
        <is>
          <t>SKÅNE LÄN</t>
        </is>
      </c>
      <c r="E1615" t="inlineStr">
        <is>
          <t>HÄSSLEHOLM</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35399-2020</t>
        </is>
      </c>
      <c r="B1616" s="1" t="n">
        <v>44042</v>
      </c>
      <c r="C1616" s="1" t="n">
        <v>45190</v>
      </c>
      <c r="D1616" t="inlineStr">
        <is>
          <t>SKÅNE LÄN</t>
        </is>
      </c>
      <c r="E1616" t="inlineStr">
        <is>
          <t>HÄSSLEHOLM</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35439-2020</t>
        </is>
      </c>
      <c r="B1617" s="1" t="n">
        <v>44042</v>
      </c>
      <c r="C1617" s="1" t="n">
        <v>45190</v>
      </c>
      <c r="D1617" t="inlineStr">
        <is>
          <t>SKÅNE LÄN</t>
        </is>
      </c>
      <c r="E1617" t="inlineStr">
        <is>
          <t>ÄNGELHOLM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35460-2020</t>
        </is>
      </c>
      <c r="B1618" s="1" t="n">
        <v>44042</v>
      </c>
      <c r="C1618" s="1" t="n">
        <v>45190</v>
      </c>
      <c r="D1618" t="inlineStr">
        <is>
          <t>SKÅNE LÄN</t>
        </is>
      </c>
      <c r="E1618" t="inlineStr">
        <is>
          <t>OSBY</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35435-2020</t>
        </is>
      </c>
      <c r="B1619" s="1" t="n">
        <v>44042</v>
      </c>
      <c r="C1619" s="1" t="n">
        <v>45190</v>
      </c>
      <c r="D1619" t="inlineStr">
        <is>
          <t>SKÅNE LÄN</t>
        </is>
      </c>
      <c r="E1619" t="inlineStr">
        <is>
          <t>ÄNGELHOLM</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35442-2020</t>
        </is>
      </c>
      <c r="B1620" s="1" t="n">
        <v>44042</v>
      </c>
      <c r="C1620" s="1" t="n">
        <v>45190</v>
      </c>
      <c r="D1620" t="inlineStr">
        <is>
          <t>SKÅNE LÄN</t>
        </is>
      </c>
      <c r="E1620" t="inlineStr">
        <is>
          <t>ÄNGELHOLM</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35463-2020</t>
        </is>
      </c>
      <c r="B1621" s="1" t="n">
        <v>44042</v>
      </c>
      <c r="C1621" s="1" t="n">
        <v>45190</v>
      </c>
      <c r="D1621" t="inlineStr">
        <is>
          <t>SKÅNE LÄN</t>
        </is>
      </c>
      <c r="E1621" t="inlineStr">
        <is>
          <t>KRISTIANSTAD</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35572-2020</t>
        </is>
      </c>
      <c r="B1622" s="1" t="n">
        <v>44043</v>
      </c>
      <c r="C1622" s="1" t="n">
        <v>45190</v>
      </c>
      <c r="D1622" t="inlineStr">
        <is>
          <t>SKÅNE LÄN</t>
        </is>
      </c>
      <c r="E1622" t="inlineStr">
        <is>
          <t>KLIPPAN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35728-2020</t>
        </is>
      </c>
      <c r="B1623" s="1" t="n">
        <v>44046</v>
      </c>
      <c r="C1623" s="1" t="n">
        <v>45190</v>
      </c>
      <c r="D1623" t="inlineStr">
        <is>
          <t>SKÅNE LÄN</t>
        </is>
      </c>
      <c r="E1623" t="inlineStr">
        <is>
          <t>ÖSTRA GÖINGE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35732-2020</t>
        </is>
      </c>
      <c r="B1624" s="1" t="n">
        <v>44046</v>
      </c>
      <c r="C1624" s="1" t="n">
        <v>45190</v>
      </c>
      <c r="D1624" t="inlineStr">
        <is>
          <t>SKÅNE LÄN</t>
        </is>
      </c>
      <c r="E1624" t="inlineStr">
        <is>
          <t>ÖSTRA GÖINGE</t>
        </is>
      </c>
      <c r="F1624" t="inlineStr">
        <is>
          <t>Kyrkan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35912-2020</t>
        </is>
      </c>
      <c r="B1625" s="1" t="n">
        <v>44047</v>
      </c>
      <c r="C1625" s="1" t="n">
        <v>45190</v>
      </c>
      <c r="D1625" t="inlineStr">
        <is>
          <t>SKÅNE LÄN</t>
        </is>
      </c>
      <c r="E1625" t="inlineStr">
        <is>
          <t>SVEDALA</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35973-2020</t>
        </is>
      </c>
      <c r="B1626" s="1" t="n">
        <v>44047</v>
      </c>
      <c r="C1626" s="1" t="n">
        <v>45190</v>
      </c>
      <c r="D1626" t="inlineStr">
        <is>
          <t>SKÅNE LÄN</t>
        </is>
      </c>
      <c r="E1626" t="inlineStr">
        <is>
          <t>ÖSTRA GÖINGE</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35857-2020</t>
        </is>
      </c>
      <c r="B1627" s="1" t="n">
        <v>44047</v>
      </c>
      <c r="C1627" s="1" t="n">
        <v>45190</v>
      </c>
      <c r="D1627" t="inlineStr">
        <is>
          <t>SKÅNE LÄN</t>
        </is>
      </c>
      <c r="E1627" t="inlineStr">
        <is>
          <t>HÄSSLEHOLM</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35872-2020</t>
        </is>
      </c>
      <c r="B1628" s="1" t="n">
        <v>44047</v>
      </c>
      <c r="C1628" s="1" t="n">
        <v>45190</v>
      </c>
      <c r="D1628" t="inlineStr">
        <is>
          <t>SKÅNE LÄN</t>
        </is>
      </c>
      <c r="E1628" t="inlineStr">
        <is>
          <t>HÖRBY</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36178-2020</t>
        </is>
      </c>
      <c r="B1629" s="1" t="n">
        <v>44048</v>
      </c>
      <c r="C1629" s="1" t="n">
        <v>45190</v>
      </c>
      <c r="D1629" t="inlineStr">
        <is>
          <t>SKÅNE LÄN</t>
        </is>
      </c>
      <c r="E1629" t="inlineStr">
        <is>
          <t>OSBY</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36397-2020</t>
        </is>
      </c>
      <c r="B1630" s="1" t="n">
        <v>44049</v>
      </c>
      <c r="C1630" s="1" t="n">
        <v>45190</v>
      </c>
      <c r="D1630" t="inlineStr">
        <is>
          <t>SKÅNE LÄN</t>
        </is>
      </c>
      <c r="E1630" t="inlineStr">
        <is>
          <t>ÖRKELLJUNGA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36231-2020</t>
        </is>
      </c>
      <c r="B1631" s="1" t="n">
        <v>44049</v>
      </c>
      <c r="C1631" s="1" t="n">
        <v>45190</v>
      </c>
      <c r="D1631" t="inlineStr">
        <is>
          <t>SKÅNE LÄN</t>
        </is>
      </c>
      <c r="E1631" t="inlineStr">
        <is>
          <t>ÖSTRA GÖINGE</t>
        </is>
      </c>
      <c r="G1631" t="n">
        <v>4.9</v>
      </c>
      <c r="H1631" t="n">
        <v>0</v>
      </c>
      <c r="I1631" t="n">
        <v>0</v>
      </c>
      <c r="J1631" t="n">
        <v>0</v>
      </c>
      <c r="K1631" t="n">
        <v>0</v>
      </c>
      <c r="L1631" t="n">
        <v>0</v>
      </c>
      <c r="M1631" t="n">
        <v>0</v>
      </c>
      <c r="N1631" t="n">
        <v>0</v>
      </c>
      <c r="O1631" t="n">
        <v>0</v>
      </c>
      <c r="P1631" t="n">
        <v>0</v>
      </c>
      <c r="Q1631" t="n">
        <v>0</v>
      </c>
      <c r="R1631" s="2" t="inlineStr"/>
    </row>
    <row r="1632" ht="15" customHeight="1">
      <c r="A1632" t="inlineStr">
        <is>
          <t>A 36232-2020</t>
        </is>
      </c>
      <c r="B1632" s="1" t="n">
        <v>44049</v>
      </c>
      <c r="C1632" s="1" t="n">
        <v>45190</v>
      </c>
      <c r="D1632" t="inlineStr">
        <is>
          <t>SKÅNE LÄN</t>
        </is>
      </c>
      <c r="E1632" t="inlineStr">
        <is>
          <t>ÖSTRA GÖINGE</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36319-2020</t>
        </is>
      </c>
      <c r="B1633" s="1" t="n">
        <v>44049</v>
      </c>
      <c r="C1633" s="1" t="n">
        <v>45190</v>
      </c>
      <c r="D1633" t="inlineStr">
        <is>
          <t>SKÅNE LÄN</t>
        </is>
      </c>
      <c r="E1633" t="inlineStr">
        <is>
          <t>OSBY</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36591-2020</t>
        </is>
      </c>
      <c r="B1634" s="1" t="n">
        <v>44050</v>
      </c>
      <c r="C1634" s="1" t="n">
        <v>45190</v>
      </c>
      <c r="D1634" t="inlineStr">
        <is>
          <t>SKÅNE LÄN</t>
        </is>
      </c>
      <c r="E1634" t="inlineStr">
        <is>
          <t>ÖSTRA GÖINGE</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36595-2020</t>
        </is>
      </c>
      <c r="B1635" s="1" t="n">
        <v>44050</v>
      </c>
      <c r="C1635" s="1" t="n">
        <v>45190</v>
      </c>
      <c r="D1635" t="inlineStr">
        <is>
          <t>SKÅNE LÄN</t>
        </is>
      </c>
      <c r="E1635" t="inlineStr">
        <is>
          <t>ÖSTRA GÖINGE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36728-2020</t>
        </is>
      </c>
      <c r="B1636" s="1" t="n">
        <v>44053</v>
      </c>
      <c r="C1636" s="1" t="n">
        <v>45190</v>
      </c>
      <c r="D1636" t="inlineStr">
        <is>
          <t>SKÅNE LÄN</t>
        </is>
      </c>
      <c r="E1636" t="inlineStr">
        <is>
          <t>HÄSSLEHOLM</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36721-2020</t>
        </is>
      </c>
      <c r="B1637" s="1" t="n">
        <v>44053</v>
      </c>
      <c r="C1637" s="1" t="n">
        <v>45190</v>
      </c>
      <c r="D1637" t="inlineStr">
        <is>
          <t>SKÅNE LÄN</t>
        </is>
      </c>
      <c r="E1637" t="inlineStr">
        <is>
          <t>HÄSSLEHOLM</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37180-2020</t>
        </is>
      </c>
      <c r="B1638" s="1" t="n">
        <v>44054</v>
      </c>
      <c r="C1638" s="1" t="n">
        <v>45190</v>
      </c>
      <c r="D1638" t="inlineStr">
        <is>
          <t>SKÅNE LÄN</t>
        </is>
      </c>
      <c r="E1638" t="inlineStr">
        <is>
          <t>KRISTIANSTAD</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37311-2020</t>
        </is>
      </c>
      <c r="B1639" s="1" t="n">
        <v>44055</v>
      </c>
      <c r="C1639" s="1" t="n">
        <v>45190</v>
      </c>
      <c r="D1639" t="inlineStr">
        <is>
          <t>SKÅNE LÄN</t>
        </is>
      </c>
      <c r="E1639" t="inlineStr">
        <is>
          <t>OSBY</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37351-2020</t>
        </is>
      </c>
      <c r="B1640" s="1" t="n">
        <v>44055</v>
      </c>
      <c r="C1640" s="1" t="n">
        <v>45190</v>
      </c>
      <c r="D1640" t="inlineStr">
        <is>
          <t>SKÅNE LÄN</t>
        </is>
      </c>
      <c r="E1640" t="inlineStr">
        <is>
          <t>HÖÖR</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37358-2020</t>
        </is>
      </c>
      <c r="B1641" s="1" t="n">
        <v>44055</v>
      </c>
      <c r="C1641" s="1" t="n">
        <v>45190</v>
      </c>
      <c r="D1641" t="inlineStr">
        <is>
          <t>SKÅNE LÄN</t>
        </is>
      </c>
      <c r="E1641" t="inlineStr">
        <is>
          <t>HÖÖR</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37655-2020</t>
        </is>
      </c>
      <c r="B1642" s="1" t="n">
        <v>44056</v>
      </c>
      <c r="C1642" s="1" t="n">
        <v>45190</v>
      </c>
      <c r="D1642" t="inlineStr">
        <is>
          <t>SKÅNE LÄN</t>
        </is>
      </c>
      <c r="E1642" t="inlineStr">
        <is>
          <t>HÄSSLEHOLM</t>
        </is>
      </c>
      <c r="G1642" t="n">
        <v>4.8</v>
      </c>
      <c r="H1642" t="n">
        <v>0</v>
      </c>
      <c r="I1642" t="n">
        <v>0</v>
      </c>
      <c r="J1642" t="n">
        <v>0</v>
      </c>
      <c r="K1642" t="n">
        <v>0</v>
      </c>
      <c r="L1642" t="n">
        <v>0</v>
      </c>
      <c r="M1642" t="n">
        <v>0</v>
      </c>
      <c r="N1642" t="n">
        <v>0</v>
      </c>
      <c r="O1642" t="n">
        <v>0</v>
      </c>
      <c r="P1642" t="n">
        <v>0</v>
      </c>
      <c r="Q1642" t="n">
        <v>0</v>
      </c>
      <c r="R1642" s="2" t="inlineStr"/>
    </row>
    <row r="1643" ht="15" customHeight="1">
      <c r="A1643" t="inlineStr">
        <is>
          <t>A 37825-2020</t>
        </is>
      </c>
      <c r="B1643" s="1" t="n">
        <v>44057</v>
      </c>
      <c r="C1643" s="1" t="n">
        <v>45190</v>
      </c>
      <c r="D1643" t="inlineStr">
        <is>
          <t>SKÅNE LÄN</t>
        </is>
      </c>
      <c r="E1643" t="inlineStr">
        <is>
          <t>OSBY</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38110-2020</t>
        </is>
      </c>
      <c r="B1644" s="1" t="n">
        <v>44058</v>
      </c>
      <c r="C1644" s="1" t="n">
        <v>45190</v>
      </c>
      <c r="D1644" t="inlineStr">
        <is>
          <t>SKÅNE LÄN</t>
        </is>
      </c>
      <c r="E1644" t="inlineStr">
        <is>
          <t>HÄSSLEHOLM</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38354-2020</t>
        </is>
      </c>
      <c r="B1645" s="1" t="n">
        <v>44060</v>
      </c>
      <c r="C1645" s="1" t="n">
        <v>45190</v>
      </c>
      <c r="D1645" t="inlineStr">
        <is>
          <t>SKÅNE LÄN</t>
        </is>
      </c>
      <c r="E1645" t="inlineStr">
        <is>
          <t>OSBY</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38589-2020</t>
        </is>
      </c>
      <c r="B1646" s="1" t="n">
        <v>44061</v>
      </c>
      <c r="C1646" s="1" t="n">
        <v>45190</v>
      </c>
      <c r="D1646" t="inlineStr">
        <is>
          <t>SKÅNE LÄN</t>
        </is>
      </c>
      <c r="E1646" t="inlineStr">
        <is>
          <t>OSBY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38688-2020</t>
        </is>
      </c>
      <c r="B1647" s="1" t="n">
        <v>44061</v>
      </c>
      <c r="C1647" s="1" t="n">
        <v>45190</v>
      </c>
      <c r="D1647" t="inlineStr">
        <is>
          <t>SKÅNE LÄN</t>
        </is>
      </c>
      <c r="E1647" t="inlineStr">
        <is>
          <t>LUND</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38491-2020</t>
        </is>
      </c>
      <c r="B1648" s="1" t="n">
        <v>44061</v>
      </c>
      <c r="C1648" s="1" t="n">
        <v>45190</v>
      </c>
      <c r="D1648" t="inlineStr">
        <is>
          <t>SKÅNE LÄN</t>
        </is>
      </c>
      <c r="E1648" t="inlineStr">
        <is>
          <t>HÖRBY</t>
        </is>
      </c>
      <c r="G1648" t="n">
        <v>3.2</v>
      </c>
      <c r="H1648" t="n">
        <v>0</v>
      </c>
      <c r="I1648" t="n">
        <v>0</v>
      </c>
      <c r="J1648" t="n">
        <v>0</v>
      </c>
      <c r="K1648" t="n">
        <v>0</v>
      </c>
      <c r="L1648" t="n">
        <v>0</v>
      </c>
      <c r="M1648" t="n">
        <v>0</v>
      </c>
      <c r="N1648" t="n">
        <v>0</v>
      </c>
      <c r="O1648" t="n">
        <v>0</v>
      </c>
      <c r="P1648" t="n">
        <v>0</v>
      </c>
      <c r="Q1648" t="n">
        <v>0</v>
      </c>
      <c r="R1648" s="2" t="inlineStr"/>
    </row>
    <row r="1649" ht="15" customHeight="1">
      <c r="A1649" t="inlineStr">
        <is>
          <t>A 39241-2020</t>
        </is>
      </c>
      <c r="B1649" s="1" t="n">
        <v>44063</v>
      </c>
      <c r="C1649" s="1" t="n">
        <v>45190</v>
      </c>
      <c r="D1649" t="inlineStr">
        <is>
          <t>SKÅNE LÄN</t>
        </is>
      </c>
      <c r="E1649" t="inlineStr">
        <is>
          <t>ÖSTRA GÖINGE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39895-2020</t>
        </is>
      </c>
      <c r="B1650" s="1" t="n">
        <v>44063</v>
      </c>
      <c r="C1650" s="1" t="n">
        <v>45190</v>
      </c>
      <c r="D1650" t="inlineStr">
        <is>
          <t>SKÅNE LÄN</t>
        </is>
      </c>
      <c r="E1650" t="inlineStr">
        <is>
          <t>HÖRBY</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39672-2020</t>
        </is>
      </c>
      <c r="B1651" s="1" t="n">
        <v>44065</v>
      </c>
      <c r="C1651" s="1" t="n">
        <v>45190</v>
      </c>
      <c r="D1651" t="inlineStr">
        <is>
          <t>SKÅNE LÄN</t>
        </is>
      </c>
      <c r="E1651" t="inlineStr">
        <is>
          <t>HÄSSLEHOLM</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40260-2020</t>
        </is>
      </c>
      <c r="B1652" s="1" t="n">
        <v>44067</v>
      </c>
      <c r="C1652" s="1" t="n">
        <v>45190</v>
      </c>
      <c r="D1652" t="inlineStr">
        <is>
          <t>SKÅNE LÄN</t>
        </is>
      </c>
      <c r="E1652" t="inlineStr">
        <is>
          <t>ÖRKELLJUNGA</t>
        </is>
      </c>
      <c r="G1652" t="n">
        <v>12.9</v>
      </c>
      <c r="H1652" t="n">
        <v>0</v>
      </c>
      <c r="I1652" t="n">
        <v>0</v>
      </c>
      <c r="J1652" t="n">
        <v>0</v>
      </c>
      <c r="K1652" t="n">
        <v>0</v>
      </c>
      <c r="L1652" t="n">
        <v>0</v>
      </c>
      <c r="M1652" t="n">
        <v>0</v>
      </c>
      <c r="N1652" t="n">
        <v>0</v>
      </c>
      <c r="O1652" t="n">
        <v>0</v>
      </c>
      <c r="P1652" t="n">
        <v>0</v>
      </c>
      <c r="Q1652" t="n">
        <v>0</v>
      </c>
      <c r="R1652" s="2" t="inlineStr"/>
    </row>
    <row r="1653" ht="15" customHeight="1">
      <c r="A1653" t="inlineStr">
        <is>
          <t>A 40304-2020</t>
        </is>
      </c>
      <c r="B1653" s="1" t="n">
        <v>44067</v>
      </c>
      <c r="C1653" s="1" t="n">
        <v>45190</v>
      </c>
      <c r="D1653" t="inlineStr">
        <is>
          <t>SKÅNE LÄN</t>
        </is>
      </c>
      <c r="E1653" t="inlineStr">
        <is>
          <t>KLIPPAN</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40256-2020</t>
        </is>
      </c>
      <c r="B1654" s="1" t="n">
        <v>44067</v>
      </c>
      <c r="C1654" s="1" t="n">
        <v>45190</v>
      </c>
      <c r="D1654" t="inlineStr">
        <is>
          <t>SKÅNE LÄN</t>
        </is>
      </c>
      <c r="E1654" t="inlineStr">
        <is>
          <t>ÖRKELLJUNGA</t>
        </is>
      </c>
      <c r="G1654" t="n">
        <v>10</v>
      </c>
      <c r="H1654" t="n">
        <v>0</v>
      </c>
      <c r="I1654" t="n">
        <v>0</v>
      </c>
      <c r="J1654" t="n">
        <v>0</v>
      </c>
      <c r="K1654" t="n">
        <v>0</v>
      </c>
      <c r="L1654" t="n">
        <v>0</v>
      </c>
      <c r="M1654" t="n">
        <v>0</v>
      </c>
      <c r="N1654" t="n">
        <v>0</v>
      </c>
      <c r="O1654" t="n">
        <v>0</v>
      </c>
      <c r="P1654" t="n">
        <v>0</v>
      </c>
      <c r="Q1654" t="n">
        <v>0</v>
      </c>
      <c r="R1654" s="2" t="inlineStr"/>
    </row>
    <row r="1655" ht="15" customHeight="1">
      <c r="A1655" t="inlineStr">
        <is>
          <t>A 40329-2020</t>
        </is>
      </c>
      <c r="B1655" s="1" t="n">
        <v>44067</v>
      </c>
      <c r="C1655" s="1" t="n">
        <v>45190</v>
      </c>
      <c r="D1655" t="inlineStr">
        <is>
          <t>SKÅNE LÄN</t>
        </is>
      </c>
      <c r="E1655" t="inlineStr">
        <is>
          <t>HÄSSLEHOLM</t>
        </is>
      </c>
      <c r="F1655" t="inlineStr">
        <is>
          <t>Övriga Aktiebolag</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39746-2020</t>
        </is>
      </c>
      <c r="B1656" s="1" t="n">
        <v>44067</v>
      </c>
      <c r="C1656" s="1" t="n">
        <v>45190</v>
      </c>
      <c r="D1656" t="inlineStr">
        <is>
          <t>SKÅNE LÄN</t>
        </is>
      </c>
      <c r="E1656" t="inlineStr">
        <is>
          <t>OSBY</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40315-2020</t>
        </is>
      </c>
      <c r="B1657" s="1" t="n">
        <v>44067</v>
      </c>
      <c r="C1657" s="1" t="n">
        <v>45190</v>
      </c>
      <c r="D1657" t="inlineStr">
        <is>
          <t>SKÅNE LÄN</t>
        </is>
      </c>
      <c r="E1657" t="inlineStr">
        <is>
          <t>SJÖBO</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40041-2020</t>
        </is>
      </c>
      <c r="B1658" s="1" t="n">
        <v>44067</v>
      </c>
      <c r="C1658" s="1" t="n">
        <v>45190</v>
      </c>
      <c r="D1658" t="inlineStr">
        <is>
          <t>SKÅNE LÄN</t>
        </is>
      </c>
      <c r="E1658" t="inlineStr">
        <is>
          <t>KLIPPAN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40286-2020</t>
        </is>
      </c>
      <c r="B1659" s="1" t="n">
        <v>44067</v>
      </c>
      <c r="C1659" s="1" t="n">
        <v>45190</v>
      </c>
      <c r="D1659" t="inlineStr">
        <is>
          <t>SKÅNE LÄN</t>
        </is>
      </c>
      <c r="E1659" t="inlineStr">
        <is>
          <t>ÖRKELLJUNGA</t>
        </is>
      </c>
      <c r="G1659" t="n">
        <v>5.7</v>
      </c>
      <c r="H1659" t="n">
        <v>0</v>
      </c>
      <c r="I1659" t="n">
        <v>0</v>
      </c>
      <c r="J1659" t="n">
        <v>0</v>
      </c>
      <c r="K1659" t="n">
        <v>0</v>
      </c>
      <c r="L1659" t="n">
        <v>0</v>
      </c>
      <c r="M1659" t="n">
        <v>0</v>
      </c>
      <c r="N1659" t="n">
        <v>0</v>
      </c>
      <c r="O1659" t="n">
        <v>0</v>
      </c>
      <c r="P1659" t="n">
        <v>0</v>
      </c>
      <c r="Q1659" t="n">
        <v>0</v>
      </c>
      <c r="R1659" s="2" t="inlineStr"/>
    </row>
    <row r="1660" ht="15" customHeight="1">
      <c r="A1660" t="inlineStr">
        <is>
          <t>A 40864-2020</t>
        </is>
      </c>
      <c r="B1660" s="1" t="n">
        <v>44068</v>
      </c>
      <c r="C1660" s="1" t="n">
        <v>45190</v>
      </c>
      <c r="D1660" t="inlineStr">
        <is>
          <t>SKÅNE LÄN</t>
        </is>
      </c>
      <c r="E1660" t="inlineStr">
        <is>
          <t>KLIPPAN</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40292-2020</t>
        </is>
      </c>
      <c r="B1661" s="1" t="n">
        <v>44068</v>
      </c>
      <c r="C1661" s="1" t="n">
        <v>45190</v>
      </c>
      <c r="D1661" t="inlineStr">
        <is>
          <t>SKÅNE LÄN</t>
        </is>
      </c>
      <c r="E1661" t="inlineStr">
        <is>
          <t>HÄSSLEHOLM</t>
        </is>
      </c>
      <c r="G1661" t="n">
        <v>3.7</v>
      </c>
      <c r="H1661" t="n">
        <v>0</v>
      </c>
      <c r="I1661" t="n">
        <v>0</v>
      </c>
      <c r="J1661" t="n">
        <v>0</v>
      </c>
      <c r="K1661" t="n">
        <v>0</v>
      </c>
      <c r="L1661" t="n">
        <v>0</v>
      </c>
      <c r="M1661" t="n">
        <v>0</v>
      </c>
      <c r="N1661" t="n">
        <v>0</v>
      </c>
      <c r="O1661" t="n">
        <v>0</v>
      </c>
      <c r="P1661" t="n">
        <v>0</v>
      </c>
      <c r="Q1661" t="n">
        <v>0</v>
      </c>
      <c r="R1661" s="2" t="inlineStr"/>
    </row>
    <row r="1662" ht="15" customHeight="1">
      <c r="A1662" t="inlineStr">
        <is>
          <t>A 40319-2020</t>
        </is>
      </c>
      <c r="B1662" s="1" t="n">
        <v>44068</v>
      </c>
      <c r="C1662" s="1" t="n">
        <v>45190</v>
      </c>
      <c r="D1662" t="inlineStr">
        <is>
          <t>SKÅNE LÄN</t>
        </is>
      </c>
      <c r="E1662" t="inlineStr">
        <is>
          <t>HÄSSLEHOLM</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41733-2020</t>
        </is>
      </c>
      <c r="B1663" s="1" t="n">
        <v>44070</v>
      </c>
      <c r="C1663" s="1" t="n">
        <v>45190</v>
      </c>
      <c r="D1663" t="inlineStr">
        <is>
          <t>SKÅNE LÄN</t>
        </is>
      </c>
      <c r="E1663" t="inlineStr">
        <is>
          <t>ESLÖV</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41795-2020</t>
        </is>
      </c>
      <c r="B1664" s="1" t="n">
        <v>44070</v>
      </c>
      <c r="C1664" s="1" t="n">
        <v>45190</v>
      </c>
      <c r="D1664" t="inlineStr">
        <is>
          <t>SKÅNE LÄN</t>
        </is>
      </c>
      <c r="E1664" t="inlineStr">
        <is>
          <t>SVALÖV</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41315-2020</t>
        </is>
      </c>
      <c r="B1665" s="1" t="n">
        <v>44071</v>
      </c>
      <c r="C1665" s="1" t="n">
        <v>45190</v>
      </c>
      <c r="D1665" t="inlineStr">
        <is>
          <t>SKÅNE LÄN</t>
        </is>
      </c>
      <c r="E1665" t="inlineStr">
        <is>
          <t>ÖSTRA GÖINGE</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41309-2020</t>
        </is>
      </c>
      <c r="B1666" s="1" t="n">
        <v>44071</v>
      </c>
      <c r="C1666" s="1" t="n">
        <v>45190</v>
      </c>
      <c r="D1666" t="inlineStr">
        <is>
          <t>SKÅNE LÄN</t>
        </is>
      </c>
      <c r="E1666" t="inlineStr">
        <is>
          <t>ÖSTRA GÖINGE</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42262-2020</t>
        </is>
      </c>
      <c r="B1667" s="1" t="n">
        <v>44074</v>
      </c>
      <c r="C1667" s="1" t="n">
        <v>45190</v>
      </c>
      <c r="D1667" t="inlineStr">
        <is>
          <t>SKÅNE LÄN</t>
        </is>
      </c>
      <c r="E1667" t="inlineStr">
        <is>
          <t>KRISTIANSTAD</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42363-2020</t>
        </is>
      </c>
      <c r="B1668" s="1" t="n">
        <v>44074</v>
      </c>
      <c r="C1668" s="1" t="n">
        <v>45190</v>
      </c>
      <c r="D1668" t="inlineStr">
        <is>
          <t>SKÅNE LÄN</t>
        </is>
      </c>
      <c r="E1668" t="inlineStr">
        <is>
          <t>SJÖBO</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42311-2020</t>
        </is>
      </c>
      <c r="B1669" s="1" t="n">
        <v>44076</v>
      </c>
      <c r="C1669" s="1" t="n">
        <v>45190</v>
      </c>
      <c r="D1669" t="inlineStr">
        <is>
          <t>SKÅNE LÄN</t>
        </is>
      </c>
      <c r="E1669" t="inlineStr">
        <is>
          <t>KLIPPAN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42353-2020</t>
        </is>
      </c>
      <c r="B1670" s="1" t="n">
        <v>44076</v>
      </c>
      <c r="C1670" s="1" t="n">
        <v>45190</v>
      </c>
      <c r="D1670" t="inlineStr">
        <is>
          <t>SKÅNE LÄN</t>
        </is>
      </c>
      <c r="E1670" t="inlineStr">
        <is>
          <t>KRISTIANSTAD</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42565-2020</t>
        </is>
      </c>
      <c r="B1671" s="1" t="n">
        <v>44077</v>
      </c>
      <c r="C1671" s="1" t="n">
        <v>45190</v>
      </c>
      <c r="D1671" t="inlineStr">
        <is>
          <t>SKÅNE LÄN</t>
        </is>
      </c>
      <c r="E1671" t="inlineStr">
        <is>
          <t>ÄNGELHOLM</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43414-2020</t>
        </is>
      </c>
      <c r="B1672" s="1" t="n">
        <v>44077</v>
      </c>
      <c r="C1672" s="1" t="n">
        <v>45190</v>
      </c>
      <c r="D1672" t="inlineStr">
        <is>
          <t>SKÅNE LÄN</t>
        </is>
      </c>
      <c r="E1672" t="inlineStr">
        <is>
          <t>KRISTIANSTAD</t>
        </is>
      </c>
      <c r="G1672" t="n">
        <v>0.3</v>
      </c>
      <c r="H1672" t="n">
        <v>0</v>
      </c>
      <c r="I1672" t="n">
        <v>0</v>
      </c>
      <c r="J1672" t="n">
        <v>0</v>
      </c>
      <c r="K1672" t="n">
        <v>0</v>
      </c>
      <c r="L1672" t="n">
        <v>0</v>
      </c>
      <c r="M1672" t="n">
        <v>0</v>
      </c>
      <c r="N1672" t="n">
        <v>0</v>
      </c>
      <c r="O1672" t="n">
        <v>0</v>
      </c>
      <c r="P1672" t="n">
        <v>0</v>
      </c>
      <c r="Q1672" t="n">
        <v>0</v>
      </c>
      <c r="R1672" s="2" t="inlineStr"/>
    </row>
    <row r="1673" ht="15" customHeight="1">
      <c r="A1673" t="inlineStr">
        <is>
          <t>A 42815-2020</t>
        </is>
      </c>
      <c r="B1673" s="1" t="n">
        <v>44078</v>
      </c>
      <c r="C1673" s="1" t="n">
        <v>45190</v>
      </c>
      <c r="D1673" t="inlineStr">
        <is>
          <t>SKÅNE LÄN</t>
        </is>
      </c>
      <c r="E1673" t="inlineStr">
        <is>
          <t>HÄSSLEHOLM</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43572-2020</t>
        </is>
      </c>
      <c r="B1674" s="1" t="n">
        <v>44078</v>
      </c>
      <c r="C1674" s="1" t="n">
        <v>45190</v>
      </c>
      <c r="D1674" t="inlineStr">
        <is>
          <t>SKÅNE LÄN</t>
        </is>
      </c>
      <c r="E1674" t="inlineStr">
        <is>
          <t>ÖSTRA GÖINGE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43574-2020</t>
        </is>
      </c>
      <c r="B1675" s="1" t="n">
        <v>44078</v>
      </c>
      <c r="C1675" s="1" t="n">
        <v>45190</v>
      </c>
      <c r="D1675" t="inlineStr">
        <is>
          <t>SKÅNE LÄN</t>
        </is>
      </c>
      <c r="E1675" t="inlineStr">
        <is>
          <t>ÖSTRA GÖINGE</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42839-2020</t>
        </is>
      </c>
      <c r="B1676" s="1" t="n">
        <v>44078</v>
      </c>
      <c r="C1676" s="1" t="n">
        <v>45190</v>
      </c>
      <c r="D1676" t="inlineStr">
        <is>
          <t>SKÅNE LÄN</t>
        </is>
      </c>
      <c r="E1676" t="inlineStr">
        <is>
          <t>HÄSSLEHOLM</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42812-2020</t>
        </is>
      </c>
      <c r="B1677" s="1" t="n">
        <v>44078</v>
      </c>
      <c r="C1677" s="1" t="n">
        <v>45190</v>
      </c>
      <c r="D1677" t="inlineStr">
        <is>
          <t>SKÅNE LÄN</t>
        </is>
      </c>
      <c r="E1677" t="inlineStr">
        <is>
          <t>HÄSSLEHOLM</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43045-2020</t>
        </is>
      </c>
      <c r="B1678" s="1" t="n">
        <v>44078</v>
      </c>
      <c r="C1678" s="1" t="n">
        <v>45190</v>
      </c>
      <c r="D1678" t="inlineStr">
        <is>
          <t>SKÅNE LÄN</t>
        </is>
      </c>
      <c r="E1678" t="inlineStr">
        <is>
          <t>HÄSSLEHOLM</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43645-2020</t>
        </is>
      </c>
      <c r="B1679" s="1" t="n">
        <v>44078</v>
      </c>
      <c r="C1679" s="1" t="n">
        <v>45190</v>
      </c>
      <c r="D1679" t="inlineStr">
        <is>
          <t>SKÅNE LÄN</t>
        </is>
      </c>
      <c r="E1679" t="inlineStr">
        <is>
          <t>ÄNGELHOLM</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44079-2020</t>
        </is>
      </c>
      <c r="B1680" s="1" t="n">
        <v>44081</v>
      </c>
      <c r="C1680" s="1" t="n">
        <v>45190</v>
      </c>
      <c r="D1680" t="inlineStr">
        <is>
          <t>SKÅNE LÄN</t>
        </is>
      </c>
      <c r="E1680" t="inlineStr">
        <is>
          <t>HÖRBY</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43409-2020</t>
        </is>
      </c>
      <c r="B1681" s="1" t="n">
        <v>44081</v>
      </c>
      <c r="C1681" s="1" t="n">
        <v>45190</v>
      </c>
      <c r="D1681" t="inlineStr">
        <is>
          <t>SKÅNE LÄN</t>
        </is>
      </c>
      <c r="E1681" t="inlineStr">
        <is>
          <t>BJUV</t>
        </is>
      </c>
      <c r="F1681" t="inlineStr">
        <is>
          <t>Kyrkan</t>
        </is>
      </c>
      <c r="G1681" t="n">
        <v>6.5</v>
      </c>
      <c r="H1681" t="n">
        <v>0</v>
      </c>
      <c r="I1681" t="n">
        <v>0</v>
      </c>
      <c r="J1681" t="n">
        <v>0</v>
      </c>
      <c r="K1681" t="n">
        <v>0</v>
      </c>
      <c r="L1681" t="n">
        <v>0</v>
      </c>
      <c r="M1681" t="n">
        <v>0</v>
      </c>
      <c r="N1681" t="n">
        <v>0</v>
      </c>
      <c r="O1681" t="n">
        <v>0</v>
      </c>
      <c r="P1681" t="n">
        <v>0</v>
      </c>
      <c r="Q1681" t="n">
        <v>0</v>
      </c>
      <c r="R1681" s="2" t="inlineStr"/>
    </row>
    <row r="1682" ht="15" customHeight="1">
      <c r="A1682" t="inlineStr">
        <is>
          <t>A 43419-2020</t>
        </is>
      </c>
      <c r="B1682" s="1" t="n">
        <v>44081</v>
      </c>
      <c r="C1682" s="1" t="n">
        <v>45190</v>
      </c>
      <c r="D1682" t="inlineStr">
        <is>
          <t>SKÅNE LÄN</t>
        </is>
      </c>
      <c r="E1682" t="inlineStr">
        <is>
          <t>ÖSTRA GÖINGE</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43795-2020</t>
        </is>
      </c>
      <c r="B1683" s="1" t="n">
        <v>44082</v>
      </c>
      <c r="C1683" s="1" t="n">
        <v>45190</v>
      </c>
      <c r="D1683" t="inlineStr">
        <is>
          <t>SKÅNE LÄN</t>
        </is>
      </c>
      <c r="E1683" t="inlineStr">
        <is>
          <t>OSBY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43580-2020</t>
        </is>
      </c>
      <c r="B1684" s="1" t="n">
        <v>44082</v>
      </c>
      <c r="C1684" s="1" t="n">
        <v>45190</v>
      </c>
      <c r="D1684" t="inlineStr">
        <is>
          <t>SKÅNE LÄN</t>
        </is>
      </c>
      <c r="E1684" t="inlineStr">
        <is>
          <t>HÄSSLEHOLM</t>
        </is>
      </c>
      <c r="F1684" t="inlineStr">
        <is>
          <t>Kyrkan</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43600-2020</t>
        </is>
      </c>
      <c r="B1685" s="1" t="n">
        <v>44082</v>
      </c>
      <c r="C1685" s="1" t="n">
        <v>45190</v>
      </c>
      <c r="D1685" t="inlineStr">
        <is>
          <t>SKÅNE LÄN</t>
        </is>
      </c>
      <c r="E1685" t="inlineStr">
        <is>
          <t>HÄSSLEHOLM</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44297-2020</t>
        </is>
      </c>
      <c r="B1686" s="1" t="n">
        <v>44082</v>
      </c>
      <c r="C1686" s="1" t="n">
        <v>45190</v>
      </c>
      <c r="D1686" t="inlineStr">
        <is>
          <t>SKÅNE LÄN</t>
        </is>
      </c>
      <c r="E1686" t="inlineStr">
        <is>
          <t>KLIPPAN</t>
        </is>
      </c>
      <c r="F1686" t="inlineStr">
        <is>
          <t>Övriga Aktiebolag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44318-2020</t>
        </is>
      </c>
      <c r="B1687" s="1" t="n">
        <v>44082</v>
      </c>
      <c r="C1687" s="1" t="n">
        <v>45190</v>
      </c>
      <c r="D1687" t="inlineStr">
        <is>
          <t>SKÅNE LÄN</t>
        </is>
      </c>
      <c r="E1687" t="inlineStr">
        <is>
          <t>KLIPPAN</t>
        </is>
      </c>
      <c r="F1687" t="inlineStr">
        <is>
          <t>Övriga Aktiebolag</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43595-2020</t>
        </is>
      </c>
      <c r="B1688" s="1" t="n">
        <v>44082</v>
      </c>
      <c r="C1688" s="1" t="n">
        <v>45190</v>
      </c>
      <c r="D1688" t="inlineStr">
        <is>
          <t>SKÅNE LÄN</t>
        </is>
      </c>
      <c r="E1688" t="inlineStr">
        <is>
          <t>HÄSSLEHOLM</t>
        </is>
      </c>
      <c r="F1688" t="inlineStr">
        <is>
          <t>Kyrkan</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44112-2020</t>
        </is>
      </c>
      <c r="B1689" s="1" t="n">
        <v>44082</v>
      </c>
      <c r="C1689" s="1" t="n">
        <v>45190</v>
      </c>
      <c r="D1689" t="inlineStr">
        <is>
          <t>SKÅNE LÄN</t>
        </is>
      </c>
      <c r="E1689" t="inlineStr">
        <is>
          <t>OSBY</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44228-2020</t>
        </is>
      </c>
      <c r="B1690" s="1" t="n">
        <v>44082</v>
      </c>
      <c r="C1690" s="1" t="n">
        <v>45190</v>
      </c>
      <c r="D1690" t="inlineStr">
        <is>
          <t>SKÅNE LÄN</t>
        </is>
      </c>
      <c r="E1690" t="inlineStr">
        <is>
          <t>HÄSSLEHOLM</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44327-2020</t>
        </is>
      </c>
      <c r="B1691" s="1" t="n">
        <v>44082</v>
      </c>
      <c r="C1691" s="1" t="n">
        <v>45190</v>
      </c>
      <c r="D1691" t="inlineStr">
        <is>
          <t>SKÅNE LÄN</t>
        </is>
      </c>
      <c r="E1691" t="inlineStr">
        <is>
          <t>ESLÖV</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44464-2020</t>
        </is>
      </c>
      <c r="B1692" s="1" t="n">
        <v>44084</v>
      </c>
      <c r="C1692" s="1" t="n">
        <v>45190</v>
      </c>
      <c r="D1692" t="inlineStr">
        <is>
          <t>SKÅNE LÄN</t>
        </is>
      </c>
      <c r="E1692" t="inlineStr">
        <is>
          <t>KRISTIANSTAD</t>
        </is>
      </c>
      <c r="G1692" t="n">
        <v>11.6</v>
      </c>
      <c r="H1692" t="n">
        <v>0</v>
      </c>
      <c r="I1692" t="n">
        <v>0</v>
      </c>
      <c r="J1692" t="n">
        <v>0</v>
      </c>
      <c r="K1692" t="n">
        <v>0</v>
      </c>
      <c r="L1692" t="n">
        <v>0</v>
      </c>
      <c r="M1692" t="n">
        <v>0</v>
      </c>
      <c r="N1692" t="n">
        <v>0</v>
      </c>
      <c r="O1692" t="n">
        <v>0</v>
      </c>
      <c r="P1692" t="n">
        <v>0</v>
      </c>
      <c r="Q1692" t="n">
        <v>0</v>
      </c>
      <c r="R1692" s="2" t="inlineStr"/>
    </row>
    <row r="1693" ht="15" customHeight="1">
      <c r="A1693" t="inlineStr">
        <is>
          <t>A 44463-2020</t>
        </is>
      </c>
      <c r="B1693" s="1" t="n">
        <v>44084</v>
      </c>
      <c r="C1693" s="1" t="n">
        <v>45190</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44316-2020</t>
        </is>
      </c>
      <c r="B1694" s="1" t="n">
        <v>44084</v>
      </c>
      <c r="C1694" s="1" t="n">
        <v>45190</v>
      </c>
      <c r="D1694" t="inlineStr">
        <is>
          <t>SKÅNE LÄN</t>
        </is>
      </c>
      <c r="E1694" t="inlineStr">
        <is>
          <t>KRISTIANSTAD</t>
        </is>
      </c>
      <c r="G1694" t="n">
        <v>8.1</v>
      </c>
      <c r="H1694" t="n">
        <v>0</v>
      </c>
      <c r="I1694" t="n">
        <v>0</v>
      </c>
      <c r="J1694" t="n">
        <v>0</v>
      </c>
      <c r="K1694" t="n">
        <v>0</v>
      </c>
      <c r="L1694" t="n">
        <v>0</v>
      </c>
      <c r="M1694" t="n">
        <v>0</v>
      </c>
      <c r="N1694" t="n">
        <v>0</v>
      </c>
      <c r="O1694" t="n">
        <v>0</v>
      </c>
      <c r="P1694" t="n">
        <v>0</v>
      </c>
      <c r="Q1694" t="n">
        <v>0</v>
      </c>
      <c r="R1694" s="2" t="inlineStr"/>
    </row>
    <row r="1695" ht="15" customHeight="1">
      <c r="A1695" t="inlineStr">
        <is>
          <t>A 44403-2020</t>
        </is>
      </c>
      <c r="B1695" s="1" t="n">
        <v>44084</v>
      </c>
      <c r="C1695" s="1" t="n">
        <v>45190</v>
      </c>
      <c r="D1695" t="inlineStr">
        <is>
          <t>SKÅNE LÄN</t>
        </is>
      </c>
      <c r="E1695" t="inlineStr">
        <is>
          <t>ÖSTRA GÖINGE</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44527-2020</t>
        </is>
      </c>
      <c r="B1696" s="1" t="n">
        <v>44085</v>
      </c>
      <c r="C1696" s="1" t="n">
        <v>45190</v>
      </c>
      <c r="D1696" t="inlineStr">
        <is>
          <t>SKÅNE LÄN</t>
        </is>
      </c>
      <c r="E1696" t="inlineStr">
        <is>
          <t>HÄSSLEHOLM</t>
        </is>
      </c>
      <c r="F1696" t="inlineStr">
        <is>
          <t>Kommuner</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44698-2020</t>
        </is>
      </c>
      <c r="B1697" s="1" t="n">
        <v>44085</v>
      </c>
      <c r="C1697" s="1" t="n">
        <v>45190</v>
      </c>
      <c r="D1697" t="inlineStr">
        <is>
          <t>SKÅNE LÄN</t>
        </is>
      </c>
      <c r="E1697" t="inlineStr">
        <is>
          <t>ÖRKELLJUNGA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44515-2020</t>
        </is>
      </c>
      <c r="B1698" s="1" t="n">
        <v>44085</v>
      </c>
      <c r="C1698" s="1" t="n">
        <v>45190</v>
      </c>
      <c r="D1698" t="inlineStr">
        <is>
          <t>SKÅNE LÄN</t>
        </is>
      </c>
      <c r="E1698" t="inlineStr">
        <is>
          <t>OSBY</t>
        </is>
      </c>
      <c r="G1698" t="n">
        <v>8.6</v>
      </c>
      <c r="H1698" t="n">
        <v>0</v>
      </c>
      <c r="I1698" t="n">
        <v>0</v>
      </c>
      <c r="J1698" t="n">
        <v>0</v>
      </c>
      <c r="K1698" t="n">
        <v>0</v>
      </c>
      <c r="L1698" t="n">
        <v>0</v>
      </c>
      <c r="M1698" t="n">
        <v>0</v>
      </c>
      <c r="N1698" t="n">
        <v>0</v>
      </c>
      <c r="O1698" t="n">
        <v>0</v>
      </c>
      <c r="P1698" t="n">
        <v>0</v>
      </c>
      <c r="Q1698" t="n">
        <v>0</v>
      </c>
      <c r="R1698" s="2" t="inlineStr"/>
    </row>
    <row r="1699" ht="15" customHeight="1">
      <c r="A1699" t="inlineStr">
        <is>
          <t>A 44651-2020</t>
        </is>
      </c>
      <c r="B1699" s="1" t="n">
        <v>44085</v>
      </c>
      <c r="C1699" s="1" t="n">
        <v>45190</v>
      </c>
      <c r="D1699" t="inlineStr">
        <is>
          <t>SKÅNE LÄN</t>
        </is>
      </c>
      <c r="E1699" t="inlineStr">
        <is>
          <t>OSBY</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44704-2020</t>
        </is>
      </c>
      <c r="B1700" s="1" t="n">
        <v>44085</v>
      </c>
      <c r="C1700" s="1" t="n">
        <v>45190</v>
      </c>
      <c r="D1700" t="inlineStr">
        <is>
          <t>SKÅNE LÄN</t>
        </is>
      </c>
      <c r="E1700" t="inlineStr">
        <is>
          <t>ÖRKELLJUNGA</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44717-2020</t>
        </is>
      </c>
      <c r="B1701" s="1" t="n">
        <v>44085</v>
      </c>
      <c r="C1701" s="1" t="n">
        <v>45190</v>
      </c>
      <c r="D1701" t="inlineStr">
        <is>
          <t>SKÅNE LÄN</t>
        </is>
      </c>
      <c r="E1701" t="inlineStr">
        <is>
          <t>BROMÖLLA</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45138-2020</t>
        </is>
      </c>
      <c r="B1702" s="1" t="n">
        <v>44088</v>
      </c>
      <c r="C1702" s="1" t="n">
        <v>45190</v>
      </c>
      <c r="D1702" t="inlineStr">
        <is>
          <t>SKÅNE LÄN</t>
        </is>
      </c>
      <c r="E1702" t="inlineStr">
        <is>
          <t>OSBY</t>
        </is>
      </c>
      <c r="G1702" t="n">
        <v>10.4</v>
      </c>
      <c r="H1702" t="n">
        <v>0</v>
      </c>
      <c r="I1702" t="n">
        <v>0</v>
      </c>
      <c r="J1702" t="n">
        <v>0</v>
      </c>
      <c r="K1702" t="n">
        <v>0</v>
      </c>
      <c r="L1702" t="n">
        <v>0</v>
      </c>
      <c r="M1702" t="n">
        <v>0</v>
      </c>
      <c r="N1702" t="n">
        <v>0</v>
      </c>
      <c r="O1702" t="n">
        <v>0</v>
      </c>
      <c r="P1702" t="n">
        <v>0</v>
      </c>
      <c r="Q1702" t="n">
        <v>0</v>
      </c>
      <c r="R1702" s="2" t="inlineStr"/>
    </row>
    <row r="1703" ht="15" customHeight="1">
      <c r="A1703" t="inlineStr">
        <is>
          <t>A 45555-2020</t>
        </is>
      </c>
      <c r="B1703" s="1" t="n">
        <v>44089</v>
      </c>
      <c r="C1703" s="1" t="n">
        <v>45190</v>
      </c>
      <c r="D1703" t="inlineStr">
        <is>
          <t>SKÅNE LÄN</t>
        </is>
      </c>
      <c r="E1703" t="inlineStr">
        <is>
          <t>HÄSSLEHOLM</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46619-2020</t>
        </is>
      </c>
      <c r="B1704" s="1" t="n">
        <v>44089</v>
      </c>
      <c r="C1704" s="1" t="n">
        <v>45190</v>
      </c>
      <c r="D1704" t="inlineStr">
        <is>
          <t>SKÅNE LÄN</t>
        </is>
      </c>
      <c r="E1704" t="inlineStr">
        <is>
          <t>OSBY</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45632-2020</t>
        </is>
      </c>
      <c r="B1705" s="1" t="n">
        <v>44090</v>
      </c>
      <c r="C1705" s="1" t="n">
        <v>45190</v>
      </c>
      <c r="D1705" t="inlineStr">
        <is>
          <t>SKÅNE LÄN</t>
        </is>
      </c>
      <c r="E1705" t="inlineStr">
        <is>
          <t>ÖSTRA GÖINGE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46125-2020</t>
        </is>
      </c>
      <c r="B1706" s="1" t="n">
        <v>44091</v>
      </c>
      <c r="C1706" s="1" t="n">
        <v>45190</v>
      </c>
      <c r="D1706" t="inlineStr">
        <is>
          <t>SKÅNE LÄN</t>
        </is>
      </c>
      <c r="E1706" t="inlineStr">
        <is>
          <t>HÄSSLEHOLM</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46145-2020</t>
        </is>
      </c>
      <c r="B1707" s="1" t="n">
        <v>44091</v>
      </c>
      <c r="C1707" s="1" t="n">
        <v>45190</v>
      </c>
      <c r="D1707" t="inlineStr">
        <is>
          <t>SKÅNE LÄN</t>
        </is>
      </c>
      <c r="E1707" t="inlineStr">
        <is>
          <t>HÄSSLEHOLM</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45882-2020</t>
        </is>
      </c>
      <c r="B1708" s="1" t="n">
        <v>44091</v>
      </c>
      <c r="C1708" s="1" t="n">
        <v>45190</v>
      </c>
      <c r="D1708" t="inlineStr">
        <is>
          <t>SKÅNE LÄN</t>
        </is>
      </c>
      <c r="E1708" t="inlineStr">
        <is>
          <t>ÖRKELLJUNGA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46465-2020</t>
        </is>
      </c>
      <c r="B1709" s="1" t="n">
        <v>44092</v>
      </c>
      <c r="C1709" s="1" t="n">
        <v>45190</v>
      </c>
      <c r="D1709" t="inlineStr">
        <is>
          <t>SKÅNE LÄN</t>
        </is>
      </c>
      <c r="E1709" t="inlineStr">
        <is>
          <t>ÖSTRA GÖINGE</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46480-2020</t>
        </is>
      </c>
      <c r="B1710" s="1" t="n">
        <v>44092</v>
      </c>
      <c r="C1710" s="1" t="n">
        <v>45190</v>
      </c>
      <c r="D1710" t="inlineStr">
        <is>
          <t>SKÅNE LÄN</t>
        </is>
      </c>
      <c r="E1710" t="inlineStr">
        <is>
          <t>ÖSTRA GÖINGE</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46170-2020</t>
        </is>
      </c>
      <c r="B1711" s="1" t="n">
        <v>44092</v>
      </c>
      <c r="C1711" s="1" t="n">
        <v>45190</v>
      </c>
      <c r="D1711" t="inlineStr">
        <is>
          <t>SKÅNE LÄN</t>
        </is>
      </c>
      <c r="E1711" t="inlineStr">
        <is>
          <t>OSBY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46515-2020</t>
        </is>
      </c>
      <c r="B1712" s="1" t="n">
        <v>44092</v>
      </c>
      <c r="C1712" s="1" t="n">
        <v>45190</v>
      </c>
      <c r="D1712" t="inlineStr">
        <is>
          <t>SKÅNE LÄN</t>
        </is>
      </c>
      <c r="E1712" t="inlineStr">
        <is>
          <t>ÖSTRA GÖINGE</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46172-2020</t>
        </is>
      </c>
      <c r="B1713" s="1" t="n">
        <v>44092</v>
      </c>
      <c r="C1713" s="1" t="n">
        <v>45190</v>
      </c>
      <c r="D1713" t="inlineStr">
        <is>
          <t>SKÅNE LÄN</t>
        </is>
      </c>
      <c r="E1713" t="inlineStr">
        <is>
          <t>OSBY</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46452-2020</t>
        </is>
      </c>
      <c r="B1714" s="1" t="n">
        <v>44092</v>
      </c>
      <c r="C1714" s="1" t="n">
        <v>45190</v>
      </c>
      <c r="D1714" t="inlineStr">
        <is>
          <t>SKÅNE LÄN</t>
        </is>
      </c>
      <c r="E1714" t="inlineStr">
        <is>
          <t>ÖSTRA GÖINGE</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46472-2020</t>
        </is>
      </c>
      <c r="B1715" s="1" t="n">
        <v>44092</v>
      </c>
      <c r="C1715" s="1" t="n">
        <v>45190</v>
      </c>
      <c r="D1715" t="inlineStr">
        <is>
          <t>SKÅNE LÄN</t>
        </is>
      </c>
      <c r="E1715" t="inlineStr">
        <is>
          <t>ÖSTRA GÖINGE</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46606-2020</t>
        </is>
      </c>
      <c r="B1716" s="1" t="n">
        <v>44092</v>
      </c>
      <c r="C1716" s="1" t="n">
        <v>45190</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46476-2020</t>
        </is>
      </c>
      <c r="B1717" s="1" t="n">
        <v>44092</v>
      </c>
      <c r="C1717" s="1" t="n">
        <v>45190</v>
      </c>
      <c r="D1717" t="inlineStr">
        <is>
          <t>SKÅNE LÄN</t>
        </is>
      </c>
      <c r="E1717" t="inlineStr">
        <is>
          <t>ÖSTRA GÖINGE</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46609-2020</t>
        </is>
      </c>
      <c r="B1718" s="1" t="n">
        <v>44092</v>
      </c>
      <c r="C1718" s="1" t="n">
        <v>45190</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47594-2020</t>
        </is>
      </c>
      <c r="B1719" s="1" t="n">
        <v>44095</v>
      </c>
      <c r="C1719" s="1" t="n">
        <v>45190</v>
      </c>
      <c r="D1719" t="inlineStr">
        <is>
          <t>SKÅNE LÄN</t>
        </is>
      </c>
      <c r="E1719" t="inlineStr">
        <is>
          <t>KRISTIANSTAD</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47715-2020</t>
        </is>
      </c>
      <c r="B1720" s="1" t="n">
        <v>44095</v>
      </c>
      <c r="C1720" s="1" t="n">
        <v>45190</v>
      </c>
      <c r="D1720" t="inlineStr">
        <is>
          <t>SKÅNE LÄN</t>
        </is>
      </c>
      <c r="E1720" t="inlineStr">
        <is>
          <t>KRISTIANSTAD</t>
        </is>
      </c>
      <c r="G1720" t="n">
        <v>9.1</v>
      </c>
      <c r="H1720" t="n">
        <v>0</v>
      </c>
      <c r="I1720" t="n">
        <v>0</v>
      </c>
      <c r="J1720" t="n">
        <v>0</v>
      </c>
      <c r="K1720" t="n">
        <v>0</v>
      </c>
      <c r="L1720" t="n">
        <v>0</v>
      </c>
      <c r="M1720" t="n">
        <v>0</v>
      </c>
      <c r="N1720" t="n">
        <v>0</v>
      </c>
      <c r="O1720" t="n">
        <v>0</v>
      </c>
      <c r="P1720" t="n">
        <v>0</v>
      </c>
      <c r="Q1720" t="n">
        <v>0</v>
      </c>
      <c r="R1720" s="2" t="inlineStr"/>
    </row>
    <row r="1721" ht="15" customHeight="1">
      <c r="A1721" t="inlineStr">
        <is>
          <t>A 47613-2020</t>
        </is>
      </c>
      <c r="B1721" s="1" t="n">
        <v>44095</v>
      </c>
      <c r="C1721" s="1" t="n">
        <v>45190</v>
      </c>
      <c r="D1721" t="inlineStr">
        <is>
          <t>SKÅNE LÄN</t>
        </is>
      </c>
      <c r="E1721" t="inlineStr">
        <is>
          <t>KRISTIANSTAD</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46479-2020</t>
        </is>
      </c>
      <c r="B1722" s="1" t="n">
        <v>44095</v>
      </c>
      <c r="C1722" s="1" t="n">
        <v>45190</v>
      </c>
      <c r="D1722" t="inlineStr">
        <is>
          <t>SKÅNE LÄN</t>
        </is>
      </c>
      <c r="E1722" t="inlineStr">
        <is>
          <t>HÄSSLEHOLM</t>
        </is>
      </c>
      <c r="F1722" t="inlineStr">
        <is>
          <t>Kyrkan</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47565-2020</t>
        </is>
      </c>
      <c r="B1723" s="1" t="n">
        <v>44095</v>
      </c>
      <c r="C1723" s="1" t="n">
        <v>45190</v>
      </c>
      <c r="D1723" t="inlineStr">
        <is>
          <t>SKÅNE LÄN</t>
        </is>
      </c>
      <c r="E1723" t="inlineStr">
        <is>
          <t>KRISTIANSTAD</t>
        </is>
      </c>
      <c r="G1723" t="n">
        <v>6.1</v>
      </c>
      <c r="H1723" t="n">
        <v>0</v>
      </c>
      <c r="I1723" t="n">
        <v>0</v>
      </c>
      <c r="J1723" t="n">
        <v>0</v>
      </c>
      <c r="K1723" t="n">
        <v>0</v>
      </c>
      <c r="L1723" t="n">
        <v>0</v>
      </c>
      <c r="M1723" t="n">
        <v>0</v>
      </c>
      <c r="N1723" t="n">
        <v>0</v>
      </c>
      <c r="O1723" t="n">
        <v>0</v>
      </c>
      <c r="P1723" t="n">
        <v>0</v>
      </c>
      <c r="Q1723" t="n">
        <v>0</v>
      </c>
      <c r="R1723" s="2" t="inlineStr"/>
    </row>
    <row r="1724" ht="15" customHeight="1">
      <c r="A1724" t="inlineStr">
        <is>
          <t>A 47693-2020</t>
        </is>
      </c>
      <c r="B1724" s="1" t="n">
        <v>44095</v>
      </c>
      <c r="C1724" s="1" t="n">
        <v>45190</v>
      </c>
      <c r="D1724" t="inlineStr">
        <is>
          <t>SKÅNE LÄN</t>
        </is>
      </c>
      <c r="E1724" t="inlineStr">
        <is>
          <t>KRISTIANSTAD</t>
        </is>
      </c>
      <c r="G1724" t="n">
        <v>5.7</v>
      </c>
      <c r="H1724" t="n">
        <v>0</v>
      </c>
      <c r="I1724" t="n">
        <v>0</v>
      </c>
      <c r="J1724" t="n">
        <v>0</v>
      </c>
      <c r="K1724" t="n">
        <v>0</v>
      </c>
      <c r="L1724" t="n">
        <v>0</v>
      </c>
      <c r="M1724" t="n">
        <v>0</v>
      </c>
      <c r="N1724" t="n">
        <v>0</v>
      </c>
      <c r="O1724" t="n">
        <v>0</v>
      </c>
      <c r="P1724" t="n">
        <v>0</v>
      </c>
      <c r="Q1724" t="n">
        <v>0</v>
      </c>
      <c r="R1724" s="2" t="inlineStr"/>
    </row>
    <row r="1725" ht="15" customHeight="1">
      <c r="A1725" t="inlineStr">
        <is>
          <t>A 47011-2020</t>
        </is>
      </c>
      <c r="B1725" s="1" t="n">
        <v>44096</v>
      </c>
      <c r="C1725" s="1" t="n">
        <v>45190</v>
      </c>
      <c r="D1725" t="inlineStr">
        <is>
          <t>SKÅNE LÄN</t>
        </is>
      </c>
      <c r="E1725" t="inlineStr">
        <is>
          <t>YSTAD</t>
        </is>
      </c>
      <c r="G1725" t="n">
        <v>12.4</v>
      </c>
      <c r="H1725" t="n">
        <v>0</v>
      </c>
      <c r="I1725" t="n">
        <v>0</v>
      </c>
      <c r="J1725" t="n">
        <v>0</v>
      </c>
      <c r="K1725" t="n">
        <v>0</v>
      </c>
      <c r="L1725" t="n">
        <v>0</v>
      </c>
      <c r="M1725" t="n">
        <v>0</v>
      </c>
      <c r="N1725" t="n">
        <v>0</v>
      </c>
      <c r="O1725" t="n">
        <v>0</v>
      </c>
      <c r="P1725" t="n">
        <v>0</v>
      </c>
      <c r="Q1725" t="n">
        <v>0</v>
      </c>
      <c r="R1725" s="2" t="inlineStr"/>
    </row>
    <row r="1726" ht="15" customHeight="1">
      <c r="A1726" t="inlineStr">
        <is>
          <t>A 47121-2020</t>
        </is>
      </c>
      <c r="B1726" s="1" t="n">
        <v>44096</v>
      </c>
      <c r="C1726" s="1" t="n">
        <v>45190</v>
      </c>
      <c r="D1726" t="inlineStr">
        <is>
          <t>SKÅNE LÄN</t>
        </is>
      </c>
      <c r="E1726" t="inlineStr">
        <is>
          <t>HÄSSLEHOLM</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47007-2020</t>
        </is>
      </c>
      <c r="B1727" s="1" t="n">
        <v>44096</v>
      </c>
      <c r="C1727" s="1" t="n">
        <v>45190</v>
      </c>
      <c r="D1727" t="inlineStr">
        <is>
          <t>SKÅNE LÄN</t>
        </is>
      </c>
      <c r="E1727" t="inlineStr">
        <is>
          <t>HÄSSLEHOLM</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48397-2020</t>
        </is>
      </c>
      <c r="B1728" s="1" t="n">
        <v>44097</v>
      </c>
      <c r="C1728" s="1" t="n">
        <v>45190</v>
      </c>
      <c r="D1728" t="inlineStr">
        <is>
          <t>SKÅNE LÄN</t>
        </is>
      </c>
      <c r="E1728" t="inlineStr">
        <is>
          <t>HÄSSLEHOLM</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47245-2020</t>
        </is>
      </c>
      <c r="B1729" s="1" t="n">
        <v>44097</v>
      </c>
      <c r="C1729" s="1" t="n">
        <v>45190</v>
      </c>
      <c r="D1729" t="inlineStr">
        <is>
          <t>SKÅNE LÄN</t>
        </is>
      </c>
      <c r="E1729" t="inlineStr">
        <is>
          <t>KLIPPAN</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47283-2020</t>
        </is>
      </c>
      <c r="B1730" s="1" t="n">
        <v>44097</v>
      </c>
      <c r="C1730" s="1" t="n">
        <v>45190</v>
      </c>
      <c r="D1730" t="inlineStr">
        <is>
          <t>SKÅNE LÄN</t>
        </is>
      </c>
      <c r="E1730" t="inlineStr">
        <is>
          <t>HÄSSLEHOLM</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47531-2020</t>
        </is>
      </c>
      <c r="B1731" s="1" t="n">
        <v>44098</v>
      </c>
      <c r="C1731" s="1" t="n">
        <v>45190</v>
      </c>
      <c r="D1731" t="inlineStr">
        <is>
          <t>SKÅNE LÄN</t>
        </is>
      </c>
      <c r="E1731" t="inlineStr">
        <is>
          <t>HÄSSLEHOLM</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47566-2020</t>
        </is>
      </c>
      <c r="B1732" s="1" t="n">
        <v>44098</v>
      </c>
      <c r="C1732" s="1" t="n">
        <v>45190</v>
      </c>
      <c r="D1732" t="inlineStr">
        <is>
          <t>SKÅNE LÄN</t>
        </is>
      </c>
      <c r="E1732" t="inlineStr">
        <is>
          <t>ÄNGELHOLM</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47521-2020</t>
        </is>
      </c>
      <c r="B1733" s="1" t="n">
        <v>44098</v>
      </c>
      <c r="C1733" s="1" t="n">
        <v>45190</v>
      </c>
      <c r="D1733" t="inlineStr">
        <is>
          <t>SKÅNE LÄN</t>
        </is>
      </c>
      <c r="E1733" t="inlineStr">
        <is>
          <t>HÄSSLEHOLM</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48627-2020</t>
        </is>
      </c>
      <c r="B1734" s="1" t="n">
        <v>44098</v>
      </c>
      <c r="C1734" s="1" t="n">
        <v>45190</v>
      </c>
      <c r="D1734" t="inlineStr">
        <is>
          <t>SKÅNE LÄN</t>
        </is>
      </c>
      <c r="E1734" t="inlineStr">
        <is>
          <t>KLIPPAN</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47931-2020</t>
        </is>
      </c>
      <c r="B1735" s="1" t="n">
        <v>44099</v>
      </c>
      <c r="C1735" s="1" t="n">
        <v>45190</v>
      </c>
      <c r="D1735" t="inlineStr">
        <is>
          <t>SKÅNE LÄN</t>
        </is>
      </c>
      <c r="E1735" t="inlineStr">
        <is>
          <t>ÖSTRA GÖINGE</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47925-2020</t>
        </is>
      </c>
      <c r="B1736" s="1" t="n">
        <v>44099</v>
      </c>
      <c r="C1736" s="1" t="n">
        <v>45190</v>
      </c>
      <c r="D1736" t="inlineStr">
        <is>
          <t>SKÅNE LÄN</t>
        </is>
      </c>
      <c r="E1736" t="inlineStr">
        <is>
          <t>ÖSTRA GÖINGE</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48212-2020</t>
        </is>
      </c>
      <c r="B1737" s="1" t="n">
        <v>44102</v>
      </c>
      <c r="C1737" s="1" t="n">
        <v>45190</v>
      </c>
      <c r="D1737" t="inlineStr">
        <is>
          <t>SKÅNE LÄN</t>
        </is>
      </c>
      <c r="E1737" t="inlineStr">
        <is>
          <t>HÄSSLEHOLM</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48295-2020</t>
        </is>
      </c>
      <c r="B1738" s="1" t="n">
        <v>44102</v>
      </c>
      <c r="C1738" s="1" t="n">
        <v>45190</v>
      </c>
      <c r="D1738" t="inlineStr">
        <is>
          <t>SKÅNE LÄN</t>
        </is>
      </c>
      <c r="E1738" t="inlineStr">
        <is>
          <t>LUND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48223-2020</t>
        </is>
      </c>
      <c r="B1739" s="1" t="n">
        <v>44102</v>
      </c>
      <c r="C1739" s="1" t="n">
        <v>45190</v>
      </c>
      <c r="D1739" t="inlineStr">
        <is>
          <t>SKÅNE LÄN</t>
        </is>
      </c>
      <c r="E1739" t="inlineStr">
        <is>
          <t>OSBY</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48412-2020</t>
        </is>
      </c>
      <c r="B1740" s="1" t="n">
        <v>44102</v>
      </c>
      <c r="C1740" s="1" t="n">
        <v>45190</v>
      </c>
      <c r="D1740" t="inlineStr">
        <is>
          <t>SKÅNE LÄN</t>
        </is>
      </c>
      <c r="E1740" t="inlineStr">
        <is>
          <t>OSBY</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48792-2020</t>
        </is>
      </c>
      <c r="B1741" s="1" t="n">
        <v>44103</v>
      </c>
      <c r="C1741" s="1" t="n">
        <v>45190</v>
      </c>
      <c r="D1741" t="inlineStr">
        <is>
          <t>SKÅNE LÄN</t>
        </is>
      </c>
      <c r="E1741" t="inlineStr">
        <is>
          <t>HÄSSLEHOLM</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49786-2020</t>
        </is>
      </c>
      <c r="B1742" s="1" t="n">
        <v>44103</v>
      </c>
      <c r="C1742" s="1" t="n">
        <v>45190</v>
      </c>
      <c r="D1742" t="inlineStr">
        <is>
          <t>SKÅNE LÄN</t>
        </is>
      </c>
      <c r="E1742" t="inlineStr">
        <is>
          <t>HÄSSLEHOLM</t>
        </is>
      </c>
      <c r="G1742" t="n">
        <v>0.3</v>
      </c>
      <c r="H1742" t="n">
        <v>0</v>
      </c>
      <c r="I1742" t="n">
        <v>0</v>
      </c>
      <c r="J1742" t="n">
        <v>0</v>
      </c>
      <c r="K1742" t="n">
        <v>0</v>
      </c>
      <c r="L1742" t="n">
        <v>0</v>
      </c>
      <c r="M1742" t="n">
        <v>0</v>
      </c>
      <c r="N1742" t="n">
        <v>0</v>
      </c>
      <c r="O1742" t="n">
        <v>0</v>
      </c>
      <c r="P1742" t="n">
        <v>0</v>
      </c>
      <c r="Q1742" t="n">
        <v>0</v>
      </c>
      <c r="R1742" s="2" t="inlineStr"/>
    </row>
    <row r="1743" ht="15" customHeight="1">
      <c r="A1743" t="inlineStr">
        <is>
          <t>A 49132-2020</t>
        </is>
      </c>
      <c r="B1743" s="1" t="n">
        <v>44104</v>
      </c>
      <c r="C1743" s="1" t="n">
        <v>45190</v>
      </c>
      <c r="D1743" t="inlineStr">
        <is>
          <t>SKÅNE LÄN</t>
        </is>
      </c>
      <c r="E1743" t="inlineStr">
        <is>
          <t>ÖSTRA GÖINGE</t>
        </is>
      </c>
      <c r="G1743" t="n">
        <v>8.800000000000001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49389-2020</t>
        </is>
      </c>
      <c r="B1744" s="1" t="n">
        <v>44105</v>
      </c>
      <c r="C1744" s="1" t="n">
        <v>45190</v>
      </c>
      <c r="D1744" t="inlineStr">
        <is>
          <t>SKÅNE LÄN</t>
        </is>
      </c>
      <c r="E1744" t="inlineStr">
        <is>
          <t>HÄSSLEHOLM</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49823-2020</t>
        </is>
      </c>
      <c r="B1745" s="1" t="n">
        <v>44106</v>
      </c>
      <c r="C1745" s="1" t="n">
        <v>45190</v>
      </c>
      <c r="D1745" t="inlineStr">
        <is>
          <t>SKÅNE LÄN</t>
        </is>
      </c>
      <c r="E1745" t="inlineStr">
        <is>
          <t>OSBY</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49577-2020</t>
        </is>
      </c>
      <c r="B1746" s="1" t="n">
        <v>44106</v>
      </c>
      <c r="C1746" s="1" t="n">
        <v>45190</v>
      </c>
      <c r="D1746" t="inlineStr">
        <is>
          <t>SKÅNE LÄN</t>
        </is>
      </c>
      <c r="E1746" t="inlineStr">
        <is>
          <t>ÖRKELLJUNGA</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49865-2020</t>
        </is>
      </c>
      <c r="B1747" s="1" t="n">
        <v>44107</v>
      </c>
      <c r="C1747" s="1" t="n">
        <v>45190</v>
      </c>
      <c r="D1747" t="inlineStr">
        <is>
          <t>SKÅNE LÄN</t>
        </is>
      </c>
      <c r="E1747" t="inlineStr">
        <is>
          <t>HÄSSLEHOLM</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51470-2020</t>
        </is>
      </c>
      <c r="B1748" s="1" t="n">
        <v>44109</v>
      </c>
      <c r="C1748" s="1" t="n">
        <v>45190</v>
      </c>
      <c r="D1748" t="inlineStr">
        <is>
          <t>SKÅNE LÄN</t>
        </is>
      </c>
      <c r="E1748" t="inlineStr">
        <is>
          <t>ÖRKELLJUNGA</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50046-2020</t>
        </is>
      </c>
      <c r="B1749" s="1" t="n">
        <v>44109</v>
      </c>
      <c r="C1749" s="1" t="n">
        <v>45190</v>
      </c>
      <c r="D1749" t="inlineStr">
        <is>
          <t>SKÅNE LÄN</t>
        </is>
      </c>
      <c r="E1749" t="inlineStr">
        <is>
          <t>HÄSSLEHOLM</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50185-2020</t>
        </is>
      </c>
      <c r="B1750" s="1" t="n">
        <v>44109</v>
      </c>
      <c r="C1750" s="1" t="n">
        <v>45190</v>
      </c>
      <c r="D1750" t="inlineStr">
        <is>
          <t>SKÅNE LÄN</t>
        </is>
      </c>
      <c r="E1750" t="inlineStr">
        <is>
          <t>HÖÖR</t>
        </is>
      </c>
      <c r="G1750" t="n">
        <v>6.7</v>
      </c>
      <c r="H1750" t="n">
        <v>0</v>
      </c>
      <c r="I1750" t="n">
        <v>0</v>
      </c>
      <c r="J1750" t="n">
        <v>0</v>
      </c>
      <c r="K1750" t="n">
        <v>0</v>
      </c>
      <c r="L1750" t="n">
        <v>0</v>
      </c>
      <c r="M1750" t="n">
        <v>0</v>
      </c>
      <c r="N1750" t="n">
        <v>0</v>
      </c>
      <c r="O1750" t="n">
        <v>0</v>
      </c>
      <c r="P1750" t="n">
        <v>0</v>
      </c>
      <c r="Q1750" t="n">
        <v>0</v>
      </c>
      <c r="R1750" s="2" t="inlineStr"/>
    </row>
    <row r="1751" ht="15" customHeight="1">
      <c r="A1751" t="inlineStr">
        <is>
          <t>A 51939-2020</t>
        </is>
      </c>
      <c r="B1751" s="1" t="n">
        <v>44109</v>
      </c>
      <c r="C1751" s="1" t="n">
        <v>45190</v>
      </c>
      <c r="D1751" t="inlineStr">
        <is>
          <t>SKÅNE LÄN</t>
        </is>
      </c>
      <c r="E1751" t="inlineStr">
        <is>
          <t>KLIPPAN</t>
        </is>
      </c>
      <c r="F1751" t="inlineStr">
        <is>
          <t>Övriga Aktiebolag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51463-2020</t>
        </is>
      </c>
      <c r="B1752" s="1" t="n">
        <v>44109</v>
      </c>
      <c r="C1752" s="1" t="n">
        <v>45190</v>
      </c>
      <c r="D1752" t="inlineStr">
        <is>
          <t>SKÅNE LÄN</t>
        </is>
      </c>
      <c r="E1752" t="inlineStr">
        <is>
          <t>ÖRKELLJUNGA</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50039-2020</t>
        </is>
      </c>
      <c r="B1753" s="1" t="n">
        <v>44109</v>
      </c>
      <c r="C1753" s="1" t="n">
        <v>45190</v>
      </c>
      <c r="D1753" t="inlineStr">
        <is>
          <t>SKÅNE LÄN</t>
        </is>
      </c>
      <c r="E1753" t="inlineStr">
        <is>
          <t>ÖSTRA GÖINGE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50372-2020</t>
        </is>
      </c>
      <c r="B1754" s="1" t="n">
        <v>44110</v>
      </c>
      <c r="C1754" s="1" t="n">
        <v>45190</v>
      </c>
      <c r="D1754" t="inlineStr">
        <is>
          <t>SKÅNE LÄN</t>
        </is>
      </c>
      <c r="E1754" t="inlineStr">
        <is>
          <t>HÄSSLEHOLM</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51052-2020</t>
        </is>
      </c>
      <c r="B1755" s="1" t="n">
        <v>44112</v>
      </c>
      <c r="C1755" s="1" t="n">
        <v>45190</v>
      </c>
      <c r="D1755" t="inlineStr">
        <is>
          <t>SKÅNE LÄN</t>
        </is>
      </c>
      <c r="E1755" t="inlineStr">
        <is>
          <t>KLIPPAN</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52383-2020</t>
        </is>
      </c>
      <c r="B1756" s="1" t="n">
        <v>44112</v>
      </c>
      <c r="C1756" s="1" t="n">
        <v>45190</v>
      </c>
      <c r="D1756" t="inlineStr">
        <is>
          <t>SKÅNE LÄN</t>
        </is>
      </c>
      <c r="E1756" t="inlineStr">
        <is>
          <t>KRISTIANSTAD</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51046-2020</t>
        </is>
      </c>
      <c r="B1757" s="1" t="n">
        <v>44112</v>
      </c>
      <c r="C1757" s="1" t="n">
        <v>45190</v>
      </c>
      <c r="D1757" t="inlineStr">
        <is>
          <t>SKÅNE LÄN</t>
        </is>
      </c>
      <c r="E1757" t="inlineStr">
        <is>
          <t>KLIPPAN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51588-2020</t>
        </is>
      </c>
      <c r="B1758" s="1" t="n">
        <v>44113</v>
      </c>
      <c r="C1758" s="1" t="n">
        <v>45190</v>
      </c>
      <c r="D1758" t="inlineStr">
        <is>
          <t>SKÅNE LÄN</t>
        </is>
      </c>
      <c r="E1758" t="inlineStr">
        <is>
          <t>OSBY</t>
        </is>
      </c>
      <c r="G1758" t="n">
        <v>5.9</v>
      </c>
      <c r="H1758" t="n">
        <v>0</v>
      </c>
      <c r="I1758" t="n">
        <v>0</v>
      </c>
      <c r="J1758" t="n">
        <v>0</v>
      </c>
      <c r="K1758" t="n">
        <v>0</v>
      </c>
      <c r="L1758" t="n">
        <v>0</v>
      </c>
      <c r="M1758" t="n">
        <v>0</v>
      </c>
      <c r="N1758" t="n">
        <v>0</v>
      </c>
      <c r="O1758" t="n">
        <v>0</v>
      </c>
      <c r="P1758" t="n">
        <v>0</v>
      </c>
      <c r="Q1758" t="n">
        <v>0</v>
      </c>
      <c r="R1758" s="2" t="inlineStr"/>
    </row>
    <row r="1759" ht="15" customHeight="1">
      <c r="A1759" t="inlineStr">
        <is>
          <t>A 51576-2020</t>
        </is>
      </c>
      <c r="B1759" s="1" t="n">
        <v>44113</v>
      </c>
      <c r="C1759" s="1" t="n">
        <v>45190</v>
      </c>
      <c r="D1759" t="inlineStr">
        <is>
          <t>SKÅNE LÄN</t>
        </is>
      </c>
      <c r="E1759" t="inlineStr">
        <is>
          <t>OSBY</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51844-2020</t>
        </is>
      </c>
      <c r="B1760" s="1" t="n">
        <v>44116</v>
      </c>
      <c r="C1760" s="1" t="n">
        <v>45190</v>
      </c>
      <c r="D1760" t="inlineStr">
        <is>
          <t>SKÅNE LÄN</t>
        </is>
      </c>
      <c r="E1760" t="inlineStr">
        <is>
          <t>HÖÖR</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52496-2020</t>
        </is>
      </c>
      <c r="B1761" s="1" t="n">
        <v>44116</v>
      </c>
      <c r="C1761" s="1" t="n">
        <v>45190</v>
      </c>
      <c r="D1761" t="inlineStr">
        <is>
          <t>SKÅNE LÄN</t>
        </is>
      </c>
      <c r="E1761" t="inlineStr">
        <is>
          <t>TOMELILLA</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52561-2020</t>
        </is>
      </c>
      <c r="B1762" s="1" t="n">
        <v>44116</v>
      </c>
      <c r="C1762" s="1" t="n">
        <v>45190</v>
      </c>
      <c r="D1762" t="inlineStr">
        <is>
          <t>SKÅNE LÄN</t>
        </is>
      </c>
      <c r="E1762" t="inlineStr">
        <is>
          <t>HÄSSLEHOLM</t>
        </is>
      </c>
      <c r="G1762" t="n">
        <v>6</v>
      </c>
      <c r="H1762" t="n">
        <v>0</v>
      </c>
      <c r="I1762" t="n">
        <v>0</v>
      </c>
      <c r="J1762" t="n">
        <v>0</v>
      </c>
      <c r="K1762" t="n">
        <v>0</v>
      </c>
      <c r="L1762" t="n">
        <v>0</v>
      </c>
      <c r="M1762" t="n">
        <v>0</v>
      </c>
      <c r="N1762" t="n">
        <v>0</v>
      </c>
      <c r="O1762" t="n">
        <v>0</v>
      </c>
      <c r="P1762" t="n">
        <v>0</v>
      </c>
      <c r="Q1762" t="n">
        <v>0</v>
      </c>
      <c r="R1762" s="2" t="inlineStr"/>
    </row>
    <row r="1763" ht="15" customHeight="1">
      <c r="A1763" t="inlineStr">
        <is>
          <t>A 51857-2020</t>
        </is>
      </c>
      <c r="B1763" s="1" t="n">
        <v>44116</v>
      </c>
      <c r="C1763" s="1" t="n">
        <v>45190</v>
      </c>
      <c r="D1763" t="inlineStr">
        <is>
          <t>SKÅNE LÄN</t>
        </is>
      </c>
      <c r="E1763" t="inlineStr">
        <is>
          <t>HÖÖR</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52708-2020</t>
        </is>
      </c>
      <c r="B1764" s="1" t="n">
        <v>44116</v>
      </c>
      <c r="C1764" s="1" t="n">
        <v>45190</v>
      </c>
      <c r="D1764" t="inlineStr">
        <is>
          <t>SKÅNE LÄN</t>
        </is>
      </c>
      <c r="E1764" t="inlineStr">
        <is>
          <t>HÖÖR</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52023-2020</t>
        </is>
      </c>
      <c r="B1765" s="1" t="n">
        <v>44116</v>
      </c>
      <c r="C1765" s="1" t="n">
        <v>45190</v>
      </c>
      <c r="D1765" t="inlineStr">
        <is>
          <t>SKÅNE LÄN</t>
        </is>
      </c>
      <c r="E1765" t="inlineStr">
        <is>
          <t>TOMELILLA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52266-2020</t>
        </is>
      </c>
      <c r="B1766" s="1" t="n">
        <v>44117</v>
      </c>
      <c r="C1766" s="1" t="n">
        <v>45190</v>
      </c>
      <c r="D1766" t="inlineStr">
        <is>
          <t>SKÅNE LÄN</t>
        </is>
      </c>
      <c r="E1766" t="inlineStr">
        <is>
          <t>HÖÖR</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52653-2020</t>
        </is>
      </c>
      <c r="B1767" s="1" t="n">
        <v>44117</v>
      </c>
      <c r="C1767" s="1" t="n">
        <v>45190</v>
      </c>
      <c r="D1767" t="inlineStr">
        <is>
          <t>SKÅNE LÄN</t>
        </is>
      </c>
      <c r="E1767" t="inlineStr">
        <is>
          <t>KLIPPAN</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52860-2020</t>
        </is>
      </c>
      <c r="B1768" s="1" t="n">
        <v>44119</v>
      </c>
      <c r="C1768" s="1" t="n">
        <v>45190</v>
      </c>
      <c r="D1768" t="inlineStr">
        <is>
          <t>SKÅNE LÄN</t>
        </is>
      </c>
      <c r="E1768" t="inlineStr">
        <is>
          <t>HÄSSLEHOLM</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52852-2020</t>
        </is>
      </c>
      <c r="B1769" s="1" t="n">
        <v>44119</v>
      </c>
      <c r="C1769" s="1" t="n">
        <v>45190</v>
      </c>
      <c r="D1769" t="inlineStr">
        <is>
          <t>SKÅNE LÄN</t>
        </is>
      </c>
      <c r="E1769" t="inlineStr">
        <is>
          <t>HÄSSLEHOLM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52863-2020</t>
        </is>
      </c>
      <c r="B1770" s="1" t="n">
        <v>44119</v>
      </c>
      <c r="C1770" s="1" t="n">
        <v>45190</v>
      </c>
      <c r="D1770" t="inlineStr">
        <is>
          <t>SKÅNE LÄN</t>
        </is>
      </c>
      <c r="E1770" t="inlineStr">
        <is>
          <t>HÄSSLEHOLM</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53159-2020</t>
        </is>
      </c>
      <c r="B1771" s="1" t="n">
        <v>44120</v>
      </c>
      <c r="C1771" s="1" t="n">
        <v>45190</v>
      </c>
      <c r="D1771" t="inlineStr">
        <is>
          <t>SKÅNE LÄN</t>
        </is>
      </c>
      <c r="E1771" t="inlineStr">
        <is>
          <t>OSBY</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53252-2020</t>
        </is>
      </c>
      <c r="B1772" s="1" t="n">
        <v>44123</v>
      </c>
      <c r="C1772" s="1" t="n">
        <v>45190</v>
      </c>
      <c r="D1772" t="inlineStr">
        <is>
          <t>SKÅNE LÄN</t>
        </is>
      </c>
      <c r="E1772" t="inlineStr">
        <is>
          <t>BROMÖLLA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53328-2020</t>
        </is>
      </c>
      <c r="B1773" s="1" t="n">
        <v>44123</v>
      </c>
      <c r="C1773" s="1" t="n">
        <v>45190</v>
      </c>
      <c r="D1773" t="inlineStr">
        <is>
          <t>SKÅNE LÄN</t>
        </is>
      </c>
      <c r="E1773" t="inlineStr">
        <is>
          <t>ÖSTRA GÖINGE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53656-2020</t>
        </is>
      </c>
      <c r="B1774" s="1" t="n">
        <v>44124</v>
      </c>
      <c r="C1774" s="1" t="n">
        <v>45190</v>
      </c>
      <c r="D1774" t="inlineStr">
        <is>
          <t>SKÅNE LÄN</t>
        </is>
      </c>
      <c r="E1774" t="inlineStr">
        <is>
          <t>OSBY</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54046-2020</t>
        </is>
      </c>
      <c r="B1775" s="1" t="n">
        <v>44125</v>
      </c>
      <c r="C1775" s="1" t="n">
        <v>45190</v>
      </c>
      <c r="D1775" t="inlineStr">
        <is>
          <t>SKÅNE LÄN</t>
        </is>
      </c>
      <c r="E1775" t="inlineStr">
        <is>
          <t>BROMÖLLA</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54363-2020</t>
        </is>
      </c>
      <c r="B1776" s="1" t="n">
        <v>44126</v>
      </c>
      <c r="C1776" s="1" t="n">
        <v>45190</v>
      </c>
      <c r="D1776" t="inlineStr">
        <is>
          <t>SKÅNE LÄN</t>
        </is>
      </c>
      <c r="E1776" t="inlineStr">
        <is>
          <t>HÄSSLEHOLM</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54359-2020</t>
        </is>
      </c>
      <c r="B1777" s="1" t="n">
        <v>44126</v>
      </c>
      <c r="C1777" s="1" t="n">
        <v>45190</v>
      </c>
      <c r="D1777" t="inlineStr">
        <is>
          <t>SKÅNE LÄN</t>
        </is>
      </c>
      <c r="E1777" t="inlineStr">
        <is>
          <t>HÄSSLEHOLM</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54365-2020</t>
        </is>
      </c>
      <c r="B1778" s="1" t="n">
        <v>44126</v>
      </c>
      <c r="C1778" s="1" t="n">
        <v>45190</v>
      </c>
      <c r="D1778" t="inlineStr">
        <is>
          <t>SKÅNE LÄN</t>
        </is>
      </c>
      <c r="E1778" t="inlineStr">
        <is>
          <t>HÄSSLEHOLM</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54544-2020</t>
        </is>
      </c>
      <c r="B1779" s="1" t="n">
        <v>44126</v>
      </c>
      <c r="C1779" s="1" t="n">
        <v>45190</v>
      </c>
      <c r="D1779" t="inlineStr">
        <is>
          <t>SKÅNE LÄN</t>
        </is>
      </c>
      <c r="E1779" t="inlineStr">
        <is>
          <t>OSBY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54362-2020</t>
        </is>
      </c>
      <c r="B1780" s="1" t="n">
        <v>44126</v>
      </c>
      <c r="C1780" s="1" t="n">
        <v>45190</v>
      </c>
      <c r="D1780" t="inlineStr">
        <is>
          <t>SKÅNE LÄN</t>
        </is>
      </c>
      <c r="E1780" t="inlineStr">
        <is>
          <t>HÄSSLEHOLM</t>
        </is>
      </c>
      <c r="G1780" t="n">
        <v>4.5</v>
      </c>
      <c r="H1780" t="n">
        <v>0</v>
      </c>
      <c r="I1780" t="n">
        <v>0</v>
      </c>
      <c r="J1780" t="n">
        <v>0</v>
      </c>
      <c r="K1780" t="n">
        <v>0</v>
      </c>
      <c r="L1780" t="n">
        <v>0</v>
      </c>
      <c r="M1780" t="n">
        <v>0</v>
      </c>
      <c r="N1780" t="n">
        <v>0</v>
      </c>
      <c r="O1780" t="n">
        <v>0</v>
      </c>
      <c r="P1780" t="n">
        <v>0</v>
      </c>
      <c r="Q1780" t="n">
        <v>0</v>
      </c>
      <c r="R1780" s="2" t="inlineStr"/>
    </row>
    <row r="1781" ht="15" customHeight="1">
      <c r="A1781" t="inlineStr">
        <is>
          <t>A 54374-2020</t>
        </is>
      </c>
      <c r="B1781" s="1" t="n">
        <v>44126</v>
      </c>
      <c r="C1781" s="1" t="n">
        <v>45190</v>
      </c>
      <c r="D1781" t="inlineStr">
        <is>
          <t>SKÅNE LÄN</t>
        </is>
      </c>
      <c r="E1781" t="inlineStr">
        <is>
          <t>HÄSSLEHOLM</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54493-2020</t>
        </is>
      </c>
      <c r="B1782" s="1" t="n">
        <v>44126</v>
      </c>
      <c r="C1782" s="1" t="n">
        <v>45190</v>
      </c>
      <c r="D1782" t="inlineStr">
        <is>
          <t>SKÅNE LÄN</t>
        </is>
      </c>
      <c r="E1782" t="inlineStr">
        <is>
          <t>HÄSSLEHOLM</t>
        </is>
      </c>
      <c r="F1782" t="inlineStr">
        <is>
          <t>Kyrkan</t>
        </is>
      </c>
      <c r="G1782" t="n">
        <v>4.4</v>
      </c>
      <c r="H1782" t="n">
        <v>0</v>
      </c>
      <c r="I1782" t="n">
        <v>0</v>
      </c>
      <c r="J1782" t="n">
        <v>0</v>
      </c>
      <c r="K1782" t="n">
        <v>0</v>
      </c>
      <c r="L1782" t="n">
        <v>0</v>
      </c>
      <c r="M1782" t="n">
        <v>0</v>
      </c>
      <c r="N1782" t="n">
        <v>0</v>
      </c>
      <c r="O1782" t="n">
        <v>0</v>
      </c>
      <c r="P1782" t="n">
        <v>0</v>
      </c>
      <c r="Q1782" t="n">
        <v>0</v>
      </c>
      <c r="R1782" s="2" t="inlineStr"/>
    </row>
    <row r="1783" ht="15" customHeight="1">
      <c r="A1783" t="inlineStr">
        <is>
          <t>A 54545-2020</t>
        </is>
      </c>
      <c r="B1783" s="1" t="n">
        <v>44126</v>
      </c>
      <c r="C1783" s="1" t="n">
        <v>45190</v>
      </c>
      <c r="D1783" t="inlineStr">
        <is>
          <t>SKÅNE LÄN</t>
        </is>
      </c>
      <c r="E1783" t="inlineStr">
        <is>
          <t>OSBY</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55066-2020</t>
        </is>
      </c>
      <c r="B1784" s="1" t="n">
        <v>44127</v>
      </c>
      <c r="C1784" s="1" t="n">
        <v>45190</v>
      </c>
      <c r="D1784" t="inlineStr">
        <is>
          <t>SKÅNE LÄN</t>
        </is>
      </c>
      <c r="E1784" t="inlineStr">
        <is>
          <t>YSTAD</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54937-2020</t>
        </is>
      </c>
      <c r="B1785" s="1" t="n">
        <v>44127</v>
      </c>
      <c r="C1785" s="1" t="n">
        <v>45190</v>
      </c>
      <c r="D1785" t="inlineStr">
        <is>
          <t>SKÅNE LÄN</t>
        </is>
      </c>
      <c r="E1785" t="inlineStr">
        <is>
          <t>SJÖBO</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54965-2020</t>
        </is>
      </c>
      <c r="B1786" s="1" t="n">
        <v>44130</v>
      </c>
      <c r="C1786" s="1" t="n">
        <v>45190</v>
      </c>
      <c r="D1786" t="inlineStr">
        <is>
          <t>SKÅNE LÄN</t>
        </is>
      </c>
      <c r="E1786" t="inlineStr">
        <is>
          <t>OSBY</t>
        </is>
      </c>
      <c r="G1786" t="n">
        <v>7.5</v>
      </c>
      <c r="H1786" t="n">
        <v>0</v>
      </c>
      <c r="I1786" t="n">
        <v>0</v>
      </c>
      <c r="J1786" t="n">
        <v>0</v>
      </c>
      <c r="K1786" t="n">
        <v>0</v>
      </c>
      <c r="L1786" t="n">
        <v>0</v>
      </c>
      <c r="M1786" t="n">
        <v>0</v>
      </c>
      <c r="N1786" t="n">
        <v>0</v>
      </c>
      <c r="O1786" t="n">
        <v>0</v>
      </c>
      <c r="P1786" t="n">
        <v>0</v>
      </c>
      <c r="Q1786" t="n">
        <v>0</v>
      </c>
      <c r="R1786" s="2" t="inlineStr"/>
    </row>
    <row r="1787" ht="15" customHeight="1">
      <c r="A1787" t="inlineStr">
        <is>
          <t>A 55636-2020</t>
        </is>
      </c>
      <c r="B1787" s="1" t="n">
        <v>44131</v>
      </c>
      <c r="C1787" s="1" t="n">
        <v>45190</v>
      </c>
      <c r="D1787" t="inlineStr">
        <is>
          <t>SKÅNE LÄN</t>
        </is>
      </c>
      <c r="E1787" t="inlineStr">
        <is>
          <t>HÖÖR</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55639-2020</t>
        </is>
      </c>
      <c r="B1788" s="1" t="n">
        <v>44131</v>
      </c>
      <c r="C1788" s="1" t="n">
        <v>45190</v>
      </c>
      <c r="D1788" t="inlineStr">
        <is>
          <t>SKÅNE LÄN</t>
        </is>
      </c>
      <c r="E1788" t="inlineStr">
        <is>
          <t>HÖÖR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55638-2020</t>
        </is>
      </c>
      <c r="B1789" s="1" t="n">
        <v>44131</v>
      </c>
      <c r="C1789" s="1" t="n">
        <v>45190</v>
      </c>
      <c r="D1789" t="inlineStr">
        <is>
          <t>SKÅNE LÄN</t>
        </is>
      </c>
      <c r="E1789" t="inlineStr">
        <is>
          <t>HÖÖR</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56462-2020</t>
        </is>
      </c>
      <c r="B1790" s="1" t="n">
        <v>44133</v>
      </c>
      <c r="C1790" s="1" t="n">
        <v>45190</v>
      </c>
      <c r="D1790" t="inlineStr">
        <is>
          <t>SKÅNE LÄN</t>
        </is>
      </c>
      <c r="E1790" t="inlineStr">
        <is>
          <t>TOMELILLA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55979-2020</t>
        </is>
      </c>
      <c r="B1791" s="1" t="n">
        <v>44133</v>
      </c>
      <c r="C1791" s="1" t="n">
        <v>45190</v>
      </c>
      <c r="D1791" t="inlineStr">
        <is>
          <t>SKÅNE LÄN</t>
        </is>
      </c>
      <c r="E1791" t="inlineStr">
        <is>
          <t>KRISTIANSTAD</t>
        </is>
      </c>
      <c r="G1791" t="n">
        <v>5.4</v>
      </c>
      <c r="H1791" t="n">
        <v>0</v>
      </c>
      <c r="I1791" t="n">
        <v>0</v>
      </c>
      <c r="J1791" t="n">
        <v>0</v>
      </c>
      <c r="K1791" t="n">
        <v>0</v>
      </c>
      <c r="L1791" t="n">
        <v>0</v>
      </c>
      <c r="M1791" t="n">
        <v>0</v>
      </c>
      <c r="N1791" t="n">
        <v>0</v>
      </c>
      <c r="O1791" t="n">
        <v>0</v>
      </c>
      <c r="P1791" t="n">
        <v>0</v>
      </c>
      <c r="Q1791" t="n">
        <v>0</v>
      </c>
      <c r="R1791" s="2" t="inlineStr"/>
    </row>
    <row r="1792" ht="15" customHeight="1">
      <c r="A1792" t="inlineStr">
        <is>
          <t>A 56158-2020</t>
        </is>
      </c>
      <c r="B1792" s="1" t="n">
        <v>44133</v>
      </c>
      <c r="C1792" s="1" t="n">
        <v>45190</v>
      </c>
      <c r="D1792" t="inlineStr">
        <is>
          <t>SKÅNE LÄN</t>
        </is>
      </c>
      <c r="E1792" t="inlineStr">
        <is>
          <t>HÄSSLEHOLM</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56150-2020</t>
        </is>
      </c>
      <c r="B1793" s="1" t="n">
        <v>44133</v>
      </c>
      <c r="C1793" s="1" t="n">
        <v>45190</v>
      </c>
      <c r="D1793" t="inlineStr">
        <is>
          <t>SKÅNE LÄN</t>
        </is>
      </c>
      <c r="E1793" t="inlineStr">
        <is>
          <t>ÖSTRA GÖINGE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56521-2020</t>
        </is>
      </c>
      <c r="B1794" s="1" t="n">
        <v>44133</v>
      </c>
      <c r="C1794" s="1" t="n">
        <v>45190</v>
      </c>
      <c r="D1794" t="inlineStr">
        <is>
          <t>SKÅNE LÄN</t>
        </is>
      </c>
      <c r="E1794" t="inlineStr">
        <is>
          <t>KRISTIANSTAD</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56734-2020</t>
        </is>
      </c>
      <c r="B1795" s="1" t="n">
        <v>44137</v>
      </c>
      <c r="C1795" s="1" t="n">
        <v>45190</v>
      </c>
      <c r="D1795" t="inlineStr">
        <is>
          <t>SKÅNE LÄN</t>
        </is>
      </c>
      <c r="E1795" t="inlineStr">
        <is>
          <t>OSBY</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57017-2020</t>
        </is>
      </c>
      <c r="B1796" s="1" t="n">
        <v>44138</v>
      </c>
      <c r="C1796" s="1" t="n">
        <v>45190</v>
      </c>
      <c r="D1796" t="inlineStr">
        <is>
          <t>SKÅNE LÄN</t>
        </is>
      </c>
      <c r="E1796" t="inlineStr">
        <is>
          <t>ÖSTRA GÖINGE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57671-2020</t>
        </is>
      </c>
      <c r="B1797" s="1" t="n">
        <v>44140</v>
      </c>
      <c r="C1797" s="1" t="n">
        <v>45190</v>
      </c>
      <c r="D1797" t="inlineStr">
        <is>
          <t>SKÅNE LÄN</t>
        </is>
      </c>
      <c r="E1797" t="inlineStr">
        <is>
          <t>OSBY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57452-2020</t>
        </is>
      </c>
      <c r="B1798" s="1" t="n">
        <v>44140</v>
      </c>
      <c r="C1798" s="1" t="n">
        <v>45190</v>
      </c>
      <c r="D1798" t="inlineStr">
        <is>
          <t>SKÅNE LÄN</t>
        </is>
      </c>
      <c r="E1798" t="inlineStr">
        <is>
          <t>PERSTORP</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57669-2020</t>
        </is>
      </c>
      <c r="B1799" s="1" t="n">
        <v>44140</v>
      </c>
      <c r="C1799" s="1" t="n">
        <v>45190</v>
      </c>
      <c r="D1799" t="inlineStr">
        <is>
          <t>SKÅNE LÄN</t>
        </is>
      </c>
      <c r="E1799" t="inlineStr">
        <is>
          <t>OSBY</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57840-2020</t>
        </is>
      </c>
      <c r="B1800" s="1" t="n">
        <v>44141</v>
      </c>
      <c r="C1800" s="1" t="n">
        <v>45190</v>
      </c>
      <c r="D1800" t="inlineStr">
        <is>
          <t>SKÅNE LÄN</t>
        </is>
      </c>
      <c r="E1800" t="inlineStr">
        <is>
          <t>KRISTIANSTAD</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57928-2020</t>
        </is>
      </c>
      <c r="B1801" s="1" t="n">
        <v>44141</v>
      </c>
      <c r="C1801" s="1" t="n">
        <v>45190</v>
      </c>
      <c r="D1801" t="inlineStr">
        <is>
          <t>SKÅNE LÄN</t>
        </is>
      </c>
      <c r="E1801" t="inlineStr">
        <is>
          <t>KRISTIANSTAD</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57811-2020</t>
        </is>
      </c>
      <c r="B1802" s="1" t="n">
        <v>44141</v>
      </c>
      <c r="C1802" s="1" t="n">
        <v>45190</v>
      </c>
      <c r="D1802" t="inlineStr">
        <is>
          <t>SKÅNE LÄN</t>
        </is>
      </c>
      <c r="E1802" t="inlineStr">
        <is>
          <t>HÄSSLEHOLM</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57832-2020</t>
        </is>
      </c>
      <c r="B1803" s="1" t="n">
        <v>44141</v>
      </c>
      <c r="C1803" s="1" t="n">
        <v>45190</v>
      </c>
      <c r="D1803" t="inlineStr">
        <is>
          <t>SKÅNE LÄN</t>
        </is>
      </c>
      <c r="E1803" t="inlineStr">
        <is>
          <t>KRISTIANSTAD</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57956-2020</t>
        </is>
      </c>
      <c r="B1804" s="1" t="n">
        <v>44143</v>
      </c>
      <c r="C1804" s="1" t="n">
        <v>45190</v>
      </c>
      <c r="D1804" t="inlineStr">
        <is>
          <t>SKÅNE LÄN</t>
        </is>
      </c>
      <c r="E1804" t="inlineStr">
        <is>
          <t>OSBY</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58297-2020</t>
        </is>
      </c>
      <c r="B1805" s="1" t="n">
        <v>44144</v>
      </c>
      <c r="C1805" s="1" t="n">
        <v>45190</v>
      </c>
      <c r="D1805" t="inlineStr">
        <is>
          <t>SKÅNE LÄN</t>
        </is>
      </c>
      <c r="E1805" t="inlineStr">
        <is>
          <t>KRISTIANSTAD</t>
        </is>
      </c>
      <c r="G1805" t="n">
        <v>6.4</v>
      </c>
      <c r="H1805" t="n">
        <v>0</v>
      </c>
      <c r="I1805" t="n">
        <v>0</v>
      </c>
      <c r="J1805" t="n">
        <v>0</v>
      </c>
      <c r="K1805" t="n">
        <v>0</v>
      </c>
      <c r="L1805" t="n">
        <v>0</v>
      </c>
      <c r="M1805" t="n">
        <v>0</v>
      </c>
      <c r="N1805" t="n">
        <v>0</v>
      </c>
      <c r="O1805" t="n">
        <v>0</v>
      </c>
      <c r="P1805" t="n">
        <v>0</v>
      </c>
      <c r="Q1805" t="n">
        <v>0</v>
      </c>
      <c r="R1805" s="2" t="inlineStr"/>
    </row>
    <row r="1806" ht="15" customHeight="1">
      <c r="A1806" t="inlineStr">
        <is>
          <t>A 58370-2020</t>
        </is>
      </c>
      <c r="B1806" s="1" t="n">
        <v>44144</v>
      </c>
      <c r="C1806" s="1" t="n">
        <v>45190</v>
      </c>
      <c r="D1806" t="inlineStr">
        <is>
          <t>SKÅNE LÄN</t>
        </is>
      </c>
      <c r="E1806" t="inlineStr">
        <is>
          <t>KLIPPAN</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58509-2020</t>
        </is>
      </c>
      <c r="B1807" s="1" t="n">
        <v>44144</v>
      </c>
      <c r="C1807" s="1" t="n">
        <v>45190</v>
      </c>
      <c r="D1807" t="inlineStr">
        <is>
          <t>SKÅNE LÄN</t>
        </is>
      </c>
      <c r="E1807" t="inlineStr">
        <is>
          <t>HÄSSLEHOLM</t>
        </is>
      </c>
      <c r="G1807" t="n">
        <v>8.5</v>
      </c>
      <c r="H1807" t="n">
        <v>0</v>
      </c>
      <c r="I1807" t="n">
        <v>0</v>
      </c>
      <c r="J1807" t="n">
        <v>0</v>
      </c>
      <c r="K1807" t="n">
        <v>0</v>
      </c>
      <c r="L1807" t="n">
        <v>0</v>
      </c>
      <c r="M1807" t="n">
        <v>0</v>
      </c>
      <c r="N1807" t="n">
        <v>0</v>
      </c>
      <c r="O1807" t="n">
        <v>0</v>
      </c>
      <c r="P1807" t="n">
        <v>0</v>
      </c>
      <c r="Q1807" t="n">
        <v>0</v>
      </c>
      <c r="R1807" s="2" t="inlineStr"/>
    </row>
    <row r="1808" ht="15" customHeight="1">
      <c r="A1808" t="inlineStr">
        <is>
          <t>A 58848-2020</t>
        </is>
      </c>
      <c r="B1808" s="1" t="n">
        <v>44146</v>
      </c>
      <c r="C1808" s="1" t="n">
        <v>45190</v>
      </c>
      <c r="D1808" t="inlineStr">
        <is>
          <t>SKÅNE LÄN</t>
        </is>
      </c>
      <c r="E1808" t="inlineStr">
        <is>
          <t>KRISTIANSTAD</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58887-2020</t>
        </is>
      </c>
      <c r="B1809" s="1" t="n">
        <v>44146</v>
      </c>
      <c r="C1809" s="1" t="n">
        <v>45190</v>
      </c>
      <c r="D1809" t="inlineStr">
        <is>
          <t>SKÅNE LÄN</t>
        </is>
      </c>
      <c r="E1809" t="inlineStr">
        <is>
          <t>KRISTIANSTAD</t>
        </is>
      </c>
      <c r="G1809" t="n">
        <v>5.3</v>
      </c>
      <c r="H1809" t="n">
        <v>0</v>
      </c>
      <c r="I1809" t="n">
        <v>0</v>
      </c>
      <c r="J1809" t="n">
        <v>0</v>
      </c>
      <c r="K1809" t="n">
        <v>0</v>
      </c>
      <c r="L1809" t="n">
        <v>0</v>
      </c>
      <c r="M1809" t="n">
        <v>0</v>
      </c>
      <c r="N1809" t="n">
        <v>0</v>
      </c>
      <c r="O1809" t="n">
        <v>0</v>
      </c>
      <c r="P1809" t="n">
        <v>0</v>
      </c>
      <c r="Q1809" t="n">
        <v>0</v>
      </c>
      <c r="R1809" s="2" t="inlineStr"/>
    </row>
    <row r="1810" ht="15" customHeight="1">
      <c r="A1810" t="inlineStr">
        <is>
          <t>A 59295-2020</t>
        </is>
      </c>
      <c r="B1810" s="1" t="n">
        <v>44147</v>
      </c>
      <c r="C1810" s="1" t="n">
        <v>45190</v>
      </c>
      <c r="D1810" t="inlineStr">
        <is>
          <t>SKÅNE LÄN</t>
        </is>
      </c>
      <c r="E1810" t="inlineStr">
        <is>
          <t>HÄSSLEHOLM</t>
        </is>
      </c>
      <c r="G1810" t="n">
        <v>4.3</v>
      </c>
      <c r="H1810" t="n">
        <v>0</v>
      </c>
      <c r="I1810" t="n">
        <v>0</v>
      </c>
      <c r="J1810" t="n">
        <v>0</v>
      </c>
      <c r="K1810" t="n">
        <v>0</v>
      </c>
      <c r="L1810" t="n">
        <v>0</v>
      </c>
      <c r="M1810" t="n">
        <v>0</v>
      </c>
      <c r="N1810" t="n">
        <v>0</v>
      </c>
      <c r="O1810" t="n">
        <v>0</v>
      </c>
      <c r="P1810" t="n">
        <v>0</v>
      </c>
      <c r="Q1810" t="n">
        <v>0</v>
      </c>
      <c r="R1810" s="2" t="inlineStr"/>
    </row>
    <row r="1811" ht="15" customHeight="1">
      <c r="A1811" t="inlineStr">
        <is>
          <t>A 59145-2020</t>
        </is>
      </c>
      <c r="B1811" s="1" t="n">
        <v>44147</v>
      </c>
      <c r="C1811" s="1" t="n">
        <v>45190</v>
      </c>
      <c r="D1811" t="inlineStr">
        <is>
          <t>SKÅNE LÄN</t>
        </is>
      </c>
      <c r="E1811" t="inlineStr">
        <is>
          <t>HÖÖR</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59302-2020</t>
        </is>
      </c>
      <c r="B1812" s="1" t="n">
        <v>44147</v>
      </c>
      <c r="C1812" s="1" t="n">
        <v>45190</v>
      </c>
      <c r="D1812" t="inlineStr">
        <is>
          <t>SKÅNE LÄN</t>
        </is>
      </c>
      <c r="E1812" t="inlineStr">
        <is>
          <t>HÄSSLEHOLM</t>
        </is>
      </c>
      <c r="G1812" t="n">
        <v>11.2</v>
      </c>
      <c r="H1812" t="n">
        <v>0</v>
      </c>
      <c r="I1812" t="n">
        <v>0</v>
      </c>
      <c r="J1812" t="n">
        <v>0</v>
      </c>
      <c r="K1812" t="n">
        <v>0</v>
      </c>
      <c r="L1812" t="n">
        <v>0</v>
      </c>
      <c r="M1812" t="n">
        <v>0</v>
      </c>
      <c r="N1812" t="n">
        <v>0</v>
      </c>
      <c r="O1812" t="n">
        <v>0</v>
      </c>
      <c r="P1812" t="n">
        <v>0</v>
      </c>
      <c r="Q1812" t="n">
        <v>0</v>
      </c>
      <c r="R1812" s="2" t="inlineStr"/>
    </row>
    <row r="1813" ht="15" customHeight="1">
      <c r="A1813" t="inlineStr">
        <is>
          <t>A 59418-2020</t>
        </is>
      </c>
      <c r="B1813" s="1" t="n">
        <v>44148</v>
      </c>
      <c r="C1813" s="1" t="n">
        <v>45190</v>
      </c>
      <c r="D1813" t="inlineStr">
        <is>
          <t>SKÅNE LÄN</t>
        </is>
      </c>
      <c r="E1813" t="inlineStr">
        <is>
          <t>HÄSSLEHOLM</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59341-2020</t>
        </is>
      </c>
      <c r="B1814" s="1" t="n">
        <v>44148</v>
      </c>
      <c r="C1814" s="1" t="n">
        <v>45190</v>
      </c>
      <c r="D1814" t="inlineStr">
        <is>
          <t>SKÅNE LÄN</t>
        </is>
      </c>
      <c r="E1814" t="inlineStr">
        <is>
          <t>ÖRKELLJUNGA</t>
        </is>
      </c>
      <c r="G1814" t="n">
        <v>4.3</v>
      </c>
      <c r="H1814" t="n">
        <v>0</v>
      </c>
      <c r="I1814" t="n">
        <v>0</v>
      </c>
      <c r="J1814" t="n">
        <v>0</v>
      </c>
      <c r="K1814" t="n">
        <v>0</v>
      </c>
      <c r="L1814" t="n">
        <v>0</v>
      </c>
      <c r="M1814" t="n">
        <v>0</v>
      </c>
      <c r="N1814" t="n">
        <v>0</v>
      </c>
      <c r="O1814" t="n">
        <v>0</v>
      </c>
      <c r="P1814" t="n">
        <v>0</v>
      </c>
      <c r="Q1814" t="n">
        <v>0</v>
      </c>
      <c r="R1814" s="2" t="inlineStr"/>
    </row>
    <row r="1815" ht="15" customHeight="1">
      <c r="A1815" t="inlineStr">
        <is>
          <t>A 59542-2020</t>
        </is>
      </c>
      <c r="B1815" s="1" t="n">
        <v>44148</v>
      </c>
      <c r="C1815" s="1" t="n">
        <v>45190</v>
      </c>
      <c r="D1815" t="inlineStr">
        <is>
          <t>SKÅNE LÄN</t>
        </is>
      </c>
      <c r="E1815" t="inlineStr">
        <is>
          <t>HÄSSLEHOLM</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59744-2020</t>
        </is>
      </c>
      <c r="B1816" s="1" t="n">
        <v>44151</v>
      </c>
      <c r="C1816" s="1" t="n">
        <v>45190</v>
      </c>
      <c r="D1816" t="inlineStr">
        <is>
          <t>SKÅNE LÄN</t>
        </is>
      </c>
      <c r="E1816" t="inlineStr">
        <is>
          <t>SVALÖV</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60206-2020</t>
        </is>
      </c>
      <c r="B1817" s="1" t="n">
        <v>44152</v>
      </c>
      <c r="C1817" s="1" t="n">
        <v>45190</v>
      </c>
      <c r="D1817" t="inlineStr">
        <is>
          <t>SKÅNE LÄN</t>
        </is>
      </c>
      <c r="E1817" t="inlineStr">
        <is>
          <t>ÖSTRA GÖINGE</t>
        </is>
      </c>
      <c r="G1817" t="n">
        <v>6.3</v>
      </c>
      <c r="H1817" t="n">
        <v>0</v>
      </c>
      <c r="I1817" t="n">
        <v>0</v>
      </c>
      <c r="J1817" t="n">
        <v>0</v>
      </c>
      <c r="K1817" t="n">
        <v>0</v>
      </c>
      <c r="L1817" t="n">
        <v>0</v>
      </c>
      <c r="M1817" t="n">
        <v>0</v>
      </c>
      <c r="N1817" t="n">
        <v>0</v>
      </c>
      <c r="O1817" t="n">
        <v>0</v>
      </c>
      <c r="P1817" t="n">
        <v>0</v>
      </c>
      <c r="Q1817" t="n">
        <v>0</v>
      </c>
      <c r="R1817" s="2" t="inlineStr"/>
    </row>
    <row r="1818" ht="15" customHeight="1">
      <c r="A1818" t="inlineStr">
        <is>
          <t>A 60597-2020</t>
        </is>
      </c>
      <c r="B1818" s="1" t="n">
        <v>44152</v>
      </c>
      <c r="C1818" s="1" t="n">
        <v>45190</v>
      </c>
      <c r="D1818" t="inlineStr">
        <is>
          <t>SKÅNE LÄN</t>
        </is>
      </c>
      <c r="E1818" t="inlineStr">
        <is>
          <t>HÄSSLEHOLM</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60449-2020</t>
        </is>
      </c>
      <c r="B1819" s="1" t="n">
        <v>44153</v>
      </c>
      <c r="C1819" s="1" t="n">
        <v>45190</v>
      </c>
      <c r="D1819" t="inlineStr">
        <is>
          <t>SKÅNE LÄN</t>
        </is>
      </c>
      <c r="E1819" t="inlineStr">
        <is>
          <t>BROMÖLLA</t>
        </is>
      </c>
      <c r="G1819" t="n">
        <v>3.9</v>
      </c>
      <c r="H1819" t="n">
        <v>0</v>
      </c>
      <c r="I1819" t="n">
        <v>0</v>
      </c>
      <c r="J1819" t="n">
        <v>0</v>
      </c>
      <c r="K1819" t="n">
        <v>0</v>
      </c>
      <c r="L1819" t="n">
        <v>0</v>
      </c>
      <c r="M1819" t="n">
        <v>0</v>
      </c>
      <c r="N1819" t="n">
        <v>0</v>
      </c>
      <c r="O1819" t="n">
        <v>0</v>
      </c>
      <c r="P1819" t="n">
        <v>0</v>
      </c>
      <c r="Q1819" t="n">
        <v>0</v>
      </c>
      <c r="R1819" s="2" t="inlineStr"/>
    </row>
    <row r="1820" ht="15" customHeight="1">
      <c r="A1820" t="inlineStr">
        <is>
          <t>A 60840-2020</t>
        </is>
      </c>
      <c r="B1820" s="1" t="n">
        <v>44154</v>
      </c>
      <c r="C1820" s="1" t="n">
        <v>45190</v>
      </c>
      <c r="D1820" t="inlineStr">
        <is>
          <t>SKÅNE LÄN</t>
        </is>
      </c>
      <c r="E1820" t="inlineStr">
        <is>
          <t>ÖSTRA GÖINGE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60879-2020</t>
        </is>
      </c>
      <c r="B1821" s="1" t="n">
        <v>44154</v>
      </c>
      <c r="C1821" s="1" t="n">
        <v>45190</v>
      </c>
      <c r="D1821" t="inlineStr">
        <is>
          <t>SKÅNE LÄN</t>
        </is>
      </c>
      <c r="E1821" t="inlineStr">
        <is>
          <t>ÖRKELLJUNGA</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61038-2020</t>
        </is>
      </c>
      <c r="B1822" s="1" t="n">
        <v>44154</v>
      </c>
      <c r="C1822" s="1" t="n">
        <v>45190</v>
      </c>
      <c r="D1822" t="inlineStr">
        <is>
          <t>SKÅNE LÄN</t>
        </is>
      </c>
      <c r="E1822" t="inlineStr">
        <is>
          <t>KLIPPAN</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61108-2020</t>
        </is>
      </c>
      <c r="B1823" s="1" t="n">
        <v>44154</v>
      </c>
      <c r="C1823" s="1" t="n">
        <v>45190</v>
      </c>
      <c r="D1823" t="inlineStr">
        <is>
          <t>SKÅNE LÄN</t>
        </is>
      </c>
      <c r="E1823" t="inlineStr">
        <is>
          <t>ÖRKELLJUNGA</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60875-2020</t>
        </is>
      </c>
      <c r="B1824" s="1" t="n">
        <v>44154</v>
      </c>
      <c r="C1824" s="1" t="n">
        <v>45190</v>
      </c>
      <c r="D1824" t="inlineStr">
        <is>
          <t>SKÅNE LÄN</t>
        </is>
      </c>
      <c r="E1824" t="inlineStr">
        <is>
          <t>ÖRKELLJUNGA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60837-2020</t>
        </is>
      </c>
      <c r="B1825" s="1" t="n">
        <v>44154</v>
      </c>
      <c r="C1825" s="1" t="n">
        <v>45190</v>
      </c>
      <c r="D1825" t="inlineStr">
        <is>
          <t>SKÅNE LÄN</t>
        </is>
      </c>
      <c r="E1825" t="inlineStr">
        <is>
          <t>ÖSTRA GÖINGE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61276-2020</t>
        </is>
      </c>
      <c r="B1826" s="1" t="n">
        <v>44155</v>
      </c>
      <c r="C1826" s="1" t="n">
        <v>45190</v>
      </c>
      <c r="D1826" t="inlineStr">
        <is>
          <t>SKÅNE LÄN</t>
        </is>
      </c>
      <c r="E1826" t="inlineStr">
        <is>
          <t>ÖSTRA GÖINGE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61216-2020</t>
        </is>
      </c>
      <c r="B1827" s="1" t="n">
        <v>44155</v>
      </c>
      <c r="C1827" s="1" t="n">
        <v>45190</v>
      </c>
      <c r="D1827" t="inlineStr">
        <is>
          <t>SKÅNE LÄN</t>
        </is>
      </c>
      <c r="E1827" t="inlineStr">
        <is>
          <t>HÄSSLEHOLM</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61211-2020</t>
        </is>
      </c>
      <c r="B1828" s="1" t="n">
        <v>44155</v>
      </c>
      <c r="C1828" s="1" t="n">
        <v>45190</v>
      </c>
      <c r="D1828" t="inlineStr">
        <is>
          <t>SKÅNE LÄN</t>
        </is>
      </c>
      <c r="E1828" t="inlineStr">
        <is>
          <t>ÖRKELLJUNGA</t>
        </is>
      </c>
      <c r="F1828" t="inlineStr">
        <is>
          <t>Kyrkan</t>
        </is>
      </c>
      <c r="G1828" t="n">
        <v>9.5</v>
      </c>
      <c r="H1828" t="n">
        <v>0</v>
      </c>
      <c r="I1828" t="n">
        <v>0</v>
      </c>
      <c r="J1828" t="n">
        <v>0</v>
      </c>
      <c r="K1828" t="n">
        <v>0</v>
      </c>
      <c r="L1828" t="n">
        <v>0</v>
      </c>
      <c r="M1828" t="n">
        <v>0</v>
      </c>
      <c r="N1828" t="n">
        <v>0</v>
      </c>
      <c r="O1828" t="n">
        <v>0</v>
      </c>
      <c r="P1828" t="n">
        <v>0</v>
      </c>
      <c r="Q1828" t="n">
        <v>0</v>
      </c>
      <c r="R1828" s="2" t="inlineStr"/>
    </row>
    <row r="1829" ht="15" customHeight="1">
      <c r="A1829" t="inlineStr">
        <is>
          <t>A 61223-2020</t>
        </is>
      </c>
      <c r="B1829" s="1" t="n">
        <v>44155</v>
      </c>
      <c r="C1829" s="1" t="n">
        <v>45190</v>
      </c>
      <c r="D1829" t="inlineStr">
        <is>
          <t>SKÅNE LÄN</t>
        </is>
      </c>
      <c r="E1829" t="inlineStr">
        <is>
          <t>SVALÖV</t>
        </is>
      </c>
      <c r="F1829" t="inlineStr">
        <is>
          <t>Kyrkan</t>
        </is>
      </c>
      <c r="G1829" t="n">
        <v>11.1</v>
      </c>
      <c r="H1829" t="n">
        <v>0</v>
      </c>
      <c r="I1829" t="n">
        <v>0</v>
      </c>
      <c r="J1829" t="n">
        <v>0</v>
      </c>
      <c r="K1829" t="n">
        <v>0</v>
      </c>
      <c r="L1829" t="n">
        <v>0</v>
      </c>
      <c r="M1829" t="n">
        <v>0</v>
      </c>
      <c r="N1829" t="n">
        <v>0</v>
      </c>
      <c r="O1829" t="n">
        <v>0</v>
      </c>
      <c r="P1829" t="n">
        <v>0</v>
      </c>
      <c r="Q1829" t="n">
        <v>0</v>
      </c>
      <c r="R1829" s="2" t="inlineStr"/>
    </row>
    <row r="1830" ht="15" customHeight="1">
      <c r="A1830" t="inlineStr">
        <is>
          <t>A 61238-2020</t>
        </is>
      </c>
      <c r="B1830" s="1" t="n">
        <v>44155</v>
      </c>
      <c r="C1830" s="1" t="n">
        <v>45190</v>
      </c>
      <c r="D1830" t="inlineStr">
        <is>
          <t>SKÅNE LÄN</t>
        </is>
      </c>
      <c r="E1830" t="inlineStr">
        <is>
          <t>HÖRBY</t>
        </is>
      </c>
      <c r="F1830" t="inlineStr">
        <is>
          <t>Kyrkan</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61233-2020</t>
        </is>
      </c>
      <c r="B1831" s="1" t="n">
        <v>44155</v>
      </c>
      <c r="C1831" s="1" t="n">
        <v>45190</v>
      </c>
      <c r="D1831" t="inlineStr">
        <is>
          <t>SKÅNE LÄN</t>
        </is>
      </c>
      <c r="E1831" t="inlineStr">
        <is>
          <t>HÄSSLEHOLM</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61592-2020</t>
        </is>
      </c>
      <c r="B1832" s="1" t="n">
        <v>44158</v>
      </c>
      <c r="C1832" s="1" t="n">
        <v>45190</v>
      </c>
      <c r="D1832" t="inlineStr">
        <is>
          <t>SKÅNE LÄN</t>
        </is>
      </c>
      <c r="E1832" t="inlineStr">
        <is>
          <t>OSBY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61779-2020</t>
        </is>
      </c>
      <c r="B1833" s="1" t="n">
        <v>44158</v>
      </c>
      <c r="C1833" s="1" t="n">
        <v>45190</v>
      </c>
      <c r="D1833" t="inlineStr">
        <is>
          <t>SKÅNE LÄN</t>
        </is>
      </c>
      <c r="E1833" t="inlineStr">
        <is>
          <t>KLIPPAN</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62300-2020</t>
        </is>
      </c>
      <c r="B1834" s="1" t="n">
        <v>44158</v>
      </c>
      <c r="C1834" s="1" t="n">
        <v>45190</v>
      </c>
      <c r="D1834" t="inlineStr">
        <is>
          <t>SKÅNE LÄN</t>
        </is>
      </c>
      <c r="E1834" t="inlineStr">
        <is>
          <t>SVEDALA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62122-2020</t>
        </is>
      </c>
      <c r="B1835" s="1" t="n">
        <v>44159</v>
      </c>
      <c r="C1835" s="1" t="n">
        <v>45190</v>
      </c>
      <c r="D1835" t="inlineStr">
        <is>
          <t>SKÅNE LÄN</t>
        </is>
      </c>
      <c r="E1835" t="inlineStr">
        <is>
          <t>OSBY</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62347-2020</t>
        </is>
      </c>
      <c r="B1836" s="1" t="n">
        <v>44159</v>
      </c>
      <c r="C1836" s="1" t="n">
        <v>45190</v>
      </c>
      <c r="D1836" t="inlineStr">
        <is>
          <t>SKÅNE LÄN</t>
        </is>
      </c>
      <c r="E1836" t="inlineStr">
        <is>
          <t>HÄSSLEHOLM</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62422-2020</t>
        </is>
      </c>
      <c r="B1837" s="1" t="n">
        <v>44159</v>
      </c>
      <c r="C1837" s="1" t="n">
        <v>45190</v>
      </c>
      <c r="D1837" t="inlineStr">
        <is>
          <t>SKÅNE LÄN</t>
        </is>
      </c>
      <c r="E1837" t="inlineStr">
        <is>
          <t>ESLÖV</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62447-2020</t>
        </is>
      </c>
      <c r="B1838" s="1" t="n">
        <v>44159</v>
      </c>
      <c r="C1838" s="1" t="n">
        <v>45190</v>
      </c>
      <c r="D1838" t="inlineStr">
        <is>
          <t>SKÅNE LÄN</t>
        </is>
      </c>
      <c r="E1838" t="inlineStr">
        <is>
          <t>KRISTIANSTAD</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62420-2020</t>
        </is>
      </c>
      <c r="B1839" s="1" t="n">
        <v>44159</v>
      </c>
      <c r="C1839" s="1" t="n">
        <v>45190</v>
      </c>
      <c r="D1839" t="inlineStr">
        <is>
          <t>SKÅNE LÄN</t>
        </is>
      </c>
      <c r="E1839" t="inlineStr">
        <is>
          <t>ESLÖV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62425-2020</t>
        </is>
      </c>
      <c r="B1840" s="1" t="n">
        <v>44159</v>
      </c>
      <c r="C1840" s="1" t="n">
        <v>45190</v>
      </c>
      <c r="D1840" t="inlineStr">
        <is>
          <t>SKÅNE LÄN</t>
        </is>
      </c>
      <c r="E1840" t="inlineStr">
        <is>
          <t>SVALÖV</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62802-2020</t>
        </is>
      </c>
      <c r="B1841" s="1" t="n">
        <v>44161</v>
      </c>
      <c r="C1841" s="1" t="n">
        <v>45190</v>
      </c>
      <c r="D1841" t="inlineStr">
        <is>
          <t>SKÅNE LÄN</t>
        </is>
      </c>
      <c r="E1841" t="inlineStr">
        <is>
          <t>HÄSSLEHOLM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62858-2020</t>
        </is>
      </c>
      <c r="B1842" s="1" t="n">
        <v>44161</v>
      </c>
      <c r="C1842" s="1" t="n">
        <v>45190</v>
      </c>
      <c r="D1842" t="inlineStr">
        <is>
          <t>SKÅNE LÄN</t>
        </is>
      </c>
      <c r="E1842" t="inlineStr">
        <is>
          <t>HÄSSLEHOLM</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62783-2020</t>
        </is>
      </c>
      <c r="B1843" s="1" t="n">
        <v>44161</v>
      </c>
      <c r="C1843" s="1" t="n">
        <v>45190</v>
      </c>
      <c r="D1843" t="inlineStr">
        <is>
          <t>SKÅNE LÄN</t>
        </is>
      </c>
      <c r="E1843" t="inlineStr">
        <is>
          <t>ÖRKELLJUNGA</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63456-2020</t>
        </is>
      </c>
      <c r="B1844" s="1" t="n">
        <v>44161</v>
      </c>
      <c r="C1844" s="1" t="n">
        <v>45190</v>
      </c>
      <c r="D1844" t="inlineStr">
        <is>
          <t>SKÅNE LÄN</t>
        </is>
      </c>
      <c r="E1844" t="inlineStr">
        <is>
          <t>KRISTIANSTAD</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63389-2020</t>
        </is>
      </c>
      <c r="B1845" s="1" t="n">
        <v>44161</v>
      </c>
      <c r="C1845" s="1" t="n">
        <v>45190</v>
      </c>
      <c r="D1845" t="inlineStr">
        <is>
          <t>SKÅNE LÄN</t>
        </is>
      </c>
      <c r="E1845" t="inlineStr">
        <is>
          <t>KRISTIANSTAD</t>
        </is>
      </c>
      <c r="G1845" t="n">
        <v>11.2</v>
      </c>
      <c r="H1845" t="n">
        <v>0</v>
      </c>
      <c r="I1845" t="n">
        <v>0</v>
      </c>
      <c r="J1845" t="n">
        <v>0</v>
      </c>
      <c r="K1845" t="n">
        <v>0</v>
      </c>
      <c r="L1845" t="n">
        <v>0</v>
      </c>
      <c r="M1845" t="n">
        <v>0</v>
      </c>
      <c r="N1845" t="n">
        <v>0</v>
      </c>
      <c r="O1845" t="n">
        <v>0</v>
      </c>
      <c r="P1845" t="n">
        <v>0</v>
      </c>
      <c r="Q1845" t="n">
        <v>0</v>
      </c>
      <c r="R1845" s="2" t="inlineStr"/>
    </row>
    <row r="1846" ht="15" customHeight="1">
      <c r="A1846" t="inlineStr">
        <is>
          <t>A 62648-2020</t>
        </is>
      </c>
      <c r="B1846" s="1" t="n">
        <v>44161</v>
      </c>
      <c r="C1846" s="1" t="n">
        <v>45190</v>
      </c>
      <c r="D1846" t="inlineStr">
        <is>
          <t>SKÅNE LÄN</t>
        </is>
      </c>
      <c r="E1846" t="inlineStr">
        <is>
          <t>OSBY</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62734-2020</t>
        </is>
      </c>
      <c r="B1847" s="1" t="n">
        <v>44161</v>
      </c>
      <c r="C1847" s="1" t="n">
        <v>45190</v>
      </c>
      <c r="D1847" t="inlineStr">
        <is>
          <t>SKÅNE LÄN</t>
        </is>
      </c>
      <c r="E1847" t="inlineStr">
        <is>
          <t>BROMÖLLA</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62782-2020</t>
        </is>
      </c>
      <c r="B1848" s="1" t="n">
        <v>44161</v>
      </c>
      <c r="C1848" s="1" t="n">
        <v>45190</v>
      </c>
      <c r="D1848" t="inlineStr">
        <is>
          <t>SKÅNE LÄN</t>
        </is>
      </c>
      <c r="E1848" t="inlineStr">
        <is>
          <t>HÄSSLEHOLM</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63073-2020</t>
        </is>
      </c>
      <c r="B1849" s="1" t="n">
        <v>44162</v>
      </c>
      <c r="C1849" s="1" t="n">
        <v>45190</v>
      </c>
      <c r="D1849" t="inlineStr">
        <is>
          <t>SKÅNE LÄN</t>
        </is>
      </c>
      <c r="E1849" t="inlineStr">
        <is>
          <t>KLIPPAN</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63082-2020</t>
        </is>
      </c>
      <c r="B1850" s="1" t="n">
        <v>44162</v>
      </c>
      <c r="C1850" s="1" t="n">
        <v>45190</v>
      </c>
      <c r="D1850" t="inlineStr">
        <is>
          <t>SKÅNE LÄN</t>
        </is>
      </c>
      <c r="E1850" t="inlineStr">
        <is>
          <t>KLIPPAN</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63109-2020</t>
        </is>
      </c>
      <c r="B1851" s="1" t="n">
        <v>44162</v>
      </c>
      <c r="C1851" s="1" t="n">
        <v>45190</v>
      </c>
      <c r="D1851" t="inlineStr">
        <is>
          <t>SKÅNE LÄN</t>
        </is>
      </c>
      <c r="E1851" t="inlineStr">
        <is>
          <t>SJÖBO</t>
        </is>
      </c>
      <c r="G1851" t="n">
        <v>16.1</v>
      </c>
      <c r="H1851" t="n">
        <v>0</v>
      </c>
      <c r="I1851" t="n">
        <v>0</v>
      </c>
      <c r="J1851" t="n">
        <v>0</v>
      </c>
      <c r="K1851" t="n">
        <v>0</v>
      </c>
      <c r="L1851" t="n">
        <v>0</v>
      </c>
      <c r="M1851" t="n">
        <v>0</v>
      </c>
      <c r="N1851" t="n">
        <v>0</v>
      </c>
      <c r="O1851" t="n">
        <v>0</v>
      </c>
      <c r="P1851" t="n">
        <v>0</v>
      </c>
      <c r="Q1851" t="n">
        <v>0</v>
      </c>
      <c r="R1851" s="2" t="inlineStr"/>
    </row>
    <row r="1852" ht="15" customHeight="1">
      <c r="A1852" t="inlineStr">
        <is>
          <t>A 64341-2020</t>
        </is>
      </c>
      <c r="B1852" s="1" t="n">
        <v>44165</v>
      </c>
      <c r="C1852" s="1" t="n">
        <v>45190</v>
      </c>
      <c r="D1852" t="inlineStr">
        <is>
          <t>SKÅNE LÄN</t>
        </is>
      </c>
      <c r="E1852" t="inlineStr">
        <is>
          <t>HÖRBY</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63914-2020</t>
        </is>
      </c>
      <c r="B1853" s="1" t="n">
        <v>44166</v>
      </c>
      <c r="C1853" s="1" t="n">
        <v>45190</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63915-2020</t>
        </is>
      </c>
      <c r="B1854" s="1" t="n">
        <v>44166</v>
      </c>
      <c r="C1854" s="1" t="n">
        <v>45190</v>
      </c>
      <c r="D1854" t="inlineStr">
        <is>
          <t>SKÅNE LÄN</t>
        </is>
      </c>
      <c r="E1854" t="inlineStr">
        <is>
          <t>OSBY</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65040-2020</t>
        </is>
      </c>
      <c r="B1855" s="1" t="n">
        <v>44167</v>
      </c>
      <c r="C1855" s="1" t="n">
        <v>45190</v>
      </c>
      <c r="D1855" t="inlineStr">
        <is>
          <t>SKÅNE LÄN</t>
        </is>
      </c>
      <c r="E1855" t="inlineStr">
        <is>
          <t>KRISTIANSTAD</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64161-2020</t>
        </is>
      </c>
      <c r="B1856" s="1" t="n">
        <v>44167</v>
      </c>
      <c r="C1856" s="1" t="n">
        <v>45190</v>
      </c>
      <c r="D1856" t="inlineStr">
        <is>
          <t>SKÅNE LÄN</t>
        </is>
      </c>
      <c r="E1856" t="inlineStr">
        <is>
          <t>OSBY</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64211-2020</t>
        </is>
      </c>
      <c r="B1857" s="1" t="n">
        <v>44168</v>
      </c>
      <c r="C1857" s="1" t="n">
        <v>45190</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64342-2020</t>
        </is>
      </c>
      <c r="B1858" s="1" t="n">
        <v>44168</v>
      </c>
      <c r="C1858" s="1" t="n">
        <v>45190</v>
      </c>
      <c r="D1858" t="inlineStr">
        <is>
          <t>SKÅNE LÄN</t>
        </is>
      </c>
      <c r="E1858" t="inlineStr">
        <is>
          <t>HÄSSLEHOLM</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64361-2020</t>
        </is>
      </c>
      <c r="B1859" s="1" t="n">
        <v>44168</v>
      </c>
      <c r="C1859" s="1" t="n">
        <v>45190</v>
      </c>
      <c r="D1859" t="inlineStr">
        <is>
          <t>SKÅNE LÄN</t>
        </is>
      </c>
      <c r="E1859" t="inlineStr">
        <is>
          <t>HÄSSLEHOLM</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64601-2020</t>
        </is>
      </c>
      <c r="B1860" s="1" t="n">
        <v>44169</v>
      </c>
      <c r="C1860" s="1" t="n">
        <v>45190</v>
      </c>
      <c r="D1860" t="inlineStr">
        <is>
          <t>SKÅNE LÄN</t>
        </is>
      </c>
      <c r="E1860" t="inlineStr">
        <is>
          <t>ÖRKELLJUNGA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64703-2020</t>
        </is>
      </c>
      <c r="B1861" s="1" t="n">
        <v>44169</v>
      </c>
      <c r="C1861" s="1" t="n">
        <v>45190</v>
      </c>
      <c r="D1861" t="inlineStr">
        <is>
          <t>SKÅNE LÄN</t>
        </is>
      </c>
      <c r="E1861" t="inlineStr">
        <is>
          <t>ÖSTRA GÖINGE</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65173-2020</t>
        </is>
      </c>
      <c r="B1862" s="1" t="n">
        <v>44172</v>
      </c>
      <c r="C1862" s="1" t="n">
        <v>45190</v>
      </c>
      <c r="D1862" t="inlineStr">
        <is>
          <t>SKÅNE LÄN</t>
        </is>
      </c>
      <c r="E1862" t="inlineStr">
        <is>
          <t>ÖSTRA GÖINGE</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65033-2020</t>
        </is>
      </c>
      <c r="B1863" s="1" t="n">
        <v>44172</v>
      </c>
      <c r="C1863" s="1" t="n">
        <v>45190</v>
      </c>
      <c r="D1863" t="inlineStr">
        <is>
          <t>SKÅNE LÄN</t>
        </is>
      </c>
      <c r="E1863" t="inlineStr">
        <is>
          <t>TOMELILLA</t>
        </is>
      </c>
      <c r="F1863" t="inlineStr">
        <is>
          <t>Kyrkan</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65288-2020</t>
        </is>
      </c>
      <c r="B1864" s="1" t="n">
        <v>44173</v>
      </c>
      <c r="C1864" s="1" t="n">
        <v>45190</v>
      </c>
      <c r="D1864" t="inlineStr">
        <is>
          <t>SKÅNE LÄN</t>
        </is>
      </c>
      <c r="E1864" t="inlineStr">
        <is>
          <t>KRISTIANSTAD</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65863-2020</t>
        </is>
      </c>
      <c r="B1865" s="1" t="n">
        <v>44173</v>
      </c>
      <c r="C1865" s="1" t="n">
        <v>45190</v>
      </c>
      <c r="D1865" t="inlineStr">
        <is>
          <t>SKÅNE LÄN</t>
        </is>
      </c>
      <c r="E1865" t="inlineStr">
        <is>
          <t>SVALÖV</t>
        </is>
      </c>
      <c r="G1865" t="n">
        <v>12.2</v>
      </c>
      <c r="H1865" t="n">
        <v>0</v>
      </c>
      <c r="I1865" t="n">
        <v>0</v>
      </c>
      <c r="J1865" t="n">
        <v>0</v>
      </c>
      <c r="K1865" t="n">
        <v>0</v>
      </c>
      <c r="L1865" t="n">
        <v>0</v>
      </c>
      <c r="M1865" t="n">
        <v>0</v>
      </c>
      <c r="N1865" t="n">
        <v>0</v>
      </c>
      <c r="O1865" t="n">
        <v>0</v>
      </c>
      <c r="P1865" t="n">
        <v>0</v>
      </c>
      <c r="Q1865" t="n">
        <v>0</v>
      </c>
      <c r="R1865" s="2" t="inlineStr"/>
    </row>
    <row r="1866" ht="15" customHeight="1">
      <c r="A1866" t="inlineStr">
        <is>
          <t>A 66171-2020</t>
        </is>
      </c>
      <c r="B1866" s="1" t="n">
        <v>44174</v>
      </c>
      <c r="C1866" s="1" t="n">
        <v>45190</v>
      </c>
      <c r="D1866" t="inlineStr">
        <is>
          <t>SKÅNE LÄN</t>
        </is>
      </c>
      <c r="E1866" t="inlineStr">
        <is>
          <t>SJÖBO</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65760-2020</t>
        </is>
      </c>
      <c r="B1867" s="1" t="n">
        <v>44174</v>
      </c>
      <c r="C1867" s="1" t="n">
        <v>45190</v>
      </c>
      <c r="D1867" t="inlineStr">
        <is>
          <t>SKÅNE LÄN</t>
        </is>
      </c>
      <c r="E1867" t="inlineStr">
        <is>
          <t>ÖSTRA GÖINGE</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66177-2020</t>
        </is>
      </c>
      <c r="B1868" s="1" t="n">
        <v>44174</v>
      </c>
      <c r="C1868" s="1" t="n">
        <v>45190</v>
      </c>
      <c r="D1868" t="inlineStr">
        <is>
          <t>SKÅNE LÄN</t>
        </is>
      </c>
      <c r="E1868" t="inlineStr">
        <is>
          <t>SJÖBO</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65788-2020</t>
        </is>
      </c>
      <c r="B1869" s="1" t="n">
        <v>44174</v>
      </c>
      <c r="C1869" s="1" t="n">
        <v>45190</v>
      </c>
      <c r="D1869" t="inlineStr">
        <is>
          <t>SKÅNE LÄN</t>
        </is>
      </c>
      <c r="E1869" t="inlineStr">
        <is>
          <t>HÖRBY</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66173-2020</t>
        </is>
      </c>
      <c r="B1870" s="1" t="n">
        <v>44174</v>
      </c>
      <c r="C1870" s="1" t="n">
        <v>45190</v>
      </c>
      <c r="D1870" t="inlineStr">
        <is>
          <t>SKÅNE LÄN</t>
        </is>
      </c>
      <c r="E1870" t="inlineStr">
        <is>
          <t>SJÖBO</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65640-2020</t>
        </is>
      </c>
      <c r="B1871" s="1" t="n">
        <v>44174</v>
      </c>
      <c r="C1871" s="1" t="n">
        <v>45190</v>
      </c>
      <c r="D1871" t="inlineStr">
        <is>
          <t>SKÅNE LÄN</t>
        </is>
      </c>
      <c r="E1871" t="inlineStr">
        <is>
          <t>OSBY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65753-2020</t>
        </is>
      </c>
      <c r="B1872" s="1" t="n">
        <v>44174</v>
      </c>
      <c r="C1872" s="1" t="n">
        <v>45190</v>
      </c>
      <c r="D1872" t="inlineStr">
        <is>
          <t>SKÅNE LÄN</t>
        </is>
      </c>
      <c r="E1872" t="inlineStr">
        <is>
          <t>ÖRKELLJUNGA</t>
        </is>
      </c>
      <c r="F1872" t="inlineStr">
        <is>
          <t>Kyrkan</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66045-2020</t>
        </is>
      </c>
      <c r="B1873" s="1" t="n">
        <v>44175</v>
      </c>
      <c r="C1873" s="1" t="n">
        <v>45190</v>
      </c>
      <c r="D1873" t="inlineStr">
        <is>
          <t>SKÅNE LÄN</t>
        </is>
      </c>
      <c r="E1873" t="inlineStr">
        <is>
          <t>TOMELILLA</t>
        </is>
      </c>
      <c r="F1873" t="inlineStr">
        <is>
          <t>Kyrkan</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66043-2020</t>
        </is>
      </c>
      <c r="B1874" s="1" t="n">
        <v>44175</v>
      </c>
      <c r="C1874" s="1" t="n">
        <v>45190</v>
      </c>
      <c r="D1874" t="inlineStr">
        <is>
          <t>SKÅNE LÄN</t>
        </is>
      </c>
      <c r="E1874" t="inlineStr">
        <is>
          <t>HÖÖR</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66474-2020</t>
        </is>
      </c>
      <c r="B1875" s="1" t="n">
        <v>44177</v>
      </c>
      <c r="C1875" s="1" t="n">
        <v>45190</v>
      </c>
      <c r="D1875" t="inlineStr">
        <is>
          <t>SKÅNE LÄN</t>
        </is>
      </c>
      <c r="E1875" t="inlineStr">
        <is>
          <t>HÄSSLEHOLM</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66505-2020</t>
        </is>
      </c>
      <c r="B1876" s="1" t="n">
        <v>44178</v>
      </c>
      <c r="C1876" s="1" t="n">
        <v>45190</v>
      </c>
      <c r="D1876" t="inlineStr">
        <is>
          <t>SKÅNE LÄN</t>
        </is>
      </c>
      <c r="E1876" t="inlineStr">
        <is>
          <t>HÖÖR</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66507-2020</t>
        </is>
      </c>
      <c r="B1877" s="1" t="n">
        <v>44178</v>
      </c>
      <c r="C1877" s="1" t="n">
        <v>45190</v>
      </c>
      <c r="D1877" t="inlineStr">
        <is>
          <t>SKÅNE LÄN</t>
        </is>
      </c>
      <c r="E1877" t="inlineStr">
        <is>
          <t>HÖÖR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66520-2020</t>
        </is>
      </c>
      <c r="B1878" s="1" t="n">
        <v>44179</v>
      </c>
      <c r="C1878" s="1" t="n">
        <v>45190</v>
      </c>
      <c r="D1878" t="inlineStr">
        <is>
          <t>SKÅNE LÄN</t>
        </is>
      </c>
      <c r="E1878" t="inlineStr">
        <is>
          <t>HÄSSLEHOLM</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66666-2020</t>
        </is>
      </c>
      <c r="B1879" s="1" t="n">
        <v>44179</v>
      </c>
      <c r="C1879" s="1" t="n">
        <v>45190</v>
      </c>
      <c r="D1879" t="inlineStr">
        <is>
          <t>SKÅNE LÄN</t>
        </is>
      </c>
      <c r="E1879" t="inlineStr">
        <is>
          <t>PERSTORP</t>
        </is>
      </c>
      <c r="F1879" t="inlineStr">
        <is>
          <t>Kyrkan</t>
        </is>
      </c>
      <c r="G1879" t="n">
        <v>18.4</v>
      </c>
      <c r="H1879" t="n">
        <v>0</v>
      </c>
      <c r="I1879" t="n">
        <v>0</v>
      </c>
      <c r="J1879" t="n">
        <v>0</v>
      </c>
      <c r="K1879" t="n">
        <v>0</v>
      </c>
      <c r="L1879" t="n">
        <v>0</v>
      </c>
      <c r="M1879" t="n">
        <v>0</v>
      </c>
      <c r="N1879" t="n">
        <v>0</v>
      </c>
      <c r="O1879" t="n">
        <v>0</v>
      </c>
      <c r="P1879" t="n">
        <v>0</v>
      </c>
      <c r="Q1879" t="n">
        <v>0</v>
      </c>
      <c r="R1879" s="2" t="inlineStr"/>
    </row>
    <row r="1880" ht="15" customHeight="1">
      <c r="A1880" t="inlineStr">
        <is>
          <t>A 66543-2020</t>
        </is>
      </c>
      <c r="B1880" s="1" t="n">
        <v>44179</v>
      </c>
      <c r="C1880" s="1" t="n">
        <v>45190</v>
      </c>
      <c r="D1880" t="inlineStr">
        <is>
          <t>SKÅNE LÄN</t>
        </is>
      </c>
      <c r="E1880" t="inlineStr">
        <is>
          <t>OSBY</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66668-2020</t>
        </is>
      </c>
      <c r="B1881" s="1" t="n">
        <v>44179</v>
      </c>
      <c r="C1881" s="1" t="n">
        <v>45190</v>
      </c>
      <c r="D1881" t="inlineStr">
        <is>
          <t>SKÅNE LÄN</t>
        </is>
      </c>
      <c r="E1881" t="inlineStr">
        <is>
          <t>PERSTORP</t>
        </is>
      </c>
      <c r="F1881" t="inlineStr">
        <is>
          <t>Kyrkan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66941-2020</t>
        </is>
      </c>
      <c r="B1882" s="1" t="n">
        <v>44180</v>
      </c>
      <c r="C1882" s="1" t="n">
        <v>45190</v>
      </c>
      <c r="D1882" t="inlineStr">
        <is>
          <t>SKÅNE LÄN</t>
        </is>
      </c>
      <c r="E1882" t="inlineStr">
        <is>
          <t>OSBY</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67083-2020</t>
        </is>
      </c>
      <c r="B1883" s="1" t="n">
        <v>44180</v>
      </c>
      <c r="C1883" s="1" t="n">
        <v>45190</v>
      </c>
      <c r="D1883" t="inlineStr">
        <is>
          <t>SKÅNE LÄN</t>
        </is>
      </c>
      <c r="E1883" t="inlineStr">
        <is>
          <t>KRISTIANSTAD</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67974-2020</t>
        </is>
      </c>
      <c r="B1884" s="1" t="n">
        <v>44182</v>
      </c>
      <c r="C1884" s="1" t="n">
        <v>45190</v>
      </c>
      <c r="D1884" t="inlineStr">
        <is>
          <t>SKÅNE LÄN</t>
        </is>
      </c>
      <c r="E1884" t="inlineStr">
        <is>
          <t>HÄSSLEHOLM</t>
        </is>
      </c>
      <c r="G1884" t="n">
        <v>9</v>
      </c>
      <c r="H1884" t="n">
        <v>0</v>
      </c>
      <c r="I1884" t="n">
        <v>0</v>
      </c>
      <c r="J1884" t="n">
        <v>0</v>
      </c>
      <c r="K1884" t="n">
        <v>0</v>
      </c>
      <c r="L1884" t="n">
        <v>0</v>
      </c>
      <c r="M1884" t="n">
        <v>0</v>
      </c>
      <c r="N1884" t="n">
        <v>0</v>
      </c>
      <c r="O1884" t="n">
        <v>0</v>
      </c>
      <c r="P1884" t="n">
        <v>0</v>
      </c>
      <c r="Q1884" t="n">
        <v>0</v>
      </c>
      <c r="R1884" s="2" t="inlineStr"/>
    </row>
    <row r="1885" ht="15" customHeight="1">
      <c r="A1885" t="inlineStr">
        <is>
          <t>A 67630-2020</t>
        </is>
      </c>
      <c r="B1885" s="1" t="n">
        <v>44182</v>
      </c>
      <c r="C1885" s="1" t="n">
        <v>45190</v>
      </c>
      <c r="D1885" t="inlineStr">
        <is>
          <t>SKÅNE LÄN</t>
        </is>
      </c>
      <c r="E1885" t="inlineStr">
        <is>
          <t>PERSTORP</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67778-2020</t>
        </is>
      </c>
      <c r="B1886" s="1" t="n">
        <v>44182</v>
      </c>
      <c r="C1886" s="1" t="n">
        <v>45190</v>
      </c>
      <c r="D1886" t="inlineStr">
        <is>
          <t>SKÅNE LÄN</t>
        </is>
      </c>
      <c r="E1886" t="inlineStr">
        <is>
          <t>SVEDALA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68100-2020</t>
        </is>
      </c>
      <c r="B1887" s="1" t="n">
        <v>44183</v>
      </c>
      <c r="C1887" s="1" t="n">
        <v>45190</v>
      </c>
      <c r="D1887" t="inlineStr">
        <is>
          <t>SKÅNE LÄN</t>
        </is>
      </c>
      <c r="E1887" t="inlineStr">
        <is>
          <t>KRISTIANSTAD</t>
        </is>
      </c>
      <c r="F1887" t="inlineStr">
        <is>
          <t>Kyrkan</t>
        </is>
      </c>
      <c r="G1887" t="n">
        <v>7</v>
      </c>
      <c r="H1887" t="n">
        <v>0</v>
      </c>
      <c r="I1887" t="n">
        <v>0</v>
      </c>
      <c r="J1887" t="n">
        <v>0</v>
      </c>
      <c r="K1887" t="n">
        <v>0</v>
      </c>
      <c r="L1887" t="n">
        <v>0</v>
      </c>
      <c r="M1887" t="n">
        <v>0</v>
      </c>
      <c r="N1887" t="n">
        <v>0</v>
      </c>
      <c r="O1887" t="n">
        <v>0</v>
      </c>
      <c r="P1887" t="n">
        <v>0</v>
      </c>
      <c r="Q1887" t="n">
        <v>0</v>
      </c>
      <c r="R1887" s="2" t="inlineStr"/>
    </row>
    <row r="1888" ht="15" customHeight="1">
      <c r="A1888" t="inlineStr">
        <is>
          <t>A 68200-2020</t>
        </is>
      </c>
      <c r="B1888" s="1" t="n">
        <v>44183</v>
      </c>
      <c r="C1888" s="1" t="n">
        <v>45190</v>
      </c>
      <c r="D1888" t="inlineStr">
        <is>
          <t>SKÅNE LÄN</t>
        </is>
      </c>
      <c r="E1888" t="inlineStr">
        <is>
          <t>HÄSSLEHOLM</t>
        </is>
      </c>
      <c r="F1888" t="inlineStr">
        <is>
          <t>Kyrkan</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68428-2020</t>
        </is>
      </c>
      <c r="B1889" s="1" t="n">
        <v>44183</v>
      </c>
      <c r="C1889" s="1" t="n">
        <v>45190</v>
      </c>
      <c r="D1889" t="inlineStr">
        <is>
          <t>SKÅNE LÄN</t>
        </is>
      </c>
      <c r="E1889" t="inlineStr">
        <is>
          <t>ÄNGELHOLM</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68053-2020</t>
        </is>
      </c>
      <c r="B1890" s="1" t="n">
        <v>44183</v>
      </c>
      <c r="C1890" s="1" t="n">
        <v>45190</v>
      </c>
      <c r="D1890" t="inlineStr">
        <is>
          <t>SKÅNE LÄN</t>
        </is>
      </c>
      <c r="E1890" t="inlineStr">
        <is>
          <t>OSBY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68105-2020</t>
        </is>
      </c>
      <c r="B1891" s="1" t="n">
        <v>44183</v>
      </c>
      <c r="C1891" s="1" t="n">
        <v>45190</v>
      </c>
      <c r="D1891" t="inlineStr">
        <is>
          <t>SKÅNE LÄN</t>
        </is>
      </c>
      <c r="E1891" t="inlineStr">
        <is>
          <t>KRISTIANSTAD</t>
        </is>
      </c>
      <c r="F1891" t="inlineStr">
        <is>
          <t>Kyrkan</t>
        </is>
      </c>
      <c r="G1891" t="n">
        <v>7.6</v>
      </c>
      <c r="H1891" t="n">
        <v>0</v>
      </c>
      <c r="I1891" t="n">
        <v>0</v>
      </c>
      <c r="J1891" t="n">
        <v>0</v>
      </c>
      <c r="K1891" t="n">
        <v>0</v>
      </c>
      <c r="L1891" t="n">
        <v>0</v>
      </c>
      <c r="M1891" t="n">
        <v>0</v>
      </c>
      <c r="N1891" t="n">
        <v>0</v>
      </c>
      <c r="O1891" t="n">
        <v>0</v>
      </c>
      <c r="P1891" t="n">
        <v>0</v>
      </c>
      <c r="Q1891" t="n">
        <v>0</v>
      </c>
      <c r="R1891" s="2" t="inlineStr"/>
    </row>
    <row r="1892" ht="15" customHeight="1">
      <c r="A1892" t="inlineStr">
        <is>
          <t>A 68402-2020</t>
        </is>
      </c>
      <c r="B1892" s="1" t="n">
        <v>44186</v>
      </c>
      <c r="C1892" s="1" t="n">
        <v>45190</v>
      </c>
      <c r="D1892" t="inlineStr">
        <is>
          <t>SKÅNE LÄN</t>
        </is>
      </c>
      <c r="E1892" t="inlineStr">
        <is>
          <t>OSBY</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68508-2020</t>
        </is>
      </c>
      <c r="B1893" s="1" t="n">
        <v>44186</v>
      </c>
      <c r="C1893" s="1" t="n">
        <v>45190</v>
      </c>
      <c r="D1893" t="inlineStr">
        <is>
          <t>SKÅNE LÄN</t>
        </is>
      </c>
      <c r="E1893" t="inlineStr">
        <is>
          <t>ÖRKELLJUNGA</t>
        </is>
      </c>
      <c r="G1893" t="n">
        <v>7.4</v>
      </c>
      <c r="H1893" t="n">
        <v>0</v>
      </c>
      <c r="I1893" t="n">
        <v>0</v>
      </c>
      <c r="J1893" t="n">
        <v>0</v>
      </c>
      <c r="K1893" t="n">
        <v>0</v>
      </c>
      <c r="L1893" t="n">
        <v>0</v>
      </c>
      <c r="M1893" t="n">
        <v>0</v>
      </c>
      <c r="N1893" t="n">
        <v>0</v>
      </c>
      <c r="O1893" t="n">
        <v>0</v>
      </c>
      <c r="P1893" t="n">
        <v>0</v>
      </c>
      <c r="Q1893" t="n">
        <v>0</v>
      </c>
      <c r="R1893" s="2" t="inlineStr"/>
    </row>
    <row r="1894" ht="15" customHeight="1">
      <c r="A1894" t="inlineStr">
        <is>
          <t>A 68502-2020</t>
        </is>
      </c>
      <c r="B1894" s="1" t="n">
        <v>44186</v>
      </c>
      <c r="C1894" s="1" t="n">
        <v>45190</v>
      </c>
      <c r="D1894" t="inlineStr">
        <is>
          <t>SKÅNE LÄN</t>
        </is>
      </c>
      <c r="E1894" t="inlineStr">
        <is>
          <t>ÖRKELLJUNGA</t>
        </is>
      </c>
      <c r="G1894" t="n">
        <v>0.2</v>
      </c>
      <c r="H1894" t="n">
        <v>0</v>
      </c>
      <c r="I1894" t="n">
        <v>0</v>
      </c>
      <c r="J1894" t="n">
        <v>0</v>
      </c>
      <c r="K1894" t="n">
        <v>0</v>
      </c>
      <c r="L1894" t="n">
        <v>0</v>
      </c>
      <c r="M1894" t="n">
        <v>0</v>
      </c>
      <c r="N1894" t="n">
        <v>0</v>
      </c>
      <c r="O1894" t="n">
        <v>0</v>
      </c>
      <c r="P1894" t="n">
        <v>0</v>
      </c>
      <c r="Q1894" t="n">
        <v>0</v>
      </c>
      <c r="R1894" s="2" t="inlineStr"/>
    </row>
    <row r="1895" ht="15" customHeight="1">
      <c r="A1895" t="inlineStr">
        <is>
          <t>A 68794-2020</t>
        </is>
      </c>
      <c r="B1895" s="1" t="n">
        <v>44186</v>
      </c>
      <c r="C1895" s="1" t="n">
        <v>45190</v>
      </c>
      <c r="D1895" t="inlineStr">
        <is>
          <t>SKÅNE LÄN</t>
        </is>
      </c>
      <c r="E1895" t="inlineStr">
        <is>
          <t>HÄSSLEHOLM</t>
        </is>
      </c>
      <c r="G1895" t="n">
        <v>8.9</v>
      </c>
      <c r="H1895" t="n">
        <v>0</v>
      </c>
      <c r="I1895" t="n">
        <v>0</v>
      </c>
      <c r="J1895" t="n">
        <v>0</v>
      </c>
      <c r="K1895" t="n">
        <v>0</v>
      </c>
      <c r="L1895" t="n">
        <v>0</v>
      </c>
      <c r="M1895" t="n">
        <v>0</v>
      </c>
      <c r="N1895" t="n">
        <v>0</v>
      </c>
      <c r="O1895" t="n">
        <v>0</v>
      </c>
      <c r="P1895" t="n">
        <v>0</v>
      </c>
      <c r="Q1895" t="n">
        <v>0</v>
      </c>
      <c r="R1895" s="2" t="inlineStr"/>
    </row>
    <row r="1896" ht="15" customHeight="1">
      <c r="A1896" t="inlineStr">
        <is>
          <t>A 68840-2020</t>
        </is>
      </c>
      <c r="B1896" s="1" t="n">
        <v>44186</v>
      </c>
      <c r="C1896" s="1" t="n">
        <v>45190</v>
      </c>
      <c r="D1896" t="inlineStr">
        <is>
          <t>SKÅNE LÄN</t>
        </is>
      </c>
      <c r="E1896" t="inlineStr">
        <is>
          <t>KRISTIANSTAD</t>
        </is>
      </c>
      <c r="G1896" t="n">
        <v>3.1</v>
      </c>
      <c r="H1896" t="n">
        <v>0</v>
      </c>
      <c r="I1896" t="n">
        <v>0</v>
      </c>
      <c r="J1896" t="n">
        <v>0</v>
      </c>
      <c r="K1896" t="n">
        <v>0</v>
      </c>
      <c r="L1896" t="n">
        <v>0</v>
      </c>
      <c r="M1896" t="n">
        <v>0</v>
      </c>
      <c r="N1896" t="n">
        <v>0</v>
      </c>
      <c r="O1896" t="n">
        <v>0</v>
      </c>
      <c r="P1896" t="n">
        <v>0</v>
      </c>
      <c r="Q1896" t="n">
        <v>0</v>
      </c>
      <c r="R1896" s="2" t="inlineStr"/>
    </row>
    <row r="1897" ht="15" customHeight="1">
      <c r="A1897" t="inlineStr">
        <is>
          <t>A 68634-2020</t>
        </is>
      </c>
      <c r="B1897" s="1" t="n">
        <v>44186</v>
      </c>
      <c r="C1897" s="1" t="n">
        <v>45190</v>
      </c>
      <c r="D1897" t="inlineStr">
        <is>
          <t>SKÅNE LÄN</t>
        </is>
      </c>
      <c r="E1897" t="inlineStr">
        <is>
          <t>KRISTIANSTAD</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68838-2020</t>
        </is>
      </c>
      <c r="B1898" s="1" t="n">
        <v>44186</v>
      </c>
      <c r="C1898" s="1" t="n">
        <v>45190</v>
      </c>
      <c r="D1898" t="inlineStr">
        <is>
          <t>SKÅNE LÄN</t>
        </is>
      </c>
      <c r="E1898" t="inlineStr">
        <is>
          <t>ESLÖV</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68845-2020</t>
        </is>
      </c>
      <c r="B1899" s="1" t="n">
        <v>44186</v>
      </c>
      <c r="C1899" s="1" t="n">
        <v>45190</v>
      </c>
      <c r="D1899" t="inlineStr">
        <is>
          <t>SKÅNE LÄN</t>
        </is>
      </c>
      <c r="E1899" t="inlineStr">
        <is>
          <t>KRISTIANSTAD</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68854-2020</t>
        </is>
      </c>
      <c r="B1900" s="1" t="n">
        <v>44187</v>
      </c>
      <c r="C1900" s="1" t="n">
        <v>45190</v>
      </c>
      <c r="D1900" t="inlineStr">
        <is>
          <t>SKÅNE LÄN</t>
        </is>
      </c>
      <c r="E1900" t="inlineStr">
        <is>
          <t>ÖSTRA GÖINGE</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69109-2020</t>
        </is>
      </c>
      <c r="B1901" s="1" t="n">
        <v>44188</v>
      </c>
      <c r="C1901" s="1" t="n">
        <v>45190</v>
      </c>
      <c r="D1901" t="inlineStr">
        <is>
          <t>SKÅNE LÄN</t>
        </is>
      </c>
      <c r="E1901" t="inlineStr">
        <is>
          <t>HÄSSLEHOLM</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69160-2020</t>
        </is>
      </c>
      <c r="B1902" s="1" t="n">
        <v>44188</v>
      </c>
      <c r="C1902" s="1" t="n">
        <v>45190</v>
      </c>
      <c r="D1902" t="inlineStr">
        <is>
          <t>SKÅNE LÄN</t>
        </is>
      </c>
      <c r="E1902" t="inlineStr">
        <is>
          <t>OSBY</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69339-2020</t>
        </is>
      </c>
      <c r="B1903" s="1" t="n">
        <v>44188</v>
      </c>
      <c r="C1903" s="1" t="n">
        <v>45190</v>
      </c>
      <c r="D1903" t="inlineStr">
        <is>
          <t>SKÅNE LÄN</t>
        </is>
      </c>
      <c r="E1903" t="inlineStr">
        <is>
          <t>HÄSSLEHOLM</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69112-2020</t>
        </is>
      </c>
      <c r="B1904" s="1" t="n">
        <v>44188</v>
      </c>
      <c r="C1904" s="1" t="n">
        <v>45190</v>
      </c>
      <c r="D1904" t="inlineStr">
        <is>
          <t>SKÅNE LÄN</t>
        </is>
      </c>
      <c r="E1904" t="inlineStr">
        <is>
          <t>HÄSSLEHOLM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69103-2020</t>
        </is>
      </c>
      <c r="B1905" s="1" t="n">
        <v>44188</v>
      </c>
      <c r="C1905" s="1" t="n">
        <v>45190</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69201-2020</t>
        </is>
      </c>
      <c r="B1906" s="1" t="n">
        <v>44191</v>
      </c>
      <c r="C1906" s="1" t="n">
        <v>45190</v>
      </c>
      <c r="D1906" t="inlineStr">
        <is>
          <t>SKÅNE LÄN</t>
        </is>
      </c>
      <c r="E1906" t="inlineStr">
        <is>
          <t>HÄSSLEHOLM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69190-2020</t>
        </is>
      </c>
      <c r="B1907" s="1" t="n">
        <v>44191</v>
      </c>
      <c r="C1907" s="1" t="n">
        <v>45190</v>
      </c>
      <c r="D1907" t="inlineStr">
        <is>
          <t>SKÅNE LÄN</t>
        </is>
      </c>
      <c r="E1907" t="inlineStr">
        <is>
          <t>BÅSTAD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69198-2020</t>
        </is>
      </c>
      <c r="B1908" s="1" t="n">
        <v>44191</v>
      </c>
      <c r="C1908" s="1" t="n">
        <v>45190</v>
      </c>
      <c r="D1908" t="inlineStr">
        <is>
          <t>SKÅNE LÄN</t>
        </is>
      </c>
      <c r="E1908" t="inlineStr">
        <is>
          <t>HÄSSLEHOLM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69273-2020</t>
        </is>
      </c>
      <c r="B1909" s="1" t="n">
        <v>44193</v>
      </c>
      <c r="C1909" s="1" t="n">
        <v>45190</v>
      </c>
      <c r="D1909" t="inlineStr">
        <is>
          <t>SKÅNE LÄN</t>
        </is>
      </c>
      <c r="E1909" t="inlineStr">
        <is>
          <t>KRISTIANSTAD</t>
        </is>
      </c>
      <c r="G1909" t="n">
        <v>0.2</v>
      </c>
      <c r="H1909" t="n">
        <v>0</v>
      </c>
      <c r="I1909" t="n">
        <v>0</v>
      </c>
      <c r="J1909" t="n">
        <v>0</v>
      </c>
      <c r="K1909" t="n">
        <v>0</v>
      </c>
      <c r="L1909" t="n">
        <v>0</v>
      </c>
      <c r="M1909" t="n">
        <v>0</v>
      </c>
      <c r="N1909" t="n">
        <v>0</v>
      </c>
      <c r="O1909" t="n">
        <v>0</v>
      </c>
      <c r="P1909" t="n">
        <v>0</v>
      </c>
      <c r="Q1909" t="n">
        <v>0</v>
      </c>
      <c r="R1909" s="2" t="inlineStr"/>
    </row>
    <row r="1910" ht="15" customHeight="1">
      <c r="A1910" t="inlineStr">
        <is>
          <t>A 69461-2020</t>
        </is>
      </c>
      <c r="B1910" s="1" t="n">
        <v>44193</v>
      </c>
      <c r="C1910" s="1" t="n">
        <v>45190</v>
      </c>
      <c r="D1910" t="inlineStr">
        <is>
          <t>SKÅNE LÄN</t>
        </is>
      </c>
      <c r="E1910" t="inlineStr">
        <is>
          <t>ÖSTRA GÖINGE</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69463-2020</t>
        </is>
      </c>
      <c r="B1911" s="1" t="n">
        <v>44193</v>
      </c>
      <c r="C1911" s="1" t="n">
        <v>45190</v>
      </c>
      <c r="D1911" t="inlineStr">
        <is>
          <t>SKÅNE LÄN</t>
        </is>
      </c>
      <c r="E1911" t="inlineStr">
        <is>
          <t>ÖSTRA GÖINGE</t>
        </is>
      </c>
      <c r="G1911" t="n">
        <v>22.9</v>
      </c>
      <c r="H1911" t="n">
        <v>0</v>
      </c>
      <c r="I1911" t="n">
        <v>0</v>
      </c>
      <c r="J1911" t="n">
        <v>0</v>
      </c>
      <c r="K1911" t="n">
        <v>0</v>
      </c>
      <c r="L1911" t="n">
        <v>0</v>
      </c>
      <c r="M1911" t="n">
        <v>0</v>
      </c>
      <c r="N1911" t="n">
        <v>0</v>
      </c>
      <c r="O1911" t="n">
        <v>0</v>
      </c>
      <c r="P1911" t="n">
        <v>0</v>
      </c>
      <c r="Q1911" t="n">
        <v>0</v>
      </c>
      <c r="R1911" s="2" t="inlineStr"/>
    </row>
    <row r="1912" ht="15" customHeight="1">
      <c r="A1912" t="inlineStr">
        <is>
          <t>A 69462-2020</t>
        </is>
      </c>
      <c r="B1912" s="1" t="n">
        <v>44193</v>
      </c>
      <c r="C1912" s="1" t="n">
        <v>45190</v>
      </c>
      <c r="D1912" t="inlineStr">
        <is>
          <t>SKÅNE LÄN</t>
        </is>
      </c>
      <c r="E1912" t="inlineStr">
        <is>
          <t>ÖSTRA GÖINGE</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69500-2020</t>
        </is>
      </c>
      <c r="B1913" s="1" t="n">
        <v>44194</v>
      </c>
      <c r="C1913" s="1" t="n">
        <v>45190</v>
      </c>
      <c r="D1913" t="inlineStr">
        <is>
          <t>SKÅNE LÄN</t>
        </is>
      </c>
      <c r="E1913" t="inlineStr">
        <is>
          <t>HÄSSLEHOLM</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69504-2020</t>
        </is>
      </c>
      <c r="B1914" s="1" t="n">
        <v>44194</v>
      </c>
      <c r="C1914" s="1" t="n">
        <v>45190</v>
      </c>
      <c r="D1914" t="inlineStr">
        <is>
          <t>SKÅNE LÄN</t>
        </is>
      </c>
      <c r="E1914" t="inlineStr">
        <is>
          <t>HÄSSLEHOLM</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69530-2020</t>
        </is>
      </c>
      <c r="B1915" s="1" t="n">
        <v>44194</v>
      </c>
      <c r="C1915" s="1" t="n">
        <v>45190</v>
      </c>
      <c r="D1915" t="inlineStr">
        <is>
          <t>SKÅNE LÄN</t>
        </is>
      </c>
      <c r="E1915" t="inlineStr">
        <is>
          <t>OSBY</t>
        </is>
      </c>
      <c r="F1915" t="inlineStr">
        <is>
          <t>Kommuner</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69505-2020</t>
        </is>
      </c>
      <c r="B1916" s="1" t="n">
        <v>44194</v>
      </c>
      <c r="C1916" s="1" t="n">
        <v>45190</v>
      </c>
      <c r="D1916" t="inlineStr">
        <is>
          <t>SKÅNE LÄN</t>
        </is>
      </c>
      <c r="E1916" t="inlineStr">
        <is>
          <t>HÄSSLEHOLM</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69609-2020</t>
        </is>
      </c>
      <c r="B1917" s="1" t="n">
        <v>44195</v>
      </c>
      <c r="C1917" s="1" t="n">
        <v>45190</v>
      </c>
      <c r="D1917" t="inlineStr">
        <is>
          <t>SKÅNE LÄN</t>
        </is>
      </c>
      <c r="E1917" t="inlineStr">
        <is>
          <t>KLIPPAN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47-2021</t>
        </is>
      </c>
      <c r="B1918" s="1" t="n">
        <v>44199</v>
      </c>
      <c r="C1918" s="1" t="n">
        <v>45190</v>
      </c>
      <c r="D1918" t="inlineStr">
        <is>
          <t>SKÅNE LÄN</t>
        </is>
      </c>
      <c r="E1918" t="inlineStr">
        <is>
          <t>HÄSSLEHOLM</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50-2021</t>
        </is>
      </c>
      <c r="B1919" s="1" t="n">
        <v>44199</v>
      </c>
      <c r="C1919" s="1" t="n">
        <v>45190</v>
      </c>
      <c r="D1919" t="inlineStr">
        <is>
          <t>SKÅNE LÄN</t>
        </is>
      </c>
      <c r="E1919" t="inlineStr">
        <is>
          <t>KRISTIANSTAD</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49-2021</t>
        </is>
      </c>
      <c r="B1920" s="1" t="n">
        <v>44199</v>
      </c>
      <c r="C1920" s="1" t="n">
        <v>45190</v>
      </c>
      <c r="D1920" t="inlineStr">
        <is>
          <t>SKÅNE LÄN</t>
        </is>
      </c>
      <c r="E1920" t="inlineStr">
        <is>
          <t>KRISTIANSTAD</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155-2021</t>
        </is>
      </c>
      <c r="B1921" s="1" t="n">
        <v>44200</v>
      </c>
      <c r="C1921" s="1" t="n">
        <v>45190</v>
      </c>
      <c r="D1921" t="inlineStr">
        <is>
          <t>SKÅNE LÄN</t>
        </is>
      </c>
      <c r="E1921" t="inlineStr">
        <is>
          <t>OSBY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157-2021</t>
        </is>
      </c>
      <c r="B1922" s="1" t="n">
        <v>44200</v>
      </c>
      <c r="C1922" s="1" t="n">
        <v>45190</v>
      </c>
      <c r="D1922" t="inlineStr">
        <is>
          <t>SKÅNE LÄN</t>
        </is>
      </c>
      <c r="E1922" t="inlineStr">
        <is>
          <t>OSBY</t>
        </is>
      </c>
      <c r="G1922" t="n">
        <v>2.9</v>
      </c>
      <c r="H1922" t="n">
        <v>0</v>
      </c>
      <c r="I1922" t="n">
        <v>0</v>
      </c>
      <c r="J1922" t="n">
        <v>0</v>
      </c>
      <c r="K1922" t="n">
        <v>0</v>
      </c>
      <c r="L1922" t="n">
        <v>0</v>
      </c>
      <c r="M1922" t="n">
        <v>0</v>
      </c>
      <c r="N1922" t="n">
        <v>0</v>
      </c>
      <c r="O1922" t="n">
        <v>0</v>
      </c>
      <c r="P1922" t="n">
        <v>0</v>
      </c>
      <c r="Q1922" t="n">
        <v>0</v>
      </c>
      <c r="R1922" s="2" t="inlineStr"/>
    </row>
    <row r="1923" ht="15" customHeight="1">
      <c r="A1923" t="inlineStr">
        <is>
          <t>A 197-2021</t>
        </is>
      </c>
      <c r="B1923" s="1" t="n">
        <v>44200</v>
      </c>
      <c r="C1923" s="1" t="n">
        <v>45190</v>
      </c>
      <c r="D1923" t="inlineStr">
        <is>
          <t>SKÅNE LÄN</t>
        </is>
      </c>
      <c r="E1923" t="inlineStr">
        <is>
          <t>HÄSSLEHOLM</t>
        </is>
      </c>
      <c r="G1923" t="n">
        <v>12.9</v>
      </c>
      <c r="H1923" t="n">
        <v>0</v>
      </c>
      <c r="I1923" t="n">
        <v>0</v>
      </c>
      <c r="J1923" t="n">
        <v>0</v>
      </c>
      <c r="K1923" t="n">
        <v>0</v>
      </c>
      <c r="L1923" t="n">
        <v>0</v>
      </c>
      <c r="M1923" t="n">
        <v>0</v>
      </c>
      <c r="N1923" t="n">
        <v>0</v>
      </c>
      <c r="O1923" t="n">
        <v>0</v>
      </c>
      <c r="P1923" t="n">
        <v>0</v>
      </c>
      <c r="Q1923" t="n">
        <v>0</v>
      </c>
      <c r="R1923" s="2" t="inlineStr"/>
    </row>
    <row r="1924" ht="15" customHeight="1">
      <c r="A1924" t="inlineStr">
        <is>
          <t>A 771-2021</t>
        </is>
      </c>
      <c r="B1924" s="1" t="n">
        <v>44203</v>
      </c>
      <c r="C1924" s="1" t="n">
        <v>45190</v>
      </c>
      <c r="D1924" t="inlineStr">
        <is>
          <t>SKÅNE LÄN</t>
        </is>
      </c>
      <c r="E1924" t="inlineStr">
        <is>
          <t>SJÖBO</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960-2021</t>
        </is>
      </c>
      <c r="B1925" s="1" t="n">
        <v>44207</v>
      </c>
      <c r="C1925" s="1" t="n">
        <v>45190</v>
      </c>
      <c r="D1925" t="inlineStr">
        <is>
          <t>SKÅNE LÄN</t>
        </is>
      </c>
      <c r="E1925" t="inlineStr">
        <is>
          <t>ÖSTRA GÖINGE</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964-2021</t>
        </is>
      </c>
      <c r="B1926" s="1" t="n">
        <v>44207</v>
      </c>
      <c r="C1926" s="1" t="n">
        <v>45190</v>
      </c>
      <c r="D1926" t="inlineStr">
        <is>
          <t>SKÅNE LÄN</t>
        </is>
      </c>
      <c r="E1926" t="inlineStr">
        <is>
          <t>HÄSSLEHOLM</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1136-2021</t>
        </is>
      </c>
      <c r="B1927" s="1" t="n">
        <v>44207</v>
      </c>
      <c r="C1927" s="1" t="n">
        <v>45190</v>
      </c>
      <c r="D1927" t="inlineStr">
        <is>
          <t>SKÅNE LÄN</t>
        </is>
      </c>
      <c r="E1927" t="inlineStr">
        <is>
          <t>ÖRKELLJUNGA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1127-2021</t>
        </is>
      </c>
      <c r="B1928" s="1" t="n">
        <v>44207</v>
      </c>
      <c r="C1928" s="1" t="n">
        <v>45190</v>
      </c>
      <c r="D1928" t="inlineStr">
        <is>
          <t>SKÅNE LÄN</t>
        </is>
      </c>
      <c r="E1928" t="inlineStr">
        <is>
          <t>ÖRKELLJUNGA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1445-2021</t>
        </is>
      </c>
      <c r="B1929" s="1" t="n">
        <v>44208</v>
      </c>
      <c r="C1929" s="1" t="n">
        <v>45190</v>
      </c>
      <c r="D1929" t="inlineStr">
        <is>
          <t>SKÅNE LÄN</t>
        </is>
      </c>
      <c r="E1929" t="inlineStr">
        <is>
          <t>HÄSSLEHOLM</t>
        </is>
      </c>
      <c r="G1929" t="n">
        <v>4.6</v>
      </c>
      <c r="H1929" t="n">
        <v>0</v>
      </c>
      <c r="I1929" t="n">
        <v>0</v>
      </c>
      <c r="J1929" t="n">
        <v>0</v>
      </c>
      <c r="K1929" t="n">
        <v>0</v>
      </c>
      <c r="L1929" t="n">
        <v>0</v>
      </c>
      <c r="M1929" t="n">
        <v>0</v>
      </c>
      <c r="N1929" t="n">
        <v>0</v>
      </c>
      <c r="O1929" t="n">
        <v>0</v>
      </c>
      <c r="P1929" t="n">
        <v>0</v>
      </c>
      <c r="Q1929" t="n">
        <v>0</v>
      </c>
      <c r="R1929" s="2" t="inlineStr"/>
    </row>
    <row r="1930" ht="15" customHeight="1">
      <c r="A1930" t="inlineStr">
        <is>
          <t>A 1344-2021</t>
        </is>
      </c>
      <c r="B1930" s="1" t="n">
        <v>44208</v>
      </c>
      <c r="C1930" s="1" t="n">
        <v>45190</v>
      </c>
      <c r="D1930" t="inlineStr">
        <is>
          <t>SKÅNE LÄN</t>
        </is>
      </c>
      <c r="E1930" t="inlineStr">
        <is>
          <t>HÄSSLEHOLM</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1461-2021</t>
        </is>
      </c>
      <c r="B1931" s="1" t="n">
        <v>44208</v>
      </c>
      <c r="C1931" s="1" t="n">
        <v>45190</v>
      </c>
      <c r="D1931" t="inlineStr">
        <is>
          <t>SKÅNE LÄN</t>
        </is>
      </c>
      <c r="E1931" t="inlineStr">
        <is>
          <t>HÄSSLEHOLM</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1318-2021</t>
        </is>
      </c>
      <c r="B1932" s="1" t="n">
        <v>44208</v>
      </c>
      <c r="C1932" s="1" t="n">
        <v>45190</v>
      </c>
      <c r="D1932" t="inlineStr">
        <is>
          <t>SKÅNE LÄN</t>
        </is>
      </c>
      <c r="E1932" t="inlineStr">
        <is>
          <t>OSBY</t>
        </is>
      </c>
      <c r="F1932" t="inlineStr">
        <is>
          <t>Sveaskog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1428-2021</t>
        </is>
      </c>
      <c r="B1933" s="1" t="n">
        <v>44208</v>
      </c>
      <c r="C1933" s="1" t="n">
        <v>45190</v>
      </c>
      <c r="D1933" t="inlineStr">
        <is>
          <t>SKÅNE LÄN</t>
        </is>
      </c>
      <c r="E1933" t="inlineStr">
        <is>
          <t>TOMELILLA</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1366-2021</t>
        </is>
      </c>
      <c r="B1934" s="1" t="n">
        <v>44208</v>
      </c>
      <c r="C1934" s="1" t="n">
        <v>45190</v>
      </c>
      <c r="D1934" t="inlineStr">
        <is>
          <t>SKÅNE LÄN</t>
        </is>
      </c>
      <c r="E1934" t="inlineStr">
        <is>
          <t>YSTAD</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1394-2021</t>
        </is>
      </c>
      <c r="B1935" s="1" t="n">
        <v>44208</v>
      </c>
      <c r="C1935" s="1" t="n">
        <v>45190</v>
      </c>
      <c r="D1935" t="inlineStr">
        <is>
          <t>SKÅNE LÄN</t>
        </is>
      </c>
      <c r="E1935" t="inlineStr">
        <is>
          <t>HÖRBY</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1578-2021</t>
        </is>
      </c>
      <c r="B1936" s="1" t="n">
        <v>44209</v>
      </c>
      <c r="C1936" s="1" t="n">
        <v>45190</v>
      </c>
      <c r="D1936" t="inlineStr">
        <is>
          <t>SKÅNE LÄN</t>
        </is>
      </c>
      <c r="E1936" t="inlineStr">
        <is>
          <t>ÄNGELHOLM</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1563-2021</t>
        </is>
      </c>
      <c r="B1937" s="1" t="n">
        <v>44209</v>
      </c>
      <c r="C1937" s="1" t="n">
        <v>45190</v>
      </c>
      <c r="D1937" t="inlineStr">
        <is>
          <t>SKÅNE LÄN</t>
        </is>
      </c>
      <c r="E1937" t="inlineStr">
        <is>
          <t>SJÖBO</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1620-2021</t>
        </is>
      </c>
      <c r="B1938" s="1" t="n">
        <v>44209</v>
      </c>
      <c r="C1938" s="1" t="n">
        <v>45190</v>
      </c>
      <c r="D1938" t="inlineStr">
        <is>
          <t>SKÅNE LÄN</t>
        </is>
      </c>
      <c r="E1938" t="inlineStr">
        <is>
          <t>ÄNGELHOLM</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1824-2021</t>
        </is>
      </c>
      <c r="B1939" s="1" t="n">
        <v>44210</v>
      </c>
      <c r="C1939" s="1" t="n">
        <v>45190</v>
      </c>
      <c r="D1939" t="inlineStr">
        <is>
          <t>SKÅNE LÄN</t>
        </is>
      </c>
      <c r="E1939" t="inlineStr">
        <is>
          <t>ÖSTRA GÖINGE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1828-2021</t>
        </is>
      </c>
      <c r="B1940" s="1" t="n">
        <v>44210</v>
      </c>
      <c r="C1940" s="1" t="n">
        <v>45190</v>
      </c>
      <c r="D1940" t="inlineStr">
        <is>
          <t>SKÅNE LÄN</t>
        </is>
      </c>
      <c r="E1940" t="inlineStr">
        <is>
          <t>OSBY</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1876-2021</t>
        </is>
      </c>
      <c r="B1941" s="1" t="n">
        <v>44210</v>
      </c>
      <c r="C1941" s="1" t="n">
        <v>45190</v>
      </c>
      <c r="D1941" t="inlineStr">
        <is>
          <t>SKÅNE LÄN</t>
        </is>
      </c>
      <c r="E1941" t="inlineStr">
        <is>
          <t>OSBY</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2272-2021</t>
        </is>
      </c>
      <c r="B1942" s="1" t="n">
        <v>44211</v>
      </c>
      <c r="C1942" s="1" t="n">
        <v>45190</v>
      </c>
      <c r="D1942" t="inlineStr">
        <is>
          <t>SKÅNE LÄN</t>
        </is>
      </c>
      <c r="E1942" t="inlineStr">
        <is>
          <t>KRISTIANSTAD</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2424-2021</t>
        </is>
      </c>
      <c r="B1943" s="1" t="n">
        <v>44211</v>
      </c>
      <c r="C1943" s="1" t="n">
        <v>45190</v>
      </c>
      <c r="D1943" t="inlineStr">
        <is>
          <t>SKÅNE LÄN</t>
        </is>
      </c>
      <c r="E1943" t="inlineStr">
        <is>
          <t>KLIPPAN</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2462-2021</t>
        </is>
      </c>
      <c r="B1944" s="1" t="n">
        <v>44213</v>
      </c>
      <c r="C1944" s="1" t="n">
        <v>45190</v>
      </c>
      <c r="D1944" t="inlineStr">
        <is>
          <t>SKÅNE LÄN</t>
        </is>
      </c>
      <c r="E1944" t="inlineStr">
        <is>
          <t>ÖRKELLJUNGA</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2532-2021</t>
        </is>
      </c>
      <c r="B1945" s="1" t="n">
        <v>44214</v>
      </c>
      <c r="C1945" s="1" t="n">
        <v>45190</v>
      </c>
      <c r="D1945" t="inlineStr">
        <is>
          <t>SKÅNE LÄN</t>
        </is>
      </c>
      <c r="E1945" t="inlineStr">
        <is>
          <t>ÖSTRA GÖINGE</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2408-2021</t>
        </is>
      </c>
      <c r="B1946" s="1" t="n">
        <v>44214</v>
      </c>
      <c r="C1946" s="1" t="n">
        <v>45190</v>
      </c>
      <c r="D1946" t="inlineStr">
        <is>
          <t>SKÅNE LÄN</t>
        </is>
      </c>
      <c r="E1946" t="inlineStr">
        <is>
          <t>OSBY</t>
        </is>
      </c>
      <c r="G1946" t="n">
        <v>2.8</v>
      </c>
      <c r="H1946" t="n">
        <v>0</v>
      </c>
      <c r="I1946" t="n">
        <v>0</v>
      </c>
      <c r="J1946" t="n">
        <v>0</v>
      </c>
      <c r="K1946" t="n">
        <v>0</v>
      </c>
      <c r="L1946" t="n">
        <v>0</v>
      </c>
      <c r="M1946" t="n">
        <v>0</v>
      </c>
      <c r="N1946" t="n">
        <v>0</v>
      </c>
      <c r="O1946" t="n">
        <v>0</v>
      </c>
      <c r="P1946" t="n">
        <v>0</v>
      </c>
      <c r="Q1946" t="n">
        <v>0</v>
      </c>
      <c r="R1946" s="2" t="inlineStr"/>
    </row>
    <row r="1947" ht="15" customHeight="1">
      <c r="A1947" t="inlineStr">
        <is>
          <t>A 2399-2021</t>
        </is>
      </c>
      <c r="B1947" s="1" t="n">
        <v>44214</v>
      </c>
      <c r="C1947" s="1" t="n">
        <v>45190</v>
      </c>
      <c r="D1947" t="inlineStr">
        <is>
          <t>SKÅNE LÄN</t>
        </is>
      </c>
      <c r="E1947" t="inlineStr">
        <is>
          <t>OSBY</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2412-2021</t>
        </is>
      </c>
      <c r="B1948" s="1" t="n">
        <v>44214</v>
      </c>
      <c r="C1948" s="1" t="n">
        <v>45190</v>
      </c>
      <c r="D1948" t="inlineStr">
        <is>
          <t>SKÅNE LÄN</t>
        </is>
      </c>
      <c r="E1948" t="inlineStr">
        <is>
          <t>OSBY</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2514-2021</t>
        </is>
      </c>
      <c r="B1949" s="1" t="n">
        <v>44214</v>
      </c>
      <c r="C1949" s="1" t="n">
        <v>45190</v>
      </c>
      <c r="D1949" t="inlineStr">
        <is>
          <t>SKÅNE LÄN</t>
        </is>
      </c>
      <c r="E1949" t="inlineStr">
        <is>
          <t>HÄSSLEHOLM</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2509-2021</t>
        </is>
      </c>
      <c r="B1950" s="1" t="n">
        <v>44214</v>
      </c>
      <c r="C1950" s="1" t="n">
        <v>45190</v>
      </c>
      <c r="D1950" t="inlineStr">
        <is>
          <t>SKÅNE LÄN</t>
        </is>
      </c>
      <c r="E1950" t="inlineStr">
        <is>
          <t>HÄSSLEHOLM</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2625-2021</t>
        </is>
      </c>
      <c r="B1951" s="1" t="n">
        <v>44215</v>
      </c>
      <c r="C1951" s="1" t="n">
        <v>45190</v>
      </c>
      <c r="D1951" t="inlineStr">
        <is>
          <t>SKÅNE LÄN</t>
        </is>
      </c>
      <c r="E1951" t="inlineStr">
        <is>
          <t>ÖSTRA GÖINGE</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2721-2021</t>
        </is>
      </c>
      <c r="B1952" s="1" t="n">
        <v>44215</v>
      </c>
      <c r="C1952" s="1" t="n">
        <v>45190</v>
      </c>
      <c r="D1952" t="inlineStr">
        <is>
          <t>SKÅNE LÄN</t>
        </is>
      </c>
      <c r="E1952" t="inlineStr">
        <is>
          <t>HÖÖR</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2770-2021</t>
        </is>
      </c>
      <c r="B1953" s="1" t="n">
        <v>44215</v>
      </c>
      <c r="C1953" s="1" t="n">
        <v>45190</v>
      </c>
      <c r="D1953" t="inlineStr">
        <is>
          <t>SKÅNE LÄN</t>
        </is>
      </c>
      <c r="E1953" t="inlineStr">
        <is>
          <t>ÖRKELLJUNGA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2781-2021</t>
        </is>
      </c>
      <c r="B1954" s="1" t="n">
        <v>44215</v>
      </c>
      <c r="C1954" s="1" t="n">
        <v>45190</v>
      </c>
      <c r="D1954" t="inlineStr">
        <is>
          <t>SKÅNE LÄN</t>
        </is>
      </c>
      <c r="E1954" t="inlineStr">
        <is>
          <t>ÖRKELLJUNGA</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2794-2021</t>
        </is>
      </c>
      <c r="B1955" s="1" t="n">
        <v>44215</v>
      </c>
      <c r="C1955" s="1" t="n">
        <v>45190</v>
      </c>
      <c r="D1955" t="inlineStr">
        <is>
          <t>SKÅNE LÄN</t>
        </is>
      </c>
      <c r="E1955" t="inlineStr">
        <is>
          <t>SVALÖV</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2787-2021</t>
        </is>
      </c>
      <c r="B1956" s="1" t="n">
        <v>44215</v>
      </c>
      <c r="C1956" s="1" t="n">
        <v>45190</v>
      </c>
      <c r="D1956" t="inlineStr">
        <is>
          <t>SKÅNE LÄN</t>
        </is>
      </c>
      <c r="E1956" t="inlineStr">
        <is>
          <t>ÖRKELLJUNGA</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2692-2021</t>
        </is>
      </c>
      <c r="B1957" s="1" t="n">
        <v>44215</v>
      </c>
      <c r="C1957" s="1" t="n">
        <v>45190</v>
      </c>
      <c r="D1957" t="inlineStr">
        <is>
          <t>SKÅNE LÄN</t>
        </is>
      </c>
      <c r="E1957" t="inlineStr">
        <is>
          <t>HÄSSLEHOLM</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2774-2021</t>
        </is>
      </c>
      <c r="B1958" s="1" t="n">
        <v>44215</v>
      </c>
      <c r="C1958" s="1" t="n">
        <v>45190</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2784-2021</t>
        </is>
      </c>
      <c r="B1959" s="1" t="n">
        <v>44215</v>
      </c>
      <c r="C1959" s="1" t="n">
        <v>45190</v>
      </c>
      <c r="D1959" t="inlineStr">
        <is>
          <t>SKÅNE LÄN</t>
        </is>
      </c>
      <c r="E1959" t="inlineStr">
        <is>
          <t>ÖRKELLJUNGA</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2813-2021</t>
        </is>
      </c>
      <c r="B1960" s="1" t="n">
        <v>44215</v>
      </c>
      <c r="C1960" s="1" t="n">
        <v>45190</v>
      </c>
      <c r="D1960" t="inlineStr">
        <is>
          <t>SKÅNE LÄN</t>
        </is>
      </c>
      <c r="E1960" t="inlineStr">
        <is>
          <t>HÄSSLEHOLM</t>
        </is>
      </c>
      <c r="G1960" t="n">
        <v>7.1</v>
      </c>
      <c r="H1960" t="n">
        <v>0</v>
      </c>
      <c r="I1960" t="n">
        <v>0</v>
      </c>
      <c r="J1960" t="n">
        <v>0</v>
      </c>
      <c r="K1960" t="n">
        <v>0</v>
      </c>
      <c r="L1960" t="n">
        <v>0</v>
      </c>
      <c r="M1960" t="n">
        <v>0</v>
      </c>
      <c r="N1960" t="n">
        <v>0</v>
      </c>
      <c r="O1960" t="n">
        <v>0</v>
      </c>
      <c r="P1960" t="n">
        <v>0</v>
      </c>
      <c r="Q1960" t="n">
        <v>0</v>
      </c>
      <c r="R1960" s="2" t="inlineStr"/>
    </row>
    <row r="1961" ht="15" customHeight="1">
      <c r="A1961" t="inlineStr">
        <is>
          <t>A 2708-2021</t>
        </is>
      </c>
      <c r="B1961" s="1" t="n">
        <v>44215</v>
      </c>
      <c r="C1961" s="1" t="n">
        <v>45190</v>
      </c>
      <c r="D1961" t="inlineStr">
        <is>
          <t>SKÅNE LÄN</t>
        </is>
      </c>
      <c r="E1961" t="inlineStr">
        <is>
          <t>ÖSTRA GÖINGE</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3075-2021</t>
        </is>
      </c>
      <c r="B1962" s="1" t="n">
        <v>44216</v>
      </c>
      <c r="C1962" s="1" t="n">
        <v>45190</v>
      </c>
      <c r="D1962" t="inlineStr">
        <is>
          <t>SKÅNE LÄN</t>
        </is>
      </c>
      <c r="E1962" t="inlineStr">
        <is>
          <t>OSBY</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3365-2021</t>
        </is>
      </c>
      <c r="B1963" s="1" t="n">
        <v>44216</v>
      </c>
      <c r="C1963" s="1" t="n">
        <v>45190</v>
      </c>
      <c r="D1963" t="inlineStr">
        <is>
          <t>SKÅNE LÄN</t>
        </is>
      </c>
      <c r="E1963" t="inlineStr">
        <is>
          <t>HÄSSLEHOLM</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2952-2021</t>
        </is>
      </c>
      <c r="B1964" s="1" t="n">
        <v>44216</v>
      </c>
      <c r="C1964" s="1" t="n">
        <v>45190</v>
      </c>
      <c r="D1964" t="inlineStr">
        <is>
          <t>SKÅNE LÄN</t>
        </is>
      </c>
      <c r="E1964" t="inlineStr">
        <is>
          <t>HÄSSLEHOLM</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2980-2021</t>
        </is>
      </c>
      <c r="B1965" s="1" t="n">
        <v>44216</v>
      </c>
      <c r="C1965" s="1" t="n">
        <v>45190</v>
      </c>
      <c r="D1965" t="inlineStr">
        <is>
          <t>SKÅNE LÄN</t>
        </is>
      </c>
      <c r="E1965" t="inlineStr">
        <is>
          <t>ÖRKELLJUNGA</t>
        </is>
      </c>
      <c r="F1965" t="inlineStr">
        <is>
          <t>Kyrkan</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3044-2021</t>
        </is>
      </c>
      <c r="B1966" s="1" t="n">
        <v>44216</v>
      </c>
      <c r="C1966" s="1" t="n">
        <v>45190</v>
      </c>
      <c r="D1966" t="inlineStr">
        <is>
          <t>SKÅNE LÄN</t>
        </is>
      </c>
      <c r="E1966" t="inlineStr">
        <is>
          <t>HÄSSLEHOLM</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3113-2021</t>
        </is>
      </c>
      <c r="B1967" s="1" t="n">
        <v>44217</v>
      </c>
      <c r="C1967" s="1" t="n">
        <v>45190</v>
      </c>
      <c r="D1967" t="inlineStr">
        <is>
          <t>SKÅNE LÄN</t>
        </is>
      </c>
      <c r="E1967" t="inlineStr">
        <is>
          <t>OSBY</t>
        </is>
      </c>
      <c r="F1967" t="inlineStr">
        <is>
          <t>Sveaskog</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3834-2021</t>
        </is>
      </c>
      <c r="B1968" s="1" t="n">
        <v>44217</v>
      </c>
      <c r="C1968" s="1" t="n">
        <v>45190</v>
      </c>
      <c r="D1968" t="inlineStr">
        <is>
          <t>SKÅNE LÄN</t>
        </is>
      </c>
      <c r="E1968" t="inlineStr">
        <is>
          <t>OSBY</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3375-2021</t>
        </is>
      </c>
      <c r="B1969" s="1" t="n">
        <v>44218</v>
      </c>
      <c r="C1969" s="1" t="n">
        <v>45190</v>
      </c>
      <c r="D1969" t="inlineStr">
        <is>
          <t>SKÅNE LÄN</t>
        </is>
      </c>
      <c r="E1969" t="inlineStr">
        <is>
          <t>SIMRISHAMN</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3472-2021</t>
        </is>
      </c>
      <c r="B1970" s="1" t="n">
        <v>44218</v>
      </c>
      <c r="C1970" s="1" t="n">
        <v>45190</v>
      </c>
      <c r="D1970" t="inlineStr">
        <is>
          <t>SKÅNE LÄN</t>
        </is>
      </c>
      <c r="E1970" t="inlineStr">
        <is>
          <t>OSBY</t>
        </is>
      </c>
      <c r="F1970" t="inlineStr">
        <is>
          <t>Naturvårdsverket</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3373-2021</t>
        </is>
      </c>
      <c r="B1971" s="1" t="n">
        <v>44218</v>
      </c>
      <c r="C1971" s="1" t="n">
        <v>45190</v>
      </c>
      <c r="D1971" t="inlineStr">
        <is>
          <t>SKÅNE LÄN</t>
        </is>
      </c>
      <c r="E1971" t="inlineStr">
        <is>
          <t>SIMRISHAMN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3447-2021</t>
        </is>
      </c>
      <c r="B1972" s="1" t="n">
        <v>44218</v>
      </c>
      <c r="C1972" s="1" t="n">
        <v>45190</v>
      </c>
      <c r="D1972" t="inlineStr">
        <is>
          <t>SKÅNE LÄN</t>
        </is>
      </c>
      <c r="E1972" t="inlineStr">
        <is>
          <t>HÄSSLEHOLM</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3483-2021</t>
        </is>
      </c>
      <c r="B1973" s="1" t="n">
        <v>44218</v>
      </c>
      <c r="C1973" s="1" t="n">
        <v>45190</v>
      </c>
      <c r="D1973" t="inlineStr">
        <is>
          <t>SKÅNE LÄN</t>
        </is>
      </c>
      <c r="E1973" t="inlineStr">
        <is>
          <t>HÄSSLEHOLM</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3516-2021</t>
        </is>
      </c>
      <c r="B1974" s="1" t="n">
        <v>44218</v>
      </c>
      <c r="C1974" s="1" t="n">
        <v>45190</v>
      </c>
      <c r="D1974" t="inlineStr">
        <is>
          <t>SKÅNE LÄN</t>
        </is>
      </c>
      <c r="E1974" t="inlineStr">
        <is>
          <t>OSBY</t>
        </is>
      </c>
      <c r="F1974" t="inlineStr">
        <is>
          <t>Kyrkan</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3594-2021</t>
        </is>
      </c>
      <c r="B1975" s="1" t="n">
        <v>44220</v>
      </c>
      <c r="C1975" s="1" t="n">
        <v>45190</v>
      </c>
      <c r="D1975" t="inlineStr">
        <is>
          <t>SKÅNE LÄN</t>
        </is>
      </c>
      <c r="E1975" t="inlineStr">
        <is>
          <t>SVALÖV</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3592-2021</t>
        </is>
      </c>
      <c r="B1976" s="1" t="n">
        <v>44220</v>
      </c>
      <c r="C1976" s="1" t="n">
        <v>45190</v>
      </c>
      <c r="D1976" t="inlineStr">
        <is>
          <t>SKÅNE LÄN</t>
        </is>
      </c>
      <c r="E1976" t="inlineStr">
        <is>
          <t>SVALÖV</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3593-2021</t>
        </is>
      </c>
      <c r="B1977" s="1" t="n">
        <v>44220</v>
      </c>
      <c r="C1977" s="1" t="n">
        <v>45190</v>
      </c>
      <c r="D1977" t="inlineStr">
        <is>
          <t>SKÅNE LÄN</t>
        </is>
      </c>
      <c r="E1977" t="inlineStr">
        <is>
          <t>SVALÖV</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3792-2021</t>
        </is>
      </c>
      <c r="B1978" s="1" t="n">
        <v>44221</v>
      </c>
      <c r="C1978" s="1" t="n">
        <v>45190</v>
      </c>
      <c r="D1978" t="inlineStr">
        <is>
          <t>SKÅNE LÄN</t>
        </is>
      </c>
      <c r="E1978" t="inlineStr">
        <is>
          <t>BROMÖLLA</t>
        </is>
      </c>
      <c r="G1978" t="n">
        <v>6.3</v>
      </c>
      <c r="H1978" t="n">
        <v>0</v>
      </c>
      <c r="I1978" t="n">
        <v>0</v>
      </c>
      <c r="J1978" t="n">
        <v>0</v>
      </c>
      <c r="K1978" t="n">
        <v>0</v>
      </c>
      <c r="L1978" t="n">
        <v>0</v>
      </c>
      <c r="M1978" t="n">
        <v>0</v>
      </c>
      <c r="N1978" t="n">
        <v>0</v>
      </c>
      <c r="O1978" t="n">
        <v>0</v>
      </c>
      <c r="P1978" t="n">
        <v>0</v>
      </c>
      <c r="Q1978" t="n">
        <v>0</v>
      </c>
      <c r="R1978" s="2" t="inlineStr"/>
    </row>
    <row r="1979" ht="15" customHeight="1">
      <c r="A1979" t="inlineStr">
        <is>
          <t>A 3714-2021</t>
        </is>
      </c>
      <c r="B1979" s="1" t="n">
        <v>44221</v>
      </c>
      <c r="C1979" s="1" t="n">
        <v>45190</v>
      </c>
      <c r="D1979" t="inlineStr">
        <is>
          <t>SKÅNE LÄN</t>
        </is>
      </c>
      <c r="E1979" t="inlineStr">
        <is>
          <t>HÄSSLEHOLM</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3930-2021</t>
        </is>
      </c>
      <c r="B1980" s="1" t="n">
        <v>44222</v>
      </c>
      <c r="C1980" s="1" t="n">
        <v>45190</v>
      </c>
      <c r="D1980" t="inlineStr">
        <is>
          <t>SKÅNE LÄN</t>
        </is>
      </c>
      <c r="E1980" t="inlineStr">
        <is>
          <t>HÄSSLEHOLM</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4044-2021</t>
        </is>
      </c>
      <c r="B1981" s="1" t="n">
        <v>44222</v>
      </c>
      <c r="C1981" s="1" t="n">
        <v>45190</v>
      </c>
      <c r="D1981" t="inlineStr">
        <is>
          <t>SKÅNE LÄN</t>
        </is>
      </c>
      <c r="E1981" t="inlineStr">
        <is>
          <t>HÖRBY</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3925-2021</t>
        </is>
      </c>
      <c r="B1982" s="1" t="n">
        <v>44222</v>
      </c>
      <c r="C1982" s="1" t="n">
        <v>45190</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4370-2021</t>
        </is>
      </c>
      <c r="B1983" s="1" t="n">
        <v>44223</v>
      </c>
      <c r="C1983" s="1" t="n">
        <v>45190</v>
      </c>
      <c r="D1983" t="inlineStr">
        <is>
          <t>SKÅNE LÄN</t>
        </is>
      </c>
      <c r="E1983" t="inlineStr">
        <is>
          <t>HÄSSLEHOLM</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4244-2021</t>
        </is>
      </c>
      <c r="B1984" s="1" t="n">
        <v>44223</v>
      </c>
      <c r="C1984" s="1" t="n">
        <v>45190</v>
      </c>
      <c r="D1984" t="inlineStr">
        <is>
          <t>SKÅNE LÄN</t>
        </is>
      </c>
      <c r="E1984" t="inlineStr">
        <is>
          <t>ÄNGELHOLM</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4584-2021</t>
        </is>
      </c>
      <c r="B1985" s="1" t="n">
        <v>44224</v>
      </c>
      <c r="C1985" s="1" t="n">
        <v>45190</v>
      </c>
      <c r="D1985" t="inlineStr">
        <is>
          <t>SKÅNE LÄN</t>
        </is>
      </c>
      <c r="E1985" t="inlineStr">
        <is>
          <t>OSBY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4918-2021</t>
        </is>
      </c>
      <c r="B1986" s="1" t="n">
        <v>44226</v>
      </c>
      <c r="C1986" s="1" t="n">
        <v>45190</v>
      </c>
      <c r="D1986" t="inlineStr">
        <is>
          <t>SKÅNE LÄN</t>
        </is>
      </c>
      <c r="E1986" t="inlineStr">
        <is>
          <t>OSBY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4933-2021</t>
        </is>
      </c>
      <c r="B1987" s="1" t="n">
        <v>44227</v>
      </c>
      <c r="C1987" s="1" t="n">
        <v>45190</v>
      </c>
      <c r="D1987" t="inlineStr">
        <is>
          <t>SKÅNE LÄN</t>
        </is>
      </c>
      <c r="E1987" t="inlineStr">
        <is>
          <t>ÄNGELHOLM</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5537-2021</t>
        </is>
      </c>
      <c r="B1988" s="1" t="n">
        <v>44228</v>
      </c>
      <c r="C1988" s="1" t="n">
        <v>45190</v>
      </c>
      <c r="D1988" t="inlineStr">
        <is>
          <t>SKÅNE LÄN</t>
        </is>
      </c>
      <c r="E1988" t="inlineStr">
        <is>
          <t>OSBY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5145-2021</t>
        </is>
      </c>
      <c r="B1989" s="1" t="n">
        <v>44228</v>
      </c>
      <c r="C1989" s="1" t="n">
        <v>45190</v>
      </c>
      <c r="D1989" t="inlineStr">
        <is>
          <t>SKÅNE LÄN</t>
        </is>
      </c>
      <c r="E1989" t="inlineStr">
        <is>
          <t>ÖSTRA GÖINGE</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5476-2021</t>
        </is>
      </c>
      <c r="B1990" s="1" t="n">
        <v>44230</v>
      </c>
      <c r="C1990" s="1" t="n">
        <v>45190</v>
      </c>
      <c r="D1990" t="inlineStr">
        <is>
          <t>SKÅNE LÄN</t>
        </is>
      </c>
      <c r="E1990" t="inlineStr">
        <is>
          <t>HÄSSLEHOLM</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5678-2021</t>
        </is>
      </c>
      <c r="B1991" s="1" t="n">
        <v>44230</v>
      </c>
      <c r="C1991" s="1" t="n">
        <v>45190</v>
      </c>
      <c r="D1991" t="inlineStr">
        <is>
          <t>SKÅNE LÄN</t>
        </is>
      </c>
      <c r="E1991" t="inlineStr">
        <is>
          <t>ÖRKELLJUNGA</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5478-2021</t>
        </is>
      </c>
      <c r="B1992" s="1" t="n">
        <v>44230</v>
      </c>
      <c r="C1992" s="1" t="n">
        <v>45190</v>
      </c>
      <c r="D1992" t="inlineStr">
        <is>
          <t>SKÅNE LÄN</t>
        </is>
      </c>
      <c r="E1992" t="inlineStr">
        <is>
          <t>HÄSSLEHOLM</t>
        </is>
      </c>
      <c r="G1992" t="n">
        <v>0.1</v>
      </c>
      <c r="H1992" t="n">
        <v>0</v>
      </c>
      <c r="I1992" t="n">
        <v>0</v>
      </c>
      <c r="J1992" t="n">
        <v>0</v>
      </c>
      <c r="K1992" t="n">
        <v>0</v>
      </c>
      <c r="L1992" t="n">
        <v>0</v>
      </c>
      <c r="M1992" t="n">
        <v>0</v>
      </c>
      <c r="N1992" t="n">
        <v>0</v>
      </c>
      <c r="O1992" t="n">
        <v>0</v>
      </c>
      <c r="P1992" t="n">
        <v>0</v>
      </c>
      <c r="Q1992" t="n">
        <v>0</v>
      </c>
      <c r="R1992" s="2" t="inlineStr"/>
    </row>
    <row r="1993" ht="15" customHeight="1">
      <c r="A1993" t="inlineStr">
        <is>
          <t>A 5773-2021</t>
        </is>
      </c>
      <c r="B1993" s="1" t="n">
        <v>44230</v>
      </c>
      <c r="C1993" s="1" t="n">
        <v>45190</v>
      </c>
      <c r="D1993" t="inlineStr">
        <is>
          <t>SKÅNE LÄN</t>
        </is>
      </c>
      <c r="E1993" t="inlineStr">
        <is>
          <t>ÖSTRA GÖINGE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6154-2021</t>
        </is>
      </c>
      <c r="B1994" s="1" t="n">
        <v>44232</v>
      </c>
      <c r="C1994" s="1" t="n">
        <v>45190</v>
      </c>
      <c r="D1994" t="inlineStr">
        <is>
          <t>SKÅNE LÄN</t>
        </is>
      </c>
      <c r="E1994" t="inlineStr">
        <is>
          <t>ÖRKELLJUNGA</t>
        </is>
      </c>
      <c r="G1994" t="n">
        <v>10.4</v>
      </c>
      <c r="H1994" t="n">
        <v>0</v>
      </c>
      <c r="I1994" t="n">
        <v>0</v>
      </c>
      <c r="J1994" t="n">
        <v>0</v>
      </c>
      <c r="K1994" t="n">
        <v>0</v>
      </c>
      <c r="L1994" t="n">
        <v>0</v>
      </c>
      <c r="M1994" t="n">
        <v>0</v>
      </c>
      <c r="N1994" t="n">
        <v>0</v>
      </c>
      <c r="O1994" t="n">
        <v>0</v>
      </c>
      <c r="P1994" t="n">
        <v>0</v>
      </c>
      <c r="Q1994" t="n">
        <v>0</v>
      </c>
      <c r="R1994" s="2" t="inlineStr"/>
    </row>
    <row r="1995" ht="15" customHeight="1">
      <c r="A1995" t="inlineStr">
        <is>
          <t>A 6170-2021</t>
        </is>
      </c>
      <c r="B1995" s="1" t="n">
        <v>44232</v>
      </c>
      <c r="C1995" s="1" t="n">
        <v>45190</v>
      </c>
      <c r="D1995" t="inlineStr">
        <is>
          <t>SKÅNE LÄN</t>
        </is>
      </c>
      <c r="E1995" t="inlineStr">
        <is>
          <t>BÅSTAD</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6180-2021</t>
        </is>
      </c>
      <c r="B1996" s="1" t="n">
        <v>44232</v>
      </c>
      <c r="C1996" s="1" t="n">
        <v>45190</v>
      </c>
      <c r="D1996" t="inlineStr">
        <is>
          <t>SKÅNE LÄN</t>
        </is>
      </c>
      <c r="E1996" t="inlineStr">
        <is>
          <t>HÄSSLEHOLM</t>
        </is>
      </c>
      <c r="F1996" t="inlineStr">
        <is>
          <t>Kyrkan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6103-2021</t>
        </is>
      </c>
      <c r="B1997" s="1" t="n">
        <v>44232</v>
      </c>
      <c r="C1997" s="1" t="n">
        <v>45190</v>
      </c>
      <c r="D1997" t="inlineStr">
        <is>
          <t>SKÅNE LÄN</t>
        </is>
      </c>
      <c r="E1997" t="inlineStr">
        <is>
          <t>ÖSTRA GÖINGE</t>
        </is>
      </c>
      <c r="G1997" t="n">
        <v>4.4</v>
      </c>
      <c r="H1997" t="n">
        <v>0</v>
      </c>
      <c r="I1997" t="n">
        <v>0</v>
      </c>
      <c r="J1997" t="n">
        <v>0</v>
      </c>
      <c r="K1997" t="n">
        <v>0</v>
      </c>
      <c r="L1997" t="n">
        <v>0</v>
      </c>
      <c r="M1997" t="n">
        <v>0</v>
      </c>
      <c r="N1997" t="n">
        <v>0</v>
      </c>
      <c r="O1997" t="n">
        <v>0</v>
      </c>
      <c r="P1997" t="n">
        <v>0</v>
      </c>
      <c r="Q1997" t="n">
        <v>0</v>
      </c>
      <c r="R1997" s="2" t="inlineStr"/>
    </row>
    <row r="1998" ht="15" customHeight="1">
      <c r="A1998" t="inlineStr">
        <is>
          <t>A 6237-2021</t>
        </is>
      </c>
      <c r="B1998" s="1" t="n">
        <v>44235</v>
      </c>
      <c r="C1998" s="1" t="n">
        <v>45190</v>
      </c>
      <c r="D1998" t="inlineStr">
        <is>
          <t>SKÅNE LÄN</t>
        </is>
      </c>
      <c r="E1998" t="inlineStr">
        <is>
          <t>ÖRKELLJUNGA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6397-2021</t>
        </is>
      </c>
      <c r="B1999" s="1" t="n">
        <v>44235</v>
      </c>
      <c r="C1999" s="1" t="n">
        <v>45190</v>
      </c>
      <c r="D1999" t="inlineStr">
        <is>
          <t>SKÅNE LÄN</t>
        </is>
      </c>
      <c r="E1999" t="inlineStr">
        <is>
          <t>OSBY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6638-2021</t>
        </is>
      </c>
      <c r="B2000" s="1" t="n">
        <v>44235</v>
      </c>
      <c r="C2000" s="1" t="n">
        <v>45190</v>
      </c>
      <c r="D2000" t="inlineStr">
        <is>
          <t>SKÅNE LÄN</t>
        </is>
      </c>
      <c r="E2000" t="inlineStr">
        <is>
          <t>HÄSSLEHOLM</t>
        </is>
      </c>
      <c r="G2000" t="n">
        <v>112.4</v>
      </c>
      <c r="H2000" t="n">
        <v>0</v>
      </c>
      <c r="I2000" t="n">
        <v>0</v>
      </c>
      <c r="J2000" t="n">
        <v>0</v>
      </c>
      <c r="K2000" t="n">
        <v>0</v>
      </c>
      <c r="L2000" t="n">
        <v>0</v>
      </c>
      <c r="M2000" t="n">
        <v>0</v>
      </c>
      <c r="N2000" t="n">
        <v>0</v>
      </c>
      <c r="O2000" t="n">
        <v>0</v>
      </c>
      <c r="P2000" t="n">
        <v>0</v>
      </c>
      <c r="Q2000" t="n">
        <v>0</v>
      </c>
      <c r="R2000" s="2" t="inlineStr"/>
    </row>
    <row r="2001" ht="15" customHeight="1">
      <c r="A2001" t="inlineStr">
        <is>
          <t>A 6429-2021</t>
        </is>
      </c>
      <c r="B2001" s="1" t="n">
        <v>44235</v>
      </c>
      <c r="C2001" s="1" t="n">
        <v>45190</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6538-2021</t>
        </is>
      </c>
      <c r="B2002" s="1" t="n">
        <v>44235</v>
      </c>
      <c r="C2002" s="1" t="n">
        <v>45190</v>
      </c>
      <c r="D2002" t="inlineStr">
        <is>
          <t>SKÅNE LÄN</t>
        </is>
      </c>
      <c r="E2002" t="inlineStr">
        <is>
          <t>KLIPPAN</t>
        </is>
      </c>
      <c r="F2002" t="inlineStr">
        <is>
          <t>Övriga Aktiebolag</t>
        </is>
      </c>
      <c r="G2002" t="n">
        <v>3.6</v>
      </c>
      <c r="H2002" t="n">
        <v>0</v>
      </c>
      <c r="I2002" t="n">
        <v>0</v>
      </c>
      <c r="J2002" t="n">
        <v>0</v>
      </c>
      <c r="K2002" t="n">
        <v>0</v>
      </c>
      <c r="L2002" t="n">
        <v>0</v>
      </c>
      <c r="M2002" t="n">
        <v>0</v>
      </c>
      <c r="N2002" t="n">
        <v>0</v>
      </c>
      <c r="O2002" t="n">
        <v>0</v>
      </c>
      <c r="P2002" t="n">
        <v>0</v>
      </c>
      <c r="Q2002" t="n">
        <v>0</v>
      </c>
      <c r="R2002" s="2" t="inlineStr"/>
    </row>
    <row r="2003" ht="15" customHeight="1">
      <c r="A2003" t="inlineStr">
        <is>
          <t>A 6327-2021</t>
        </is>
      </c>
      <c r="B2003" s="1" t="n">
        <v>44235</v>
      </c>
      <c r="C2003" s="1" t="n">
        <v>45190</v>
      </c>
      <c r="D2003" t="inlineStr">
        <is>
          <t>SKÅNE LÄN</t>
        </is>
      </c>
      <c r="E2003" t="inlineStr">
        <is>
          <t>HÄSSLEHOLM</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6528-2021</t>
        </is>
      </c>
      <c r="B2004" s="1" t="n">
        <v>44235</v>
      </c>
      <c r="C2004" s="1" t="n">
        <v>45190</v>
      </c>
      <c r="D2004" t="inlineStr">
        <is>
          <t>SKÅNE LÄN</t>
        </is>
      </c>
      <c r="E2004" t="inlineStr">
        <is>
          <t>PERSTORP</t>
        </is>
      </c>
      <c r="F2004" t="inlineStr">
        <is>
          <t>Övriga Aktiebolag</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6540-2021</t>
        </is>
      </c>
      <c r="B2005" s="1" t="n">
        <v>44235</v>
      </c>
      <c r="C2005" s="1" t="n">
        <v>45190</v>
      </c>
      <c r="D2005" t="inlineStr">
        <is>
          <t>SKÅNE LÄN</t>
        </is>
      </c>
      <c r="E2005" t="inlineStr">
        <is>
          <t>PERSTORP</t>
        </is>
      </c>
      <c r="F2005" t="inlineStr">
        <is>
          <t>Övriga Aktiebolag</t>
        </is>
      </c>
      <c r="G2005" t="n">
        <v>4.8</v>
      </c>
      <c r="H2005" t="n">
        <v>0</v>
      </c>
      <c r="I2005" t="n">
        <v>0</v>
      </c>
      <c r="J2005" t="n">
        <v>0</v>
      </c>
      <c r="K2005" t="n">
        <v>0</v>
      </c>
      <c r="L2005" t="n">
        <v>0</v>
      </c>
      <c r="M2005" t="n">
        <v>0</v>
      </c>
      <c r="N2005" t="n">
        <v>0</v>
      </c>
      <c r="O2005" t="n">
        <v>0</v>
      </c>
      <c r="P2005" t="n">
        <v>0</v>
      </c>
      <c r="Q2005" t="n">
        <v>0</v>
      </c>
      <c r="R2005" s="2" t="inlineStr"/>
    </row>
    <row r="2006" ht="15" customHeight="1">
      <c r="A2006" t="inlineStr">
        <is>
          <t>A 6648-2021</t>
        </is>
      </c>
      <c r="B2006" s="1" t="n">
        <v>44235</v>
      </c>
      <c r="C2006" s="1" t="n">
        <v>45190</v>
      </c>
      <c r="D2006" t="inlineStr">
        <is>
          <t>SKÅNE LÄN</t>
        </is>
      </c>
      <c r="E2006" t="inlineStr">
        <is>
          <t>HÖÖR</t>
        </is>
      </c>
      <c r="F2006" t="inlineStr">
        <is>
          <t>Övriga statliga verk och myndigheter</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6574-2021</t>
        </is>
      </c>
      <c r="B2007" s="1" t="n">
        <v>44236</v>
      </c>
      <c r="C2007" s="1" t="n">
        <v>45190</v>
      </c>
      <c r="D2007" t="inlineStr">
        <is>
          <t>SKÅNE LÄN</t>
        </is>
      </c>
      <c r="E2007" t="inlineStr">
        <is>
          <t>ÄNGELHOLM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6791-2021</t>
        </is>
      </c>
      <c r="B2008" s="1" t="n">
        <v>44236</v>
      </c>
      <c r="C2008" s="1" t="n">
        <v>45190</v>
      </c>
      <c r="D2008" t="inlineStr">
        <is>
          <t>SKÅNE LÄN</t>
        </is>
      </c>
      <c r="E2008" t="inlineStr">
        <is>
          <t>HÄSSLEHOLM</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6583-2021</t>
        </is>
      </c>
      <c r="B2009" s="1" t="n">
        <v>44236</v>
      </c>
      <c r="C2009" s="1" t="n">
        <v>45190</v>
      </c>
      <c r="D2009" t="inlineStr">
        <is>
          <t>SKÅNE LÄN</t>
        </is>
      </c>
      <c r="E2009" t="inlineStr">
        <is>
          <t>HÄSSLEHOLM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6769-2021</t>
        </is>
      </c>
      <c r="B2010" s="1" t="n">
        <v>44236</v>
      </c>
      <c r="C2010" s="1" t="n">
        <v>45190</v>
      </c>
      <c r="D2010" t="inlineStr">
        <is>
          <t>SKÅNE LÄN</t>
        </is>
      </c>
      <c r="E2010" t="inlineStr">
        <is>
          <t>HÖÖR</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6804-2021</t>
        </is>
      </c>
      <c r="B2011" s="1" t="n">
        <v>44236</v>
      </c>
      <c r="C2011" s="1" t="n">
        <v>45190</v>
      </c>
      <c r="D2011" t="inlineStr">
        <is>
          <t>SKÅNE LÄN</t>
        </is>
      </c>
      <c r="E2011" t="inlineStr">
        <is>
          <t>HÄSSLEHOLM</t>
        </is>
      </c>
      <c r="G2011" t="n">
        <v>4.6</v>
      </c>
      <c r="H2011" t="n">
        <v>0</v>
      </c>
      <c r="I2011" t="n">
        <v>0</v>
      </c>
      <c r="J2011" t="n">
        <v>0</v>
      </c>
      <c r="K2011" t="n">
        <v>0</v>
      </c>
      <c r="L2011" t="n">
        <v>0</v>
      </c>
      <c r="M2011" t="n">
        <v>0</v>
      </c>
      <c r="N2011" t="n">
        <v>0</v>
      </c>
      <c r="O2011" t="n">
        <v>0</v>
      </c>
      <c r="P2011" t="n">
        <v>0</v>
      </c>
      <c r="Q2011" t="n">
        <v>0</v>
      </c>
      <c r="R2011" s="2" t="inlineStr"/>
    </row>
    <row r="2012" ht="15" customHeight="1">
      <c r="A2012" t="inlineStr">
        <is>
          <t>A 6596-2021</t>
        </is>
      </c>
      <c r="B2012" s="1" t="n">
        <v>44236</v>
      </c>
      <c r="C2012" s="1" t="n">
        <v>45190</v>
      </c>
      <c r="D2012" t="inlineStr">
        <is>
          <t>SKÅNE LÄN</t>
        </is>
      </c>
      <c r="E2012" t="inlineStr">
        <is>
          <t>HÄSSLEHOLM</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6811-2021</t>
        </is>
      </c>
      <c r="B2013" s="1" t="n">
        <v>44236</v>
      </c>
      <c r="C2013" s="1" t="n">
        <v>45190</v>
      </c>
      <c r="D2013" t="inlineStr">
        <is>
          <t>SKÅNE LÄN</t>
        </is>
      </c>
      <c r="E2013" t="inlineStr">
        <is>
          <t>ÖSTRA GÖINGE</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7248-2021</t>
        </is>
      </c>
      <c r="B2014" s="1" t="n">
        <v>44236</v>
      </c>
      <c r="C2014" s="1" t="n">
        <v>45190</v>
      </c>
      <c r="D2014" t="inlineStr">
        <is>
          <t>SKÅNE LÄN</t>
        </is>
      </c>
      <c r="E2014" t="inlineStr">
        <is>
          <t>HÄSSLEHOLM</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6973-2021</t>
        </is>
      </c>
      <c r="B2015" s="1" t="n">
        <v>44237</v>
      </c>
      <c r="C2015" s="1" t="n">
        <v>45190</v>
      </c>
      <c r="D2015" t="inlineStr">
        <is>
          <t>SKÅNE LÄN</t>
        </is>
      </c>
      <c r="E2015" t="inlineStr">
        <is>
          <t>HÄSSLEHOLM</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6965-2021</t>
        </is>
      </c>
      <c r="B2016" s="1" t="n">
        <v>44237</v>
      </c>
      <c r="C2016" s="1" t="n">
        <v>45190</v>
      </c>
      <c r="D2016" t="inlineStr">
        <is>
          <t>SKÅNE LÄN</t>
        </is>
      </c>
      <c r="E2016" t="inlineStr">
        <is>
          <t>HÄSSLEHOLM</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7245-2021</t>
        </is>
      </c>
      <c r="B2017" s="1" t="n">
        <v>44237</v>
      </c>
      <c r="C2017" s="1" t="n">
        <v>45190</v>
      </c>
      <c r="D2017" t="inlineStr">
        <is>
          <t>SKÅNE LÄN</t>
        </is>
      </c>
      <c r="E2017" t="inlineStr">
        <is>
          <t>KRISTIANSTAD</t>
        </is>
      </c>
      <c r="G2017" t="n">
        <v>4</v>
      </c>
      <c r="H2017" t="n">
        <v>0</v>
      </c>
      <c r="I2017" t="n">
        <v>0</v>
      </c>
      <c r="J2017" t="n">
        <v>0</v>
      </c>
      <c r="K2017" t="n">
        <v>0</v>
      </c>
      <c r="L2017" t="n">
        <v>0</v>
      </c>
      <c r="M2017" t="n">
        <v>0</v>
      </c>
      <c r="N2017" t="n">
        <v>0</v>
      </c>
      <c r="O2017" t="n">
        <v>0</v>
      </c>
      <c r="P2017" t="n">
        <v>0</v>
      </c>
      <c r="Q2017" t="n">
        <v>0</v>
      </c>
      <c r="R2017" s="2" t="inlineStr"/>
    </row>
    <row r="2018" ht="15" customHeight="1">
      <c r="A2018" t="inlineStr">
        <is>
          <t>A 7231-2021</t>
        </is>
      </c>
      <c r="B2018" s="1" t="n">
        <v>44237</v>
      </c>
      <c r="C2018" s="1" t="n">
        <v>45190</v>
      </c>
      <c r="D2018" t="inlineStr">
        <is>
          <t>SKÅNE LÄN</t>
        </is>
      </c>
      <c r="E2018" t="inlineStr">
        <is>
          <t>KRISTIANSTAD</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6962-2021</t>
        </is>
      </c>
      <c r="B2019" s="1" t="n">
        <v>44237</v>
      </c>
      <c r="C2019" s="1" t="n">
        <v>45190</v>
      </c>
      <c r="D2019" t="inlineStr">
        <is>
          <t>SKÅNE LÄN</t>
        </is>
      </c>
      <c r="E2019" t="inlineStr">
        <is>
          <t>HÄSSLEHOLM</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6967-2021</t>
        </is>
      </c>
      <c r="B2020" s="1" t="n">
        <v>44237</v>
      </c>
      <c r="C2020" s="1" t="n">
        <v>45190</v>
      </c>
      <c r="D2020" t="inlineStr">
        <is>
          <t>SKÅNE LÄN</t>
        </is>
      </c>
      <c r="E2020" t="inlineStr">
        <is>
          <t>HÄSSLEHOLM</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7209-2021</t>
        </is>
      </c>
      <c r="B2021" s="1" t="n">
        <v>44237</v>
      </c>
      <c r="C2021" s="1" t="n">
        <v>45190</v>
      </c>
      <c r="D2021" t="inlineStr">
        <is>
          <t>SKÅNE LÄN</t>
        </is>
      </c>
      <c r="E2021" t="inlineStr">
        <is>
          <t>KRISTIANSTAD</t>
        </is>
      </c>
      <c r="G2021" t="n">
        <v>2.6</v>
      </c>
      <c r="H2021" t="n">
        <v>0</v>
      </c>
      <c r="I2021" t="n">
        <v>0</v>
      </c>
      <c r="J2021" t="n">
        <v>0</v>
      </c>
      <c r="K2021" t="n">
        <v>0</v>
      </c>
      <c r="L2021" t="n">
        <v>0</v>
      </c>
      <c r="M2021" t="n">
        <v>0</v>
      </c>
      <c r="N2021" t="n">
        <v>0</v>
      </c>
      <c r="O2021" t="n">
        <v>0</v>
      </c>
      <c r="P2021" t="n">
        <v>0</v>
      </c>
      <c r="Q2021" t="n">
        <v>0</v>
      </c>
      <c r="R2021" s="2" t="inlineStr"/>
    </row>
    <row r="2022" ht="15" customHeight="1">
      <c r="A2022" t="inlineStr">
        <is>
          <t>A 7522-2021</t>
        </is>
      </c>
      <c r="B2022" s="1" t="n">
        <v>44238</v>
      </c>
      <c r="C2022" s="1" t="n">
        <v>45190</v>
      </c>
      <c r="D2022" t="inlineStr">
        <is>
          <t>SKÅNE LÄN</t>
        </is>
      </c>
      <c r="E2022" t="inlineStr">
        <is>
          <t>HÄSSLEHOLM</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7186-2021</t>
        </is>
      </c>
      <c r="B2023" s="1" t="n">
        <v>44238</v>
      </c>
      <c r="C2023" s="1" t="n">
        <v>45190</v>
      </c>
      <c r="D2023" t="inlineStr">
        <is>
          <t>SKÅNE LÄN</t>
        </is>
      </c>
      <c r="E2023" t="inlineStr">
        <is>
          <t>KRISTIANSTAD</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7692-2021</t>
        </is>
      </c>
      <c r="B2024" s="1" t="n">
        <v>44242</v>
      </c>
      <c r="C2024" s="1" t="n">
        <v>45190</v>
      </c>
      <c r="D2024" t="inlineStr">
        <is>
          <t>SKÅNE LÄN</t>
        </is>
      </c>
      <c r="E2024" t="inlineStr">
        <is>
          <t>HÄSSLEHOLM</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7655-2021</t>
        </is>
      </c>
      <c r="B2025" s="1" t="n">
        <v>44242</v>
      </c>
      <c r="C2025" s="1" t="n">
        <v>45190</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7701-2021</t>
        </is>
      </c>
      <c r="B2026" s="1" t="n">
        <v>44242</v>
      </c>
      <c r="C2026" s="1" t="n">
        <v>45190</v>
      </c>
      <c r="D2026" t="inlineStr">
        <is>
          <t>SKÅNE LÄN</t>
        </is>
      </c>
      <c r="E2026" t="inlineStr">
        <is>
          <t>HÄSSLEHOLM</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7729-2021</t>
        </is>
      </c>
      <c r="B2027" s="1" t="n">
        <v>44242</v>
      </c>
      <c r="C2027" s="1" t="n">
        <v>45190</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7771-2021</t>
        </is>
      </c>
      <c r="B2028" s="1" t="n">
        <v>44242</v>
      </c>
      <c r="C2028" s="1" t="n">
        <v>45190</v>
      </c>
      <c r="D2028" t="inlineStr">
        <is>
          <t>SKÅNE LÄN</t>
        </is>
      </c>
      <c r="E2028" t="inlineStr">
        <is>
          <t>HÄSSLEHOLM</t>
        </is>
      </c>
      <c r="G2028" t="n">
        <v>4.2</v>
      </c>
      <c r="H2028" t="n">
        <v>0</v>
      </c>
      <c r="I2028" t="n">
        <v>0</v>
      </c>
      <c r="J2028" t="n">
        <v>0</v>
      </c>
      <c r="K2028" t="n">
        <v>0</v>
      </c>
      <c r="L2028" t="n">
        <v>0</v>
      </c>
      <c r="M2028" t="n">
        <v>0</v>
      </c>
      <c r="N2028" t="n">
        <v>0</v>
      </c>
      <c r="O2028" t="n">
        <v>0</v>
      </c>
      <c r="P2028" t="n">
        <v>0</v>
      </c>
      <c r="Q2028" t="n">
        <v>0</v>
      </c>
      <c r="R2028" s="2" t="inlineStr"/>
    </row>
    <row r="2029" ht="15" customHeight="1">
      <c r="A2029" t="inlineStr">
        <is>
          <t>A 8278-2021</t>
        </is>
      </c>
      <c r="B2029" s="1" t="n">
        <v>44244</v>
      </c>
      <c r="C2029" s="1" t="n">
        <v>45190</v>
      </c>
      <c r="D2029" t="inlineStr">
        <is>
          <t>SKÅNE LÄN</t>
        </is>
      </c>
      <c r="E2029" t="inlineStr">
        <is>
          <t>HÄSSLEHOLM</t>
        </is>
      </c>
      <c r="F2029" t="inlineStr">
        <is>
          <t>Kyrkan</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8160-2021</t>
        </is>
      </c>
      <c r="B2030" s="1" t="n">
        <v>44244</v>
      </c>
      <c r="C2030" s="1" t="n">
        <v>45190</v>
      </c>
      <c r="D2030" t="inlineStr">
        <is>
          <t>SKÅNE LÄN</t>
        </is>
      </c>
      <c r="E2030" t="inlineStr">
        <is>
          <t>SVALÖV</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8201-2021</t>
        </is>
      </c>
      <c r="B2031" s="1" t="n">
        <v>44244</v>
      </c>
      <c r="C2031" s="1" t="n">
        <v>45190</v>
      </c>
      <c r="D2031" t="inlineStr">
        <is>
          <t>SKÅNE LÄN</t>
        </is>
      </c>
      <c r="E2031" t="inlineStr">
        <is>
          <t>SVALÖV</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8204-2021</t>
        </is>
      </c>
      <c r="B2032" s="1" t="n">
        <v>44244</v>
      </c>
      <c r="C2032" s="1" t="n">
        <v>45190</v>
      </c>
      <c r="D2032" t="inlineStr">
        <is>
          <t>SKÅNE LÄN</t>
        </is>
      </c>
      <c r="E2032" t="inlineStr">
        <is>
          <t>KLIPPAN</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8683-2021</t>
        </is>
      </c>
      <c r="B2033" s="1" t="n">
        <v>44245</v>
      </c>
      <c r="C2033" s="1" t="n">
        <v>45190</v>
      </c>
      <c r="D2033" t="inlineStr">
        <is>
          <t>SKÅNE LÄN</t>
        </is>
      </c>
      <c r="E2033" t="inlineStr">
        <is>
          <t>PERSTORP</t>
        </is>
      </c>
      <c r="F2033" t="inlineStr">
        <is>
          <t>Övriga Aktiebolag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8680-2021</t>
        </is>
      </c>
      <c r="B2034" s="1" t="n">
        <v>44245</v>
      </c>
      <c r="C2034" s="1" t="n">
        <v>45190</v>
      </c>
      <c r="D2034" t="inlineStr">
        <is>
          <t>SKÅNE LÄN</t>
        </is>
      </c>
      <c r="E2034" t="inlineStr">
        <is>
          <t>KLIPPAN</t>
        </is>
      </c>
      <c r="F2034" t="inlineStr">
        <is>
          <t>Övriga Aktiebolag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8833-2021</t>
        </is>
      </c>
      <c r="B2035" s="1" t="n">
        <v>44245</v>
      </c>
      <c r="C2035" s="1" t="n">
        <v>45190</v>
      </c>
      <c r="D2035" t="inlineStr">
        <is>
          <t>SKÅNE LÄN</t>
        </is>
      </c>
      <c r="E2035" t="inlineStr">
        <is>
          <t>HÖÖR</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8686-2021</t>
        </is>
      </c>
      <c r="B2036" s="1" t="n">
        <v>44245</v>
      </c>
      <c r="C2036" s="1" t="n">
        <v>45190</v>
      </c>
      <c r="D2036" t="inlineStr">
        <is>
          <t>SKÅNE LÄN</t>
        </is>
      </c>
      <c r="E2036" t="inlineStr">
        <is>
          <t>KLIPPAN</t>
        </is>
      </c>
      <c r="F2036" t="inlineStr">
        <is>
          <t>Övriga Aktiebolag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8741-2021</t>
        </is>
      </c>
      <c r="B2037" s="1" t="n">
        <v>44246</v>
      </c>
      <c r="C2037" s="1" t="n">
        <v>45190</v>
      </c>
      <c r="D2037" t="inlineStr">
        <is>
          <t>SKÅNE LÄN</t>
        </is>
      </c>
      <c r="E2037" t="inlineStr">
        <is>
          <t>PERSTORP</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8961-2021</t>
        </is>
      </c>
      <c r="B2038" s="1" t="n">
        <v>44246</v>
      </c>
      <c r="C2038" s="1" t="n">
        <v>45190</v>
      </c>
      <c r="D2038" t="inlineStr">
        <is>
          <t>SKÅNE LÄN</t>
        </is>
      </c>
      <c r="E2038" t="inlineStr">
        <is>
          <t>OSBY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8972-2021</t>
        </is>
      </c>
      <c r="B2039" s="1" t="n">
        <v>44246</v>
      </c>
      <c r="C2039" s="1" t="n">
        <v>45190</v>
      </c>
      <c r="D2039" t="inlineStr">
        <is>
          <t>SKÅNE LÄN</t>
        </is>
      </c>
      <c r="E2039" t="inlineStr">
        <is>
          <t>OSBY</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8752-2021</t>
        </is>
      </c>
      <c r="B2040" s="1" t="n">
        <v>44246</v>
      </c>
      <c r="C2040" s="1" t="n">
        <v>45190</v>
      </c>
      <c r="D2040" t="inlineStr">
        <is>
          <t>SKÅNE LÄN</t>
        </is>
      </c>
      <c r="E2040" t="inlineStr">
        <is>
          <t>ÖRKELLJUNGA</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8966-2021</t>
        </is>
      </c>
      <c r="B2041" s="1" t="n">
        <v>44246</v>
      </c>
      <c r="C2041" s="1" t="n">
        <v>45190</v>
      </c>
      <c r="D2041" t="inlineStr">
        <is>
          <t>SKÅNE LÄN</t>
        </is>
      </c>
      <c r="E2041" t="inlineStr">
        <is>
          <t>OSBY</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9046-2021</t>
        </is>
      </c>
      <c r="B2042" s="1" t="n">
        <v>44246</v>
      </c>
      <c r="C2042" s="1" t="n">
        <v>45190</v>
      </c>
      <c r="D2042" t="inlineStr">
        <is>
          <t>SKÅNE LÄN</t>
        </is>
      </c>
      <c r="E2042" t="inlineStr">
        <is>
          <t>KLIPPAN</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8695-2021</t>
        </is>
      </c>
      <c r="B2043" s="1" t="n">
        <v>44246</v>
      </c>
      <c r="C2043" s="1" t="n">
        <v>45190</v>
      </c>
      <c r="D2043" t="inlineStr">
        <is>
          <t>SKÅNE LÄN</t>
        </is>
      </c>
      <c r="E2043" t="inlineStr">
        <is>
          <t>HÄSSLEHOLM</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8790-2021</t>
        </is>
      </c>
      <c r="B2044" s="1" t="n">
        <v>44246</v>
      </c>
      <c r="C2044" s="1" t="n">
        <v>45190</v>
      </c>
      <c r="D2044" t="inlineStr">
        <is>
          <t>SKÅNE LÄN</t>
        </is>
      </c>
      <c r="E2044" t="inlineStr">
        <is>
          <t>HÖÖR</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8865-2021</t>
        </is>
      </c>
      <c r="B2045" s="1" t="n">
        <v>44247</v>
      </c>
      <c r="C2045" s="1" t="n">
        <v>45190</v>
      </c>
      <c r="D2045" t="inlineStr">
        <is>
          <t>SKÅNE LÄN</t>
        </is>
      </c>
      <c r="E2045" t="inlineStr">
        <is>
          <t>OSBY</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8968-2021</t>
        </is>
      </c>
      <c r="B2046" s="1" t="n">
        <v>44249</v>
      </c>
      <c r="C2046" s="1" t="n">
        <v>45190</v>
      </c>
      <c r="D2046" t="inlineStr">
        <is>
          <t>SKÅNE LÄN</t>
        </is>
      </c>
      <c r="E2046" t="inlineStr">
        <is>
          <t>KRISTIANSTAD</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9100-2021</t>
        </is>
      </c>
      <c r="B2047" s="1" t="n">
        <v>44249</v>
      </c>
      <c r="C2047" s="1" t="n">
        <v>45190</v>
      </c>
      <c r="D2047" t="inlineStr">
        <is>
          <t>SKÅNE LÄN</t>
        </is>
      </c>
      <c r="E2047" t="inlineStr">
        <is>
          <t>OSBY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9257-2021</t>
        </is>
      </c>
      <c r="B2048" s="1" t="n">
        <v>44250</v>
      </c>
      <c r="C2048" s="1" t="n">
        <v>45190</v>
      </c>
      <c r="D2048" t="inlineStr">
        <is>
          <t>SKÅNE LÄN</t>
        </is>
      </c>
      <c r="E2048" t="inlineStr">
        <is>
          <t>HÄSSLEHOLM</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9180-2021</t>
        </is>
      </c>
      <c r="B2049" s="1" t="n">
        <v>44250</v>
      </c>
      <c r="C2049" s="1" t="n">
        <v>45190</v>
      </c>
      <c r="D2049" t="inlineStr">
        <is>
          <t>SKÅNE LÄN</t>
        </is>
      </c>
      <c r="E2049" t="inlineStr">
        <is>
          <t>TOMELILLA</t>
        </is>
      </c>
      <c r="F2049" t="inlineStr">
        <is>
          <t>Övriga Aktiebolag</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9301-2021</t>
        </is>
      </c>
      <c r="B2050" s="1" t="n">
        <v>44250</v>
      </c>
      <c r="C2050" s="1" t="n">
        <v>45190</v>
      </c>
      <c r="D2050" t="inlineStr">
        <is>
          <t>SKÅNE LÄN</t>
        </is>
      </c>
      <c r="E2050" t="inlineStr">
        <is>
          <t>OSBY</t>
        </is>
      </c>
      <c r="F2050" t="inlineStr">
        <is>
          <t>Naturvårdsverket</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9238-2021</t>
        </is>
      </c>
      <c r="B2051" s="1" t="n">
        <v>44250</v>
      </c>
      <c r="C2051" s="1" t="n">
        <v>45190</v>
      </c>
      <c r="D2051" t="inlineStr">
        <is>
          <t>SKÅNE LÄN</t>
        </is>
      </c>
      <c r="E2051" t="inlineStr">
        <is>
          <t>TOMELILLA</t>
        </is>
      </c>
      <c r="F2051" t="inlineStr">
        <is>
          <t>Övriga Aktiebolag</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9453-2021</t>
        </is>
      </c>
      <c r="B2052" s="1" t="n">
        <v>44251</v>
      </c>
      <c r="C2052" s="1" t="n">
        <v>45190</v>
      </c>
      <c r="D2052" t="inlineStr">
        <is>
          <t>SKÅNE LÄN</t>
        </is>
      </c>
      <c r="E2052" t="inlineStr">
        <is>
          <t>HÄSSLEHOLM</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9510-2021</t>
        </is>
      </c>
      <c r="B2053" s="1" t="n">
        <v>44251</v>
      </c>
      <c r="C2053" s="1" t="n">
        <v>45190</v>
      </c>
      <c r="D2053" t="inlineStr">
        <is>
          <t>SKÅNE LÄN</t>
        </is>
      </c>
      <c r="E2053" t="inlineStr">
        <is>
          <t>TOMELILLA</t>
        </is>
      </c>
      <c r="F2053" t="inlineStr">
        <is>
          <t>Övriga Aktiebolag</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9535-2021</t>
        </is>
      </c>
      <c r="B2054" s="1" t="n">
        <v>44251</v>
      </c>
      <c r="C2054" s="1" t="n">
        <v>45190</v>
      </c>
      <c r="D2054" t="inlineStr">
        <is>
          <t>SKÅNE LÄN</t>
        </is>
      </c>
      <c r="E2054" t="inlineStr">
        <is>
          <t>KLIPPAN</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9659-2021</t>
        </is>
      </c>
      <c r="B2055" s="1" t="n">
        <v>44252</v>
      </c>
      <c r="C2055" s="1" t="n">
        <v>45190</v>
      </c>
      <c r="D2055" t="inlineStr">
        <is>
          <t>SKÅNE LÄN</t>
        </is>
      </c>
      <c r="E2055" t="inlineStr">
        <is>
          <t>OSBY</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9880-2021</t>
        </is>
      </c>
      <c r="B2056" s="1" t="n">
        <v>44253</v>
      </c>
      <c r="C2056" s="1" t="n">
        <v>45190</v>
      </c>
      <c r="D2056" t="inlineStr">
        <is>
          <t>SKÅNE LÄN</t>
        </is>
      </c>
      <c r="E2056" t="inlineStr">
        <is>
          <t>HÄSSLEHOLM</t>
        </is>
      </c>
      <c r="G2056" t="n">
        <v>8</v>
      </c>
      <c r="H2056" t="n">
        <v>0</v>
      </c>
      <c r="I2056" t="n">
        <v>0</v>
      </c>
      <c r="J2056" t="n">
        <v>0</v>
      </c>
      <c r="K2056" t="n">
        <v>0</v>
      </c>
      <c r="L2056" t="n">
        <v>0</v>
      </c>
      <c r="M2056" t="n">
        <v>0</v>
      </c>
      <c r="N2056" t="n">
        <v>0</v>
      </c>
      <c r="O2056" t="n">
        <v>0</v>
      </c>
      <c r="P2056" t="n">
        <v>0</v>
      </c>
      <c r="Q2056" t="n">
        <v>0</v>
      </c>
      <c r="R2056" s="2" t="inlineStr"/>
    </row>
    <row r="2057" ht="15" customHeight="1">
      <c r="A2057" t="inlineStr">
        <is>
          <t>A 9885-2021</t>
        </is>
      </c>
      <c r="B2057" s="1" t="n">
        <v>44253</v>
      </c>
      <c r="C2057" s="1" t="n">
        <v>45190</v>
      </c>
      <c r="D2057" t="inlineStr">
        <is>
          <t>SKÅNE LÄN</t>
        </is>
      </c>
      <c r="E2057" t="inlineStr">
        <is>
          <t>HÄSSLEHOLM</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10013-2021</t>
        </is>
      </c>
      <c r="B2058" s="1" t="n">
        <v>44253</v>
      </c>
      <c r="C2058" s="1" t="n">
        <v>45190</v>
      </c>
      <c r="D2058" t="inlineStr">
        <is>
          <t>SKÅNE LÄN</t>
        </is>
      </c>
      <c r="E2058" t="inlineStr">
        <is>
          <t>HÖÖR</t>
        </is>
      </c>
      <c r="G2058" t="n">
        <v>4.9</v>
      </c>
      <c r="H2058" t="n">
        <v>0</v>
      </c>
      <c r="I2058" t="n">
        <v>0</v>
      </c>
      <c r="J2058" t="n">
        <v>0</v>
      </c>
      <c r="K2058" t="n">
        <v>0</v>
      </c>
      <c r="L2058" t="n">
        <v>0</v>
      </c>
      <c r="M2058" t="n">
        <v>0</v>
      </c>
      <c r="N2058" t="n">
        <v>0</v>
      </c>
      <c r="O2058" t="n">
        <v>0</v>
      </c>
      <c r="P2058" t="n">
        <v>0</v>
      </c>
      <c r="Q2058" t="n">
        <v>0</v>
      </c>
      <c r="R2058" s="2" t="inlineStr"/>
    </row>
    <row r="2059" ht="15" customHeight="1">
      <c r="A2059" t="inlineStr">
        <is>
          <t>A 10081-2021</t>
        </is>
      </c>
      <c r="B2059" s="1" t="n">
        <v>44256</v>
      </c>
      <c r="C2059" s="1" t="n">
        <v>45190</v>
      </c>
      <c r="D2059" t="inlineStr">
        <is>
          <t>SKÅNE LÄN</t>
        </is>
      </c>
      <c r="E2059" t="inlineStr">
        <is>
          <t>KRISTIANSTAD</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10377-2021</t>
        </is>
      </c>
      <c r="B2060" s="1" t="n">
        <v>44257</v>
      </c>
      <c r="C2060" s="1" t="n">
        <v>45190</v>
      </c>
      <c r="D2060" t="inlineStr">
        <is>
          <t>SKÅNE LÄN</t>
        </is>
      </c>
      <c r="E2060" t="inlineStr">
        <is>
          <t>ÄNGELHOLM</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10694-2021</t>
        </is>
      </c>
      <c r="B2061" s="1" t="n">
        <v>44258</v>
      </c>
      <c r="C2061" s="1" t="n">
        <v>45190</v>
      </c>
      <c r="D2061" t="inlineStr">
        <is>
          <t>SKÅNE LÄN</t>
        </is>
      </c>
      <c r="E2061" t="inlineStr">
        <is>
          <t>TRELLEBORG</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11105-2021</t>
        </is>
      </c>
      <c r="B2062" s="1" t="n">
        <v>44259</v>
      </c>
      <c r="C2062" s="1" t="n">
        <v>45190</v>
      </c>
      <c r="D2062" t="inlineStr">
        <is>
          <t>SKÅNE LÄN</t>
        </is>
      </c>
      <c r="E2062" t="inlineStr">
        <is>
          <t>KLIPPAN</t>
        </is>
      </c>
      <c r="F2062" t="inlineStr">
        <is>
          <t>Övriga Aktiebolag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10864-2021</t>
        </is>
      </c>
      <c r="B2063" s="1" t="n">
        <v>44259</v>
      </c>
      <c r="C2063" s="1" t="n">
        <v>45190</v>
      </c>
      <c r="D2063" t="inlineStr">
        <is>
          <t>SKÅNE LÄN</t>
        </is>
      </c>
      <c r="E2063" t="inlineStr">
        <is>
          <t>PERSTORP</t>
        </is>
      </c>
      <c r="F2063" t="inlineStr">
        <is>
          <t>Kyrkan</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10833-2021</t>
        </is>
      </c>
      <c r="B2064" s="1" t="n">
        <v>44259</v>
      </c>
      <c r="C2064" s="1" t="n">
        <v>45190</v>
      </c>
      <c r="D2064" t="inlineStr">
        <is>
          <t>SKÅNE LÄN</t>
        </is>
      </c>
      <c r="E2064" t="inlineStr">
        <is>
          <t>ÄNGELHOLM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11260-2021</t>
        </is>
      </c>
      <c r="B2065" s="1" t="n">
        <v>44263</v>
      </c>
      <c r="C2065" s="1" t="n">
        <v>45190</v>
      </c>
      <c r="D2065" t="inlineStr">
        <is>
          <t>SKÅNE LÄN</t>
        </is>
      </c>
      <c r="E2065" t="inlineStr">
        <is>
          <t>HÄSSLEHOLM</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11384-2021</t>
        </is>
      </c>
      <c r="B2066" s="1" t="n">
        <v>44263</v>
      </c>
      <c r="C2066" s="1" t="n">
        <v>45190</v>
      </c>
      <c r="D2066" t="inlineStr">
        <is>
          <t>SKÅNE LÄN</t>
        </is>
      </c>
      <c r="E2066" t="inlineStr">
        <is>
          <t>ÖSTRA GÖINGE</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11506-2021</t>
        </is>
      </c>
      <c r="B2067" s="1" t="n">
        <v>44264</v>
      </c>
      <c r="C2067" s="1" t="n">
        <v>45190</v>
      </c>
      <c r="D2067" t="inlineStr">
        <is>
          <t>SKÅNE LÄN</t>
        </is>
      </c>
      <c r="E2067" t="inlineStr">
        <is>
          <t>HÖÖR</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11511-2021</t>
        </is>
      </c>
      <c r="B2068" s="1" t="n">
        <v>44264</v>
      </c>
      <c r="C2068" s="1" t="n">
        <v>45190</v>
      </c>
      <c r="D2068" t="inlineStr">
        <is>
          <t>SKÅNE LÄN</t>
        </is>
      </c>
      <c r="E2068" t="inlineStr">
        <is>
          <t>HÖÖR</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11764-2021</t>
        </is>
      </c>
      <c r="B2069" s="1" t="n">
        <v>44265</v>
      </c>
      <c r="C2069" s="1" t="n">
        <v>45190</v>
      </c>
      <c r="D2069" t="inlineStr">
        <is>
          <t>SKÅNE LÄN</t>
        </is>
      </c>
      <c r="E2069" t="inlineStr">
        <is>
          <t>SVALÖV</t>
        </is>
      </c>
      <c r="G2069" t="n">
        <v>7</v>
      </c>
      <c r="H2069" t="n">
        <v>0</v>
      </c>
      <c r="I2069" t="n">
        <v>0</v>
      </c>
      <c r="J2069" t="n">
        <v>0</v>
      </c>
      <c r="K2069" t="n">
        <v>0</v>
      </c>
      <c r="L2069" t="n">
        <v>0</v>
      </c>
      <c r="M2069" t="n">
        <v>0</v>
      </c>
      <c r="N2069" t="n">
        <v>0</v>
      </c>
      <c r="O2069" t="n">
        <v>0</v>
      </c>
      <c r="P2069" t="n">
        <v>0</v>
      </c>
      <c r="Q2069" t="n">
        <v>0</v>
      </c>
      <c r="R2069" s="2" t="inlineStr"/>
    </row>
    <row r="2070" ht="15" customHeight="1">
      <c r="A2070" t="inlineStr">
        <is>
          <t>A 11919-2021</t>
        </is>
      </c>
      <c r="B2070" s="1" t="n">
        <v>44266</v>
      </c>
      <c r="C2070" s="1" t="n">
        <v>45190</v>
      </c>
      <c r="D2070" t="inlineStr">
        <is>
          <t>SKÅNE LÄN</t>
        </is>
      </c>
      <c r="E2070" t="inlineStr">
        <is>
          <t>TOMELILLA</t>
        </is>
      </c>
      <c r="F2070" t="inlineStr">
        <is>
          <t>Övriga Aktiebolag</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12174-2021</t>
        </is>
      </c>
      <c r="B2071" s="1" t="n">
        <v>44266</v>
      </c>
      <c r="C2071" s="1" t="n">
        <v>45190</v>
      </c>
      <c r="D2071" t="inlineStr">
        <is>
          <t>SKÅNE LÄN</t>
        </is>
      </c>
      <c r="E2071" t="inlineStr">
        <is>
          <t>HÖRBY</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12631-2021</t>
        </is>
      </c>
      <c r="B2072" s="1" t="n">
        <v>44270</v>
      </c>
      <c r="C2072" s="1" t="n">
        <v>45190</v>
      </c>
      <c r="D2072" t="inlineStr">
        <is>
          <t>SKÅNE LÄN</t>
        </is>
      </c>
      <c r="E2072" t="inlineStr">
        <is>
          <t>ÖRKELLJUNGA</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12634-2021</t>
        </is>
      </c>
      <c r="B2073" s="1" t="n">
        <v>44270</v>
      </c>
      <c r="C2073" s="1" t="n">
        <v>45190</v>
      </c>
      <c r="D2073" t="inlineStr">
        <is>
          <t>SKÅNE LÄN</t>
        </is>
      </c>
      <c r="E2073" t="inlineStr">
        <is>
          <t>ÖRKELLJUNGA</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12880-2021</t>
        </is>
      </c>
      <c r="B2074" s="1" t="n">
        <v>44271</v>
      </c>
      <c r="C2074" s="1" t="n">
        <v>45190</v>
      </c>
      <c r="D2074" t="inlineStr">
        <is>
          <t>SKÅNE LÄN</t>
        </is>
      </c>
      <c r="E2074" t="inlineStr">
        <is>
          <t>OSBY</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13255-2021</t>
        </is>
      </c>
      <c r="B2075" s="1" t="n">
        <v>44272</v>
      </c>
      <c r="C2075" s="1" t="n">
        <v>45190</v>
      </c>
      <c r="D2075" t="inlineStr">
        <is>
          <t>SKÅNE LÄN</t>
        </is>
      </c>
      <c r="E2075" t="inlineStr">
        <is>
          <t>KRISTIANSTAD</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13194-2021</t>
        </is>
      </c>
      <c r="B2076" s="1" t="n">
        <v>44272</v>
      </c>
      <c r="C2076" s="1" t="n">
        <v>45190</v>
      </c>
      <c r="D2076" t="inlineStr">
        <is>
          <t>SKÅNE LÄN</t>
        </is>
      </c>
      <c r="E2076" t="inlineStr">
        <is>
          <t>LUND</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13550-2021</t>
        </is>
      </c>
      <c r="B2077" s="1" t="n">
        <v>44273</v>
      </c>
      <c r="C2077" s="1" t="n">
        <v>45190</v>
      </c>
      <c r="D2077" t="inlineStr">
        <is>
          <t>SKÅNE LÄN</t>
        </is>
      </c>
      <c r="E2077" t="inlineStr">
        <is>
          <t>HÖRBY</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13440-2021</t>
        </is>
      </c>
      <c r="B2078" s="1" t="n">
        <v>44273</v>
      </c>
      <c r="C2078" s="1" t="n">
        <v>45190</v>
      </c>
      <c r="D2078" t="inlineStr">
        <is>
          <t>SKÅNE LÄN</t>
        </is>
      </c>
      <c r="E2078" t="inlineStr">
        <is>
          <t>HÖÖR</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13548-2021</t>
        </is>
      </c>
      <c r="B2079" s="1" t="n">
        <v>44273</v>
      </c>
      <c r="C2079" s="1" t="n">
        <v>45190</v>
      </c>
      <c r="D2079" t="inlineStr">
        <is>
          <t>SKÅNE LÄN</t>
        </is>
      </c>
      <c r="E2079" t="inlineStr">
        <is>
          <t>HÖRBY</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13591-2021</t>
        </is>
      </c>
      <c r="B2080" s="1" t="n">
        <v>44274</v>
      </c>
      <c r="C2080" s="1" t="n">
        <v>45190</v>
      </c>
      <c r="D2080" t="inlineStr">
        <is>
          <t>SKÅNE LÄN</t>
        </is>
      </c>
      <c r="E2080" t="inlineStr">
        <is>
          <t>KRISTIANSTAD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13811-2021</t>
        </is>
      </c>
      <c r="B2081" s="1" t="n">
        <v>44276</v>
      </c>
      <c r="C2081" s="1" t="n">
        <v>45190</v>
      </c>
      <c r="D2081" t="inlineStr">
        <is>
          <t>SKÅNE LÄN</t>
        </is>
      </c>
      <c r="E2081" t="inlineStr">
        <is>
          <t>HÄSSLEHOLM</t>
        </is>
      </c>
      <c r="G2081" t="n">
        <v>8</v>
      </c>
      <c r="H2081" t="n">
        <v>0</v>
      </c>
      <c r="I2081" t="n">
        <v>0</v>
      </c>
      <c r="J2081" t="n">
        <v>0</v>
      </c>
      <c r="K2081" t="n">
        <v>0</v>
      </c>
      <c r="L2081" t="n">
        <v>0</v>
      </c>
      <c r="M2081" t="n">
        <v>0</v>
      </c>
      <c r="N2081" t="n">
        <v>0</v>
      </c>
      <c r="O2081" t="n">
        <v>0</v>
      </c>
      <c r="P2081" t="n">
        <v>0</v>
      </c>
      <c r="Q2081" t="n">
        <v>0</v>
      </c>
      <c r="R2081" s="2" t="inlineStr"/>
    </row>
    <row r="2082" ht="15" customHeight="1">
      <c r="A2082" t="inlineStr">
        <is>
          <t>A 13808-2021</t>
        </is>
      </c>
      <c r="B2082" s="1" t="n">
        <v>44276</v>
      </c>
      <c r="C2082" s="1" t="n">
        <v>45190</v>
      </c>
      <c r="D2082" t="inlineStr">
        <is>
          <t>SKÅNE LÄN</t>
        </is>
      </c>
      <c r="E2082" t="inlineStr">
        <is>
          <t>HÄSSLEHOLM</t>
        </is>
      </c>
      <c r="G2082" t="n">
        <v>10.3</v>
      </c>
      <c r="H2082" t="n">
        <v>0</v>
      </c>
      <c r="I2082" t="n">
        <v>0</v>
      </c>
      <c r="J2082" t="n">
        <v>0</v>
      </c>
      <c r="K2082" t="n">
        <v>0</v>
      </c>
      <c r="L2082" t="n">
        <v>0</v>
      </c>
      <c r="M2082" t="n">
        <v>0</v>
      </c>
      <c r="N2082" t="n">
        <v>0</v>
      </c>
      <c r="O2082" t="n">
        <v>0</v>
      </c>
      <c r="P2082" t="n">
        <v>0</v>
      </c>
      <c r="Q2082" t="n">
        <v>0</v>
      </c>
      <c r="R2082" s="2" t="inlineStr"/>
    </row>
    <row r="2083" ht="15" customHeight="1">
      <c r="A2083" t="inlineStr">
        <is>
          <t>A 14054-2021</t>
        </is>
      </c>
      <c r="B2083" s="1" t="n">
        <v>44277</v>
      </c>
      <c r="C2083" s="1" t="n">
        <v>45190</v>
      </c>
      <c r="D2083" t="inlineStr">
        <is>
          <t>SKÅNE LÄN</t>
        </is>
      </c>
      <c r="E2083" t="inlineStr">
        <is>
          <t>HÄSSLEHOLM</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14095-2021</t>
        </is>
      </c>
      <c r="B2084" s="1" t="n">
        <v>44278</v>
      </c>
      <c r="C2084" s="1" t="n">
        <v>45190</v>
      </c>
      <c r="D2084" t="inlineStr">
        <is>
          <t>SKÅNE LÄN</t>
        </is>
      </c>
      <c r="E2084" t="inlineStr">
        <is>
          <t>SJÖBO</t>
        </is>
      </c>
      <c r="F2084" t="inlineStr">
        <is>
          <t>Övriga Aktiebolag</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14731-2021</t>
        </is>
      </c>
      <c r="B2085" s="1" t="n">
        <v>44280</v>
      </c>
      <c r="C2085" s="1" t="n">
        <v>45190</v>
      </c>
      <c r="D2085" t="inlineStr">
        <is>
          <t>SKÅNE LÄN</t>
        </is>
      </c>
      <c r="E2085" t="inlineStr">
        <is>
          <t>OSBY</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15007-2021</t>
        </is>
      </c>
      <c r="B2086" s="1" t="n">
        <v>44281</v>
      </c>
      <c r="C2086" s="1" t="n">
        <v>45190</v>
      </c>
      <c r="D2086" t="inlineStr">
        <is>
          <t>SKÅNE LÄN</t>
        </is>
      </c>
      <c r="E2086" t="inlineStr">
        <is>
          <t>SVALÖV</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15288-2021</t>
        </is>
      </c>
      <c r="B2087" s="1" t="n">
        <v>44284</v>
      </c>
      <c r="C2087" s="1" t="n">
        <v>45190</v>
      </c>
      <c r="D2087" t="inlineStr">
        <is>
          <t>SKÅNE LÄN</t>
        </is>
      </c>
      <c r="E2087" t="inlineStr">
        <is>
          <t>TOMELILLA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15154-2021</t>
        </is>
      </c>
      <c r="B2088" s="1" t="n">
        <v>44284</v>
      </c>
      <c r="C2088" s="1" t="n">
        <v>45190</v>
      </c>
      <c r="D2088" t="inlineStr">
        <is>
          <t>SKÅNE LÄN</t>
        </is>
      </c>
      <c r="E2088" t="inlineStr">
        <is>
          <t>SJÖBO</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15712-2021</t>
        </is>
      </c>
      <c r="B2089" s="1" t="n">
        <v>44286</v>
      </c>
      <c r="C2089" s="1" t="n">
        <v>45190</v>
      </c>
      <c r="D2089" t="inlineStr">
        <is>
          <t>SKÅNE LÄN</t>
        </is>
      </c>
      <c r="E2089" t="inlineStr">
        <is>
          <t>KRISTIANSTAD</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15665-2021</t>
        </is>
      </c>
      <c r="B2090" s="1" t="n">
        <v>44286</v>
      </c>
      <c r="C2090" s="1" t="n">
        <v>45190</v>
      </c>
      <c r="D2090" t="inlineStr">
        <is>
          <t>SKÅNE LÄN</t>
        </is>
      </c>
      <c r="E2090" t="inlineStr">
        <is>
          <t>PERSTORP</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15768-2021</t>
        </is>
      </c>
      <c r="B2091" s="1" t="n">
        <v>44286</v>
      </c>
      <c r="C2091" s="1" t="n">
        <v>45190</v>
      </c>
      <c r="D2091" t="inlineStr">
        <is>
          <t>SKÅNE LÄN</t>
        </is>
      </c>
      <c r="E2091" t="inlineStr">
        <is>
          <t>HÖRBY</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15784-2021</t>
        </is>
      </c>
      <c r="B2092" s="1" t="n">
        <v>44286</v>
      </c>
      <c r="C2092" s="1" t="n">
        <v>45190</v>
      </c>
      <c r="D2092" t="inlineStr">
        <is>
          <t>SKÅNE LÄN</t>
        </is>
      </c>
      <c r="E2092" t="inlineStr">
        <is>
          <t>BROMÖLLA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16189-2021</t>
        </is>
      </c>
      <c r="B2093" s="1" t="n">
        <v>44287</v>
      </c>
      <c r="C2093" s="1" t="n">
        <v>45190</v>
      </c>
      <c r="D2093" t="inlineStr">
        <is>
          <t>SKÅNE LÄN</t>
        </is>
      </c>
      <c r="E2093" t="inlineStr">
        <is>
          <t>KLIPPAN</t>
        </is>
      </c>
      <c r="F2093" t="inlineStr">
        <is>
          <t>Övriga Aktiebolag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16050-2021</t>
        </is>
      </c>
      <c r="B2094" s="1" t="n">
        <v>44287</v>
      </c>
      <c r="C2094" s="1" t="n">
        <v>45190</v>
      </c>
      <c r="D2094" t="inlineStr">
        <is>
          <t>SKÅNE LÄN</t>
        </is>
      </c>
      <c r="E2094" t="inlineStr">
        <is>
          <t>PERSTORP</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16170-2021</t>
        </is>
      </c>
      <c r="B2095" s="1" t="n">
        <v>44287</v>
      </c>
      <c r="C2095" s="1" t="n">
        <v>45190</v>
      </c>
      <c r="D2095" t="inlineStr">
        <is>
          <t>SKÅNE LÄN</t>
        </is>
      </c>
      <c r="E2095" t="inlineStr">
        <is>
          <t>SVALÖV</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16048-2021</t>
        </is>
      </c>
      <c r="B2096" s="1" t="n">
        <v>44287</v>
      </c>
      <c r="C2096" s="1" t="n">
        <v>45190</v>
      </c>
      <c r="D2096" t="inlineStr">
        <is>
          <t>SKÅNE LÄN</t>
        </is>
      </c>
      <c r="E2096" t="inlineStr">
        <is>
          <t>PERSTORP</t>
        </is>
      </c>
      <c r="G2096" t="n">
        <v>0.3</v>
      </c>
      <c r="H2096" t="n">
        <v>0</v>
      </c>
      <c r="I2096" t="n">
        <v>0</v>
      </c>
      <c r="J2096" t="n">
        <v>0</v>
      </c>
      <c r="K2096" t="n">
        <v>0</v>
      </c>
      <c r="L2096" t="n">
        <v>0</v>
      </c>
      <c r="M2096" t="n">
        <v>0</v>
      </c>
      <c r="N2096" t="n">
        <v>0</v>
      </c>
      <c r="O2096" t="n">
        <v>0</v>
      </c>
      <c r="P2096" t="n">
        <v>0</v>
      </c>
      <c r="Q2096" t="n">
        <v>0</v>
      </c>
      <c r="R2096" s="2" t="inlineStr"/>
    </row>
    <row r="2097" ht="15" customHeight="1">
      <c r="A2097" t="inlineStr">
        <is>
          <t>A 16220-2021</t>
        </is>
      </c>
      <c r="B2097" s="1" t="n">
        <v>44287</v>
      </c>
      <c r="C2097" s="1" t="n">
        <v>45190</v>
      </c>
      <c r="D2097" t="inlineStr">
        <is>
          <t>SKÅNE LÄN</t>
        </is>
      </c>
      <c r="E2097" t="inlineStr">
        <is>
          <t>ÖSTRA GÖINGE</t>
        </is>
      </c>
      <c r="G2097" t="n">
        <v>13.9</v>
      </c>
      <c r="H2097" t="n">
        <v>0</v>
      </c>
      <c r="I2097" t="n">
        <v>0</v>
      </c>
      <c r="J2097" t="n">
        <v>0</v>
      </c>
      <c r="K2097" t="n">
        <v>0</v>
      </c>
      <c r="L2097" t="n">
        <v>0</v>
      </c>
      <c r="M2097" t="n">
        <v>0</v>
      </c>
      <c r="N2097" t="n">
        <v>0</v>
      </c>
      <c r="O2097" t="n">
        <v>0</v>
      </c>
      <c r="P2097" t="n">
        <v>0</v>
      </c>
      <c r="Q2097" t="n">
        <v>0</v>
      </c>
      <c r="R2097" s="2" t="inlineStr"/>
    </row>
    <row r="2098" ht="15" customHeight="1">
      <c r="A2098" t="inlineStr">
        <is>
          <t>A 16082-2021</t>
        </is>
      </c>
      <c r="B2098" s="1" t="n">
        <v>44288</v>
      </c>
      <c r="C2098" s="1" t="n">
        <v>45190</v>
      </c>
      <c r="D2098" t="inlineStr">
        <is>
          <t>SKÅNE LÄN</t>
        </is>
      </c>
      <c r="E2098" t="inlineStr">
        <is>
          <t>KRISTIANSTAD</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16300-2021</t>
        </is>
      </c>
      <c r="B2099" s="1" t="n">
        <v>44292</v>
      </c>
      <c r="C2099" s="1" t="n">
        <v>45190</v>
      </c>
      <c r="D2099" t="inlineStr">
        <is>
          <t>SKÅNE LÄN</t>
        </is>
      </c>
      <c r="E2099" t="inlineStr">
        <is>
          <t>SVALÖV</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17006-2021</t>
        </is>
      </c>
      <c r="B2100" s="1" t="n">
        <v>44295</v>
      </c>
      <c r="C2100" s="1" t="n">
        <v>45190</v>
      </c>
      <c r="D2100" t="inlineStr">
        <is>
          <t>SKÅNE LÄN</t>
        </is>
      </c>
      <c r="E2100" t="inlineStr">
        <is>
          <t>SVALÖV</t>
        </is>
      </c>
      <c r="G2100" t="n">
        <v>8.699999999999999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17318-2021</t>
        </is>
      </c>
      <c r="B2101" s="1" t="n">
        <v>44298</v>
      </c>
      <c r="C2101" s="1" t="n">
        <v>45190</v>
      </c>
      <c r="D2101" t="inlineStr">
        <is>
          <t>SKÅNE LÄN</t>
        </is>
      </c>
      <c r="E2101" t="inlineStr">
        <is>
          <t>ÖRKELLJUNGA</t>
        </is>
      </c>
      <c r="F2101" t="inlineStr">
        <is>
          <t>Kommuner</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17387-2021</t>
        </is>
      </c>
      <c r="B2102" s="1" t="n">
        <v>44298</v>
      </c>
      <c r="C2102" s="1" t="n">
        <v>45190</v>
      </c>
      <c r="D2102" t="inlineStr">
        <is>
          <t>SKÅNE LÄN</t>
        </is>
      </c>
      <c r="E2102" t="inlineStr">
        <is>
          <t>KRISTIANSTAD</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17497-2021</t>
        </is>
      </c>
      <c r="B2103" s="1" t="n">
        <v>44299</v>
      </c>
      <c r="C2103" s="1" t="n">
        <v>45190</v>
      </c>
      <c r="D2103" t="inlineStr">
        <is>
          <t>SKÅNE LÄN</t>
        </is>
      </c>
      <c r="E2103" t="inlineStr">
        <is>
          <t>HÄSSLEHOLM</t>
        </is>
      </c>
      <c r="G2103" t="n">
        <v>8</v>
      </c>
      <c r="H2103" t="n">
        <v>0</v>
      </c>
      <c r="I2103" t="n">
        <v>0</v>
      </c>
      <c r="J2103" t="n">
        <v>0</v>
      </c>
      <c r="K2103" t="n">
        <v>0</v>
      </c>
      <c r="L2103" t="n">
        <v>0</v>
      </c>
      <c r="M2103" t="n">
        <v>0</v>
      </c>
      <c r="N2103" t="n">
        <v>0</v>
      </c>
      <c r="O2103" t="n">
        <v>0</v>
      </c>
      <c r="P2103" t="n">
        <v>0</v>
      </c>
      <c r="Q2103" t="n">
        <v>0</v>
      </c>
      <c r="R2103" s="2" t="inlineStr"/>
    </row>
    <row r="2104" ht="15" customHeight="1">
      <c r="A2104" t="inlineStr">
        <is>
          <t>A 17792-2021</t>
        </is>
      </c>
      <c r="B2104" s="1" t="n">
        <v>44300</v>
      </c>
      <c r="C2104" s="1" t="n">
        <v>45190</v>
      </c>
      <c r="D2104" t="inlineStr">
        <is>
          <t>SKÅNE LÄN</t>
        </is>
      </c>
      <c r="E2104" t="inlineStr">
        <is>
          <t>KLIPPAN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17908-2021</t>
        </is>
      </c>
      <c r="B2105" s="1" t="n">
        <v>44301</v>
      </c>
      <c r="C2105" s="1" t="n">
        <v>45190</v>
      </c>
      <c r="D2105" t="inlineStr">
        <is>
          <t>SKÅNE LÄN</t>
        </is>
      </c>
      <c r="E2105" t="inlineStr">
        <is>
          <t>SKURUP</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17916-2021</t>
        </is>
      </c>
      <c r="B2106" s="1" t="n">
        <v>44301</v>
      </c>
      <c r="C2106" s="1" t="n">
        <v>45190</v>
      </c>
      <c r="D2106" t="inlineStr">
        <is>
          <t>SKÅNE LÄN</t>
        </is>
      </c>
      <c r="E2106" t="inlineStr">
        <is>
          <t>SJÖBO</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18512-2021</t>
        </is>
      </c>
      <c r="B2107" s="1" t="n">
        <v>44305</v>
      </c>
      <c r="C2107" s="1" t="n">
        <v>45190</v>
      </c>
      <c r="D2107" t="inlineStr">
        <is>
          <t>SKÅNE LÄN</t>
        </is>
      </c>
      <c r="E2107" t="inlineStr">
        <is>
          <t>PERSTORP</t>
        </is>
      </c>
      <c r="F2107" t="inlineStr">
        <is>
          <t>Övriga Aktiebolag</t>
        </is>
      </c>
      <c r="G2107" t="n">
        <v>13.5</v>
      </c>
      <c r="H2107" t="n">
        <v>0</v>
      </c>
      <c r="I2107" t="n">
        <v>0</v>
      </c>
      <c r="J2107" t="n">
        <v>0</v>
      </c>
      <c r="K2107" t="n">
        <v>0</v>
      </c>
      <c r="L2107" t="n">
        <v>0</v>
      </c>
      <c r="M2107" t="n">
        <v>0</v>
      </c>
      <c r="N2107" t="n">
        <v>0</v>
      </c>
      <c r="O2107" t="n">
        <v>0</v>
      </c>
      <c r="P2107" t="n">
        <v>0</v>
      </c>
      <c r="Q2107" t="n">
        <v>0</v>
      </c>
      <c r="R2107" s="2" t="inlineStr"/>
    </row>
    <row r="2108" ht="15" customHeight="1">
      <c r="A2108" t="inlineStr">
        <is>
          <t>A 18520-2021</t>
        </is>
      </c>
      <c r="B2108" s="1" t="n">
        <v>44305</v>
      </c>
      <c r="C2108" s="1" t="n">
        <v>45190</v>
      </c>
      <c r="D2108" t="inlineStr">
        <is>
          <t>SKÅNE LÄN</t>
        </is>
      </c>
      <c r="E2108" t="inlineStr">
        <is>
          <t>KLIPPAN</t>
        </is>
      </c>
      <c r="F2108" t="inlineStr">
        <is>
          <t>Övriga Aktiebolag</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18511-2021</t>
        </is>
      </c>
      <c r="B2109" s="1" t="n">
        <v>44305</v>
      </c>
      <c r="C2109" s="1" t="n">
        <v>45190</v>
      </c>
      <c r="D2109" t="inlineStr">
        <is>
          <t>SKÅNE LÄN</t>
        </is>
      </c>
      <c r="E2109" t="inlineStr">
        <is>
          <t>HÄSSLEHOLM</t>
        </is>
      </c>
      <c r="F2109" t="inlineStr">
        <is>
          <t>Övriga Aktiebolag</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18516-2021</t>
        </is>
      </c>
      <c r="B2110" s="1" t="n">
        <v>44305</v>
      </c>
      <c r="C2110" s="1" t="n">
        <v>45190</v>
      </c>
      <c r="D2110" t="inlineStr">
        <is>
          <t>SKÅNE LÄN</t>
        </is>
      </c>
      <c r="E2110" t="inlineStr">
        <is>
          <t>KLIPPAN</t>
        </is>
      </c>
      <c r="F2110" t="inlineStr">
        <is>
          <t>Övriga Aktiebolag</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18514-2021</t>
        </is>
      </c>
      <c r="B2111" s="1" t="n">
        <v>44305</v>
      </c>
      <c r="C2111" s="1" t="n">
        <v>45190</v>
      </c>
      <c r="D2111" t="inlineStr">
        <is>
          <t>SKÅNE LÄN</t>
        </is>
      </c>
      <c r="E2111" t="inlineStr">
        <is>
          <t>PERSTORP</t>
        </is>
      </c>
      <c r="F2111" t="inlineStr">
        <is>
          <t>Övriga Aktiebolag</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18523-2021</t>
        </is>
      </c>
      <c r="B2112" s="1" t="n">
        <v>44305</v>
      </c>
      <c r="C2112" s="1" t="n">
        <v>45190</v>
      </c>
      <c r="D2112" t="inlineStr">
        <is>
          <t>SKÅNE LÄN</t>
        </is>
      </c>
      <c r="E2112" t="inlineStr">
        <is>
          <t>HÄSSLEHOLM</t>
        </is>
      </c>
      <c r="F2112" t="inlineStr">
        <is>
          <t>Övriga Aktiebolag</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18509-2021</t>
        </is>
      </c>
      <c r="B2113" s="1" t="n">
        <v>44305</v>
      </c>
      <c r="C2113" s="1" t="n">
        <v>45190</v>
      </c>
      <c r="D2113" t="inlineStr">
        <is>
          <t>SKÅNE LÄN</t>
        </is>
      </c>
      <c r="E2113" t="inlineStr">
        <is>
          <t>PERSTORP</t>
        </is>
      </c>
      <c r="F2113" t="inlineStr">
        <is>
          <t>Övriga Aktiebolag</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18515-2021</t>
        </is>
      </c>
      <c r="B2114" s="1" t="n">
        <v>44305</v>
      </c>
      <c r="C2114" s="1" t="n">
        <v>45190</v>
      </c>
      <c r="D2114" t="inlineStr">
        <is>
          <t>SKÅNE LÄN</t>
        </is>
      </c>
      <c r="E2114" t="inlineStr">
        <is>
          <t>HÄSSLEHOLM</t>
        </is>
      </c>
      <c r="F2114" t="inlineStr">
        <is>
          <t>Övriga Aktiebolag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18528-2021</t>
        </is>
      </c>
      <c r="B2115" s="1" t="n">
        <v>44305</v>
      </c>
      <c r="C2115" s="1" t="n">
        <v>45190</v>
      </c>
      <c r="D2115" t="inlineStr">
        <is>
          <t>SKÅNE LÄN</t>
        </is>
      </c>
      <c r="E2115" t="inlineStr">
        <is>
          <t>HÄSSLEHOLM</t>
        </is>
      </c>
      <c r="F2115" t="inlineStr">
        <is>
          <t>Övriga Aktiebolag</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18612-2021</t>
        </is>
      </c>
      <c r="B2116" s="1" t="n">
        <v>44306</v>
      </c>
      <c r="C2116" s="1" t="n">
        <v>45190</v>
      </c>
      <c r="D2116" t="inlineStr">
        <is>
          <t>SKÅNE LÄN</t>
        </is>
      </c>
      <c r="E2116" t="inlineStr">
        <is>
          <t>PERSTORP</t>
        </is>
      </c>
      <c r="F2116" t="inlineStr">
        <is>
          <t>Övriga Aktiebolag</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18616-2021</t>
        </is>
      </c>
      <c r="B2117" s="1" t="n">
        <v>44306</v>
      </c>
      <c r="C2117" s="1" t="n">
        <v>45190</v>
      </c>
      <c r="D2117" t="inlineStr">
        <is>
          <t>SKÅNE LÄN</t>
        </is>
      </c>
      <c r="E2117" t="inlineStr">
        <is>
          <t>PERSTORP</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18472-2021</t>
        </is>
      </c>
      <c r="B2118" s="1" t="n">
        <v>44306</v>
      </c>
      <c r="C2118" s="1" t="n">
        <v>45190</v>
      </c>
      <c r="D2118" t="inlineStr">
        <is>
          <t>SKÅNE LÄN</t>
        </is>
      </c>
      <c r="E2118" t="inlineStr">
        <is>
          <t>TOMELILLA</t>
        </is>
      </c>
      <c r="F2118" t="inlineStr">
        <is>
          <t>Övriga Aktiebolag</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19066-2021</t>
        </is>
      </c>
      <c r="B2119" s="1" t="n">
        <v>44308</v>
      </c>
      <c r="C2119" s="1" t="n">
        <v>45190</v>
      </c>
      <c r="D2119" t="inlineStr">
        <is>
          <t>SKÅNE LÄN</t>
        </is>
      </c>
      <c r="E2119" t="inlineStr">
        <is>
          <t>BROMÖLLA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19159-2021</t>
        </is>
      </c>
      <c r="B2120" s="1" t="n">
        <v>44308</v>
      </c>
      <c r="C2120" s="1" t="n">
        <v>45190</v>
      </c>
      <c r="D2120" t="inlineStr">
        <is>
          <t>SKÅNE LÄN</t>
        </is>
      </c>
      <c r="E2120" t="inlineStr">
        <is>
          <t>SVALÖV</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19196-2021</t>
        </is>
      </c>
      <c r="B2121" s="1" t="n">
        <v>44308</v>
      </c>
      <c r="C2121" s="1" t="n">
        <v>45190</v>
      </c>
      <c r="D2121" t="inlineStr">
        <is>
          <t>SKÅNE LÄN</t>
        </is>
      </c>
      <c r="E2121" t="inlineStr">
        <is>
          <t>HÖÖR</t>
        </is>
      </c>
      <c r="G2121" t="n">
        <v>9.5</v>
      </c>
      <c r="H2121" t="n">
        <v>0</v>
      </c>
      <c r="I2121" t="n">
        <v>0</v>
      </c>
      <c r="J2121" t="n">
        <v>0</v>
      </c>
      <c r="K2121" t="n">
        <v>0</v>
      </c>
      <c r="L2121" t="n">
        <v>0</v>
      </c>
      <c r="M2121" t="n">
        <v>0</v>
      </c>
      <c r="N2121" t="n">
        <v>0</v>
      </c>
      <c r="O2121" t="n">
        <v>0</v>
      </c>
      <c r="P2121" t="n">
        <v>0</v>
      </c>
      <c r="Q2121" t="n">
        <v>0</v>
      </c>
      <c r="R2121" s="2" t="inlineStr"/>
    </row>
    <row r="2122" ht="15" customHeight="1">
      <c r="A2122" t="inlineStr">
        <is>
          <t>A 19255-2021</t>
        </is>
      </c>
      <c r="B2122" s="1" t="n">
        <v>44309</v>
      </c>
      <c r="C2122" s="1" t="n">
        <v>45190</v>
      </c>
      <c r="D2122" t="inlineStr">
        <is>
          <t>SKÅNE LÄN</t>
        </is>
      </c>
      <c r="E2122" t="inlineStr">
        <is>
          <t>OSBY</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19380-2021</t>
        </is>
      </c>
      <c r="B2123" s="1" t="n">
        <v>44309</v>
      </c>
      <c r="C2123" s="1" t="n">
        <v>45190</v>
      </c>
      <c r="D2123" t="inlineStr">
        <is>
          <t>SKÅNE LÄN</t>
        </is>
      </c>
      <c r="E2123" t="inlineStr">
        <is>
          <t>HÖÖR</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19623-2021</t>
        </is>
      </c>
      <c r="B2124" s="1" t="n">
        <v>44309</v>
      </c>
      <c r="C2124" s="1" t="n">
        <v>45190</v>
      </c>
      <c r="D2124" t="inlineStr">
        <is>
          <t>SKÅNE LÄN</t>
        </is>
      </c>
      <c r="E2124" t="inlineStr">
        <is>
          <t>SVALÖV</t>
        </is>
      </c>
      <c r="G2124" t="n">
        <v>8.199999999999999</v>
      </c>
      <c r="H2124" t="n">
        <v>0</v>
      </c>
      <c r="I2124" t="n">
        <v>0</v>
      </c>
      <c r="J2124" t="n">
        <v>0</v>
      </c>
      <c r="K2124" t="n">
        <v>0</v>
      </c>
      <c r="L2124" t="n">
        <v>0</v>
      </c>
      <c r="M2124" t="n">
        <v>0</v>
      </c>
      <c r="N2124" t="n">
        <v>0</v>
      </c>
      <c r="O2124" t="n">
        <v>0</v>
      </c>
      <c r="P2124" t="n">
        <v>0</v>
      </c>
      <c r="Q2124" t="n">
        <v>0</v>
      </c>
      <c r="R2124" s="2" t="inlineStr"/>
    </row>
    <row r="2125" ht="15" customHeight="1">
      <c r="A2125" t="inlineStr">
        <is>
          <t>A 19823-2021</t>
        </is>
      </c>
      <c r="B2125" s="1" t="n">
        <v>44309</v>
      </c>
      <c r="C2125" s="1" t="n">
        <v>45190</v>
      </c>
      <c r="D2125" t="inlineStr">
        <is>
          <t>SKÅNE LÄN</t>
        </is>
      </c>
      <c r="E2125" t="inlineStr">
        <is>
          <t>KLIPPAN</t>
        </is>
      </c>
      <c r="G2125" t="n">
        <v>7</v>
      </c>
      <c r="H2125" t="n">
        <v>0</v>
      </c>
      <c r="I2125" t="n">
        <v>0</v>
      </c>
      <c r="J2125" t="n">
        <v>0</v>
      </c>
      <c r="K2125" t="n">
        <v>0</v>
      </c>
      <c r="L2125" t="n">
        <v>0</v>
      </c>
      <c r="M2125" t="n">
        <v>0</v>
      </c>
      <c r="N2125" t="n">
        <v>0</v>
      </c>
      <c r="O2125" t="n">
        <v>0</v>
      </c>
      <c r="P2125" t="n">
        <v>0</v>
      </c>
      <c r="Q2125" t="n">
        <v>0</v>
      </c>
      <c r="R2125" s="2" t="inlineStr"/>
    </row>
    <row r="2126" ht="15" customHeight="1">
      <c r="A2126" t="inlineStr">
        <is>
          <t>A 19626-2021</t>
        </is>
      </c>
      <c r="B2126" s="1" t="n">
        <v>44309</v>
      </c>
      <c r="C2126" s="1" t="n">
        <v>45190</v>
      </c>
      <c r="D2126" t="inlineStr">
        <is>
          <t>SKÅNE LÄN</t>
        </is>
      </c>
      <c r="E2126" t="inlineStr">
        <is>
          <t>SVALÖV</t>
        </is>
      </c>
      <c r="G2126" t="n">
        <v>17.8</v>
      </c>
      <c r="H2126" t="n">
        <v>0</v>
      </c>
      <c r="I2126" t="n">
        <v>0</v>
      </c>
      <c r="J2126" t="n">
        <v>0</v>
      </c>
      <c r="K2126" t="n">
        <v>0</v>
      </c>
      <c r="L2126" t="n">
        <v>0</v>
      </c>
      <c r="M2126" t="n">
        <v>0</v>
      </c>
      <c r="N2126" t="n">
        <v>0</v>
      </c>
      <c r="O2126" t="n">
        <v>0</v>
      </c>
      <c r="P2126" t="n">
        <v>0</v>
      </c>
      <c r="Q2126" t="n">
        <v>0</v>
      </c>
      <c r="R2126" s="2" t="inlineStr"/>
    </row>
    <row r="2127" ht="15" customHeight="1">
      <c r="A2127" t="inlineStr">
        <is>
          <t>A 19583-2021</t>
        </is>
      </c>
      <c r="B2127" s="1" t="n">
        <v>44312</v>
      </c>
      <c r="C2127" s="1" t="n">
        <v>45190</v>
      </c>
      <c r="D2127" t="inlineStr">
        <is>
          <t>SKÅNE LÄN</t>
        </is>
      </c>
      <c r="E2127" t="inlineStr">
        <is>
          <t>HÖRBY</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20510-2021</t>
        </is>
      </c>
      <c r="B2128" s="1" t="n">
        <v>44315</v>
      </c>
      <c r="C2128" s="1" t="n">
        <v>45190</v>
      </c>
      <c r="D2128" t="inlineStr">
        <is>
          <t>SKÅNE LÄN</t>
        </is>
      </c>
      <c r="E2128" t="inlineStr">
        <is>
          <t>HÄSSLEHOLM</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20611-2021</t>
        </is>
      </c>
      <c r="B2129" s="1" t="n">
        <v>44315</v>
      </c>
      <c r="C2129" s="1" t="n">
        <v>45190</v>
      </c>
      <c r="D2129" t="inlineStr">
        <is>
          <t>SKÅNE LÄN</t>
        </is>
      </c>
      <c r="E2129" t="inlineStr">
        <is>
          <t>ÖSTRA GÖINGE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20384-2021</t>
        </is>
      </c>
      <c r="B2130" s="1" t="n">
        <v>44315</v>
      </c>
      <c r="C2130" s="1" t="n">
        <v>45190</v>
      </c>
      <c r="D2130" t="inlineStr">
        <is>
          <t>SKÅNE LÄN</t>
        </is>
      </c>
      <c r="E2130" t="inlineStr">
        <is>
          <t>KRISTIANSTAD</t>
        </is>
      </c>
      <c r="F2130" t="inlineStr">
        <is>
          <t>Kommuner</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20604-2021</t>
        </is>
      </c>
      <c r="B2131" s="1" t="n">
        <v>44315</v>
      </c>
      <c r="C2131" s="1" t="n">
        <v>45190</v>
      </c>
      <c r="D2131" t="inlineStr">
        <is>
          <t>SKÅNE LÄN</t>
        </is>
      </c>
      <c r="E2131" t="inlineStr">
        <is>
          <t>ÖSTRA GÖINGE</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20659-2021</t>
        </is>
      </c>
      <c r="B2132" s="1" t="n">
        <v>44316</v>
      </c>
      <c r="C2132" s="1" t="n">
        <v>45190</v>
      </c>
      <c r="D2132" t="inlineStr">
        <is>
          <t>SKÅNE LÄN</t>
        </is>
      </c>
      <c r="E2132" t="inlineStr">
        <is>
          <t>HÄSSLEHOLM</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21715-2021</t>
        </is>
      </c>
      <c r="B2133" s="1" t="n">
        <v>44316</v>
      </c>
      <c r="C2133" s="1" t="n">
        <v>45190</v>
      </c>
      <c r="D2133" t="inlineStr">
        <is>
          <t>SKÅNE LÄN</t>
        </is>
      </c>
      <c r="E2133" t="inlineStr">
        <is>
          <t>HÄSSLEHOLM</t>
        </is>
      </c>
      <c r="G2133" t="n">
        <v>9.5</v>
      </c>
      <c r="H2133" t="n">
        <v>0</v>
      </c>
      <c r="I2133" t="n">
        <v>0</v>
      </c>
      <c r="J2133" t="n">
        <v>0</v>
      </c>
      <c r="K2133" t="n">
        <v>0</v>
      </c>
      <c r="L2133" t="n">
        <v>0</v>
      </c>
      <c r="M2133" t="n">
        <v>0</v>
      </c>
      <c r="N2133" t="n">
        <v>0</v>
      </c>
      <c r="O2133" t="n">
        <v>0</v>
      </c>
      <c r="P2133" t="n">
        <v>0</v>
      </c>
      <c r="Q2133" t="n">
        <v>0</v>
      </c>
      <c r="R2133" s="2" t="inlineStr"/>
    </row>
    <row r="2134" ht="15" customHeight="1">
      <c r="A2134" t="inlineStr">
        <is>
          <t>A 20648-2021</t>
        </is>
      </c>
      <c r="B2134" s="1" t="n">
        <v>44316</v>
      </c>
      <c r="C2134" s="1" t="n">
        <v>45190</v>
      </c>
      <c r="D2134" t="inlineStr">
        <is>
          <t>SKÅNE LÄN</t>
        </is>
      </c>
      <c r="E2134" t="inlineStr">
        <is>
          <t>HÄSSLEHOLM</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21028-2021</t>
        </is>
      </c>
      <c r="B2135" s="1" t="n">
        <v>44319</v>
      </c>
      <c r="C2135" s="1" t="n">
        <v>45190</v>
      </c>
      <c r="D2135" t="inlineStr">
        <is>
          <t>SKÅNE LÄN</t>
        </is>
      </c>
      <c r="E2135" t="inlineStr">
        <is>
          <t>HÄSSLEHOLM</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21180-2021</t>
        </is>
      </c>
      <c r="B2136" s="1" t="n">
        <v>44320</v>
      </c>
      <c r="C2136" s="1" t="n">
        <v>45190</v>
      </c>
      <c r="D2136" t="inlineStr">
        <is>
          <t>SKÅNE LÄN</t>
        </is>
      </c>
      <c r="E2136" t="inlineStr">
        <is>
          <t>ÖSTRA GÖINGE</t>
        </is>
      </c>
      <c r="F2136" t="inlineStr">
        <is>
          <t>Sveaskog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21245-2021</t>
        </is>
      </c>
      <c r="B2137" s="1" t="n">
        <v>44320</v>
      </c>
      <c r="C2137" s="1" t="n">
        <v>45190</v>
      </c>
      <c r="D2137" t="inlineStr">
        <is>
          <t>SKÅNE LÄN</t>
        </is>
      </c>
      <c r="E2137" t="inlineStr">
        <is>
          <t>TOMELILLA</t>
        </is>
      </c>
      <c r="F2137" t="inlineStr">
        <is>
          <t>Övriga Aktiebolag</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21172-2021</t>
        </is>
      </c>
      <c r="B2138" s="1" t="n">
        <v>44320</v>
      </c>
      <c r="C2138" s="1" t="n">
        <v>45190</v>
      </c>
      <c r="D2138" t="inlineStr">
        <is>
          <t>SKÅNE LÄN</t>
        </is>
      </c>
      <c r="E2138" t="inlineStr">
        <is>
          <t>OSBY</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21201-2021</t>
        </is>
      </c>
      <c r="B2139" s="1" t="n">
        <v>44320</v>
      </c>
      <c r="C2139" s="1" t="n">
        <v>45190</v>
      </c>
      <c r="D2139" t="inlineStr">
        <is>
          <t>SKÅNE LÄN</t>
        </is>
      </c>
      <c r="E2139" t="inlineStr">
        <is>
          <t>OSBY</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21615-2021</t>
        </is>
      </c>
      <c r="B2140" s="1" t="n">
        <v>44321</v>
      </c>
      <c r="C2140" s="1" t="n">
        <v>45190</v>
      </c>
      <c r="D2140" t="inlineStr">
        <is>
          <t>SKÅNE LÄN</t>
        </is>
      </c>
      <c r="E2140" t="inlineStr">
        <is>
          <t>OSBY</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21535-2021</t>
        </is>
      </c>
      <c r="B2141" s="1" t="n">
        <v>44321</v>
      </c>
      <c r="C2141" s="1" t="n">
        <v>45190</v>
      </c>
      <c r="D2141" t="inlineStr">
        <is>
          <t>SKÅNE LÄN</t>
        </is>
      </c>
      <c r="E2141" t="inlineStr">
        <is>
          <t>HÄSSLEHOLM</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22320-2021</t>
        </is>
      </c>
      <c r="B2142" s="1" t="n">
        <v>44323</v>
      </c>
      <c r="C2142" s="1" t="n">
        <v>45190</v>
      </c>
      <c r="D2142" t="inlineStr">
        <is>
          <t>SKÅNE LÄN</t>
        </is>
      </c>
      <c r="E2142" t="inlineStr">
        <is>
          <t>HÄSSLEHOLM</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22411-2021</t>
        </is>
      </c>
      <c r="B2143" s="1" t="n">
        <v>44326</v>
      </c>
      <c r="C2143" s="1" t="n">
        <v>45190</v>
      </c>
      <c r="D2143" t="inlineStr">
        <is>
          <t>SKÅNE LÄN</t>
        </is>
      </c>
      <c r="E2143" t="inlineStr">
        <is>
          <t>LUND</t>
        </is>
      </c>
      <c r="F2143" t="inlineStr">
        <is>
          <t>Kommuner</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22423-2021</t>
        </is>
      </c>
      <c r="B2144" s="1" t="n">
        <v>44326</v>
      </c>
      <c r="C2144" s="1" t="n">
        <v>45190</v>
      </c>
      <c r="D2144" t="inlineStr">
        <is>
          <t>SKÅNE LÄN</t>
        </is>
      </c>
      <c r="E2144" t="inlineStr">
        <is>
          <t>HÄSSLEHOLM</t>
        </is>
      </c>
      <c r="F2144" t="inlineStr">
        <is>
          <t>Övriga Aktiebolag</t>
        </is>
      </c>
      <c r="G2144" t="n">
        <v>8.300000000000001</v>
      </c>
      <c r="H2144" t="n">
        <v>0</v>
      </c>
      <c r="I2144" t="n">
        <v>0</v>
      </c>
      <c r="J2144" t="n">
        <v>0</v>
      </c>
      <c r="K2144" t="n">
        <v>0</v>
      </c>
      <c r="L2144" t="n">
        <v>0</v>
      </c>
      <c r="M2144" t="n">
        <v>0</v>
      </c>
      <c r="N2144" t="n">
        <v>0</v>
      </c>
      <c r="O2144" t="n">
        <v>0</v>
      </c>
      <c r="P2144" t="n">
        <v>0</v>
      </c>
      <c r="Q2144" t="n">
        <v>0</v>
      </c>
      <c r="R2144" s="2" t="inlineStr"/>
    </row>
    <row r="2145" ht="15" customHeight="1">
      <c r="A2145" t="inlineStr">
        <is>
          <t>A 22558-2021</t>
        </is>
      </c>
      <c r="B2145" s="1" t="n">
        <v>44326</v>
      </c>
      <c r="C2145" s="1" t="n">
        <v>45190</v>
      </c>
      <c r="D2145" t="inlineStr">
        <is>
          <t>SKÅNE LÄN</t>
        </is>
      </c>
      <c r="E2145" t="inlineStr">
        <is>
          <t>ÖSTRA GÖINGE</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22345-2021</t>
        </is>
      </c>
      <c r="B2146" s="1" t="n">
        <v>44326</v>
      </c>
      <c r="C2146" s="1" t="n">
        <v>45190</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22553-2021</t>
        </is>
      </c>
      <c r="B2147" s="1" t="n">
        <v>44326</v>
      </c>
      <c r="C2147" s="1" t="n">
        <v>45190</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22541-2021</t>
        </is>
      </c>
      <c r="B2148" s="1" t="n">
        <v>44326</v>
      </c>
      <c r="C2148" s="1" t="n">
        <v>45190</v>
      </c>
      <c r="D2148" t="inlineStr">
        <is>
          <t>SKÅNE LÄN</t>
        </is>
      </c>
      <c r="E2148" t="inlineStr">
        <is>
          <t>HÄSSLEHOLM</t>
        </is>
      </c>
      <c r="G2148" t="n">
        <v>4.4</v>
      </c>
      <c r="H2148" t="n">
        <v>0</v>
      </c>
      <c r="I2148" t="n">
        <v>0</v>
      </c>
      <c r="J2148" t="n">
        <v>0</v>
      </c>
      <c r="K2148" t="n">
        <v>0</v>
      </c>
      <c r="L2148" t="n">
        <v>0</v>
      </c>
      <c r="M2148" t="n">
        <v>0</v>
      </c>
      <c r="N2148" t="n">
        <v>0</v>
      </c>
      <c r="O2148" t="n">
        <v>0</v>
      </c>
      <c r="P2148" t="n">
        <v>0</v>
      </c>
      <c r="Q2148" t="n">
        <v>0</v>
      </c>
      <c r="R2148" s="2" t="inlineStr"/>
    </row>
    <row r="2149" ht="15" customHeight="1">
      <c r="A2149" t="inlineStr">
        <is>
          <t>A 22555-2021</t>
        </is>
      </c>
      <c r="B2149" s="1" t="n">
        <v>44326</v>
      </c>
      <c r="C2149" s="1" t="n">
        <v>45190</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22947-2021</t>
        </is>
      </c>
      <c r="B2150" s="1" t="n">
        <v>44327</v>
      </c>
      <c r="C2150" s="1" t="n">
        <v>45190</v>
      </c>
      <c r="D2150" t="inlineStr">
        <is>
          <t>SKÅNE LÄN</t>
        </is>
      </c>
      <c r="E2150" t="inlineStr">
        <is>
          <t>OSBY</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22981-2021</t>
        </is>
      </c>
      <c r="B2151" s="1" t="n">
        <v>44327</v>
      </c>
      <c r="C2151" s="1" t="n">
        <v>45190</v>
      </c>
      <c r="D2151" t="inlineStr">
        <is>
          <t>SKÅNE LÄN</t>
        </is>
      </c>
      <c r="E2151" t="inlineStr">
        <is>
          <t>ÖSTRA GÖINGE</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22793-2021</t>
        </is>
      </c>
      <c r="B2152" s="1" t="n">
        <v>44327</v>
      </c>
      <c r="C2152" s="1" t="n">
        <v>45190</v>
      </c>
      <c r="D2152" t="inlineStr">
        <is>
          <t>SKÅNE LÄN</t>
        </is>
      </c>
      <c r="E2152" t="inlineStr">
        <is>
          <t>ÖSTRA GÖINGE</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22979-2021</t>
        </is>
      </c>
      <c r="B2153" s="1" t="n">
        <v>44327</v>
      </c>
      <c r="C2153" s="1" t="n">
        <v>45190</v>
      </c>
      <c r="D2153" t="inlineStr">
        <is>
          <t>SKÅNE LÄN</t>
        </is>
      </c>
      <c r="E2153" t="inlineStr">
        <is>
          <t>ÖSTRA GÖINGE</t>
        </is>
      </c>
      <c r="G2153" t="n">
        <v>6.1</v>
      </c>
      <c r="H2153" t="n">
        <v>0</v>
      </c>
      <c r="I2153" t="n">
        <v>0</v>
      </c>
      <c r="J2153" t="n">
        <v>0</v>
      </c>
      <c r="K2153" t="n">
        <v>0</v>
      </c>
      <c r="L2153" t="n">
        <v>0</v>
      </c>
      <c r="M2153" t="n">
        <v>0</v>
      </c>
      <c r="N2153" t="n">
        <v>0</v>
      </c>
      <c r="O2153" t="n">
        <v>0</v>
      </c>
      <c r="P2153" t="n">
        <v>0</v>
      </c>
      <c r="Q2153" t="n">
        <v>0</v>
      </c>
      <c r="R2153" s="2" t="inlineStr"/>
    </row>
    <row r="2154" ht="15" customHeight="1">
      <c r="A2154" t="inlineStr">
        <is>
          <t>A 22899-2021</t>
        </is>
      </c>
      <c r="B2154" s="1" t="n">
        <v>44328</v>
      </c>
      <c r="C2154" s="1" t="n">
        <v>45190</v>
      </c>
      <c r="D2154" t="inlineStr">
        <is>
          <t>SKÅNE LÄN</t>
        </is>
      </c>
      <c r="E2154" t="inlineStr">
        <is>
          <t>HÄSSLEHOLM</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22965-2021</t>
        </is>
      </c>
      <c r="B2155" s="1" t="n">
        <v>44328</v>
      </c>
      <c r="C2155" s="1" t="n">
        <v>45190</v>
      </c>
      <c r="D2155" t="inlineStr">
        <is>
          <t>SKÅNE LÄN</t>
        </is>
      </c>
      <c r="E2155" t="inlineStr">
        <is>
          <t>KRISTIANSTAD</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22958-2021</t>
        </is>
      </c>
      <c r="B2156" s="1" t="n">
        <v>44328</v>
      </c>
      <c r="C2156" s="1" t="n">
        <v>45190</v>
      </c>
      <c r="D2156" t="inlineStr">
        <is>
          <t>SKÅNE LÄN</t>
        </is>
      </c>
      <c r="E2156" t="inlineStr">
        <is>
          <t>KRISTIANSTAD</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23003-2021</t>
        </is>
      </c>
      <c r="B2157" s="1" t="n">
        <v>44328</v>
      </c>
      <c r="C2157" s="1" t="n">
        <v>45190</v>
      </c>
      <c r="D2157" t="inlineStr">
        <is>
          <t>SKÅNE LÄN</t>
        </is>
      </c>
      <c r="E2157" t="inlineStr">
        <is>
          <t>HÄSSLEHOLM</t>
        </is>
      </c>
      <c r="G2157" t="n">
        <v>4.4</v>
      </c>
      <c r="H2157" t="n">
        <v>0</v>
      </c>
      <c r="I2157" t="n">
        <v>0</v>
      </c>
      <c r="J2157" t="n">
        <v>0</v>
      </c>
      <c r="K2157" t="n">
        <v>0</v>
      </c>
      <c r="L2157" t="n">
        <v>0</v>
      </c>
      <c r="M2157" t="n">
        <v>0</v>
      </c>
      <c r="N2157" t="n">
        <v>0</v>
      </c>
      <c r="O2157" t="n">
        <v>0</v>
      </c>
      <c r="P2157" t="n">
        <v>0</v>
      </c>
      <c r="Q2157" t="n">
        <v>0</v>
      </c>
      <c r="R2157" s="2" t="inlineStr"/>
    </row>
    <row r="2158" ht="15" customHeight="1">
      <c r="A2158" t="inlineStr">
        <is>
          <t>A 23045-2021</t>
        </is>
      </c>
      <c r="B2158" s="1" t="n">
        <v>44329</v>
      </c>
      <c r="C2158" s="1" t="n">
        <v>45190</v>
      </c>
      <c r="D2158" t="inlineStr">
        <is>
          <t>SKÅNE LÄN</t>
        </is>
      </c>
      <c r="E2158" t="inlineStr">
        <is>
          <t>HÄSSLEHOLM</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23362-2021</t>
        </is>
      </c>
      <c r="B2159" s="1" t="n">
        <v>44333</v>
      </c>
      <c r="C2159" s="1" t="n">
        <v>45190</v>
      </c>
      <c r="D2159" t="inlineStr">
        <is>
          <t>SKÅNE LÄN</t>
        </is>
      </c>
      <c r="E2159" t="inlineStr">
        <is>
          <t>LANDSKRONA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23837-2021</t>
        </is>
      </c>
      <c r="B2160" s="1" t="n">
        <v>44335</v>
      </c>
      <c r="C2160" s="1" t="n">
        <v>45190</v>
      </c>
      <c r="D2160" t="inlineStr">
        <is>
          <t>SKÅNE LÄN</t>
        </is>
      </c>
      <c r="E2160" t="inlineStr">
        <is>
          <t>HÄSSLEHOLM</t>
        </is>
      </c>
      <c r="G2160" t="n">
        <v>7.6</v>
      </c>
      <c r="H2160" t="n">
        <v>0</v>
      </c>
      <c r="I2160" t="n">
        <v>0</v>
      </c>
      <c r="J2160" t="n">
        <v>0</v>
      </c>
      <c r="K2160" t="n">
        <v>0</v>
      </c>
      <c r="L2160" t="n">
        <v>0</v>
      </c>
      <c r="M2160" t="n">
        <v>0</v>
      </c>
      <c r="N2160" t="n">
        <v>0</v>
      </c>
      <c r="O2160" t="n">
        <v>0</v>
      </c>
      <c r="P2160" t="n">
        <v>0</v>
      </c>
      <c r="Q2160" t="n">
        <v>0</v>
      </c>
      <c r="R2160" s="2" t="inlineStr"/>
    </row>
    <row r="2161" ht="15" customHeight="1">
      <c r="A2161" t="inlineStr">
        <is>
          <t>A 23830-2021</t>
        </is>
      </c>
      <c r="B2161" s="1" t="n">
        <v>44335</v>
      </c>
      <c r="C2161" s="1" t="n">
        <v>45190</v>
      </c>
      <c r="D2161" t="inlineStr">
        <is>
          <t>SKÅNE LÄN</t>
        </is>
      </c>
      <c r="E2161" t="inlineStr">
        <is>
          <t>HÄSSLEHOLM</t>
        </is>
      </c>
      <c r="G2161" t="n">
        <v>18.7</v>
      </c>
      <c r="H2161" t="n">
        <v>0</v>
      </c>
      <c r="I2161" t="n">
        <v>0</v>
      </c>
      <c r="J2161" t="n">
        <v>0</v>
      </c>
      <c r="K2161" t="n">
        <v>0</v>
      </c>
      <c r="L2161" t="n">
        <v>0</v>
      </c>
      <c r="M2161" t="n">
        <v>0</v>
      </c>
      <c r="N2161" t="n">
        <v>0</v>
      </c>
      <c r="O2161" t="n">
        <v>0</v>
      </c>
      <c r="P2161" t="n">
        <v>0</v>
      </c>
      <c r="Q2161" t="n">
        <v>0</v>
      </c>
      <c r="R2161" s="2" t="inlineStr"/>
    </row>
    <row r="2162" ht="15" customHeight="1">
      <c r="A2162" t="inlineStr">
        <is>
          <t>A 23826-2021</t>
        </is>
      </c>
      <c r="B2162" s="1" t="n">
        <v>44335</v>
      </c>
      <c r="C2162" s="1" t="n">
        <v>45190</v>
      </c>
      <c r="D2162" t="inlineStr">
        <is>
          <t>SKÅNE LÄN</t>
        </is>
      </c>
      <c r="E2162" t="inlineStr">
        <is>
          <t>HÄSSLEHOLM</t>
        </is>
      </c>
      <c r="G2162" t="n">
        <v>6.5</v>
      </c>
      <c r="H2162" t="n">
        <v>0</v>
      </c>
      <c r="I2162" t="n">
        <v>0</v>
      </c>
      <c r="J2162" t="n">
        <v>0</v>
      </c>
      <c r="K2162" t="n">
        <v>0</v>
      </c>
      <c r="L2162" t="n">
        <v>0</v>
      </c>
      <c r="M2162" t="n">
        <v>0</v>
      </c>
      <c r="N2162" t="n">
        <v>0</v>
      </c>
      <c r="O2162" t="n">
        <v>0</v>
      </c>
      <c r="P2162" t="n">
        <v>0</v>
      </c>
      <c r="Q2162" t="n">
        <v>0</v>
      </c>
      <c r="R2162" s="2" t="inlineStr"/>
    </row>
    <row r="2163" ht="15" customHeight="1">
      <c r="A2163" t="inlineStr">
        <is>
          <t>A 23841-2021</t>
        </is>
      </c>
      <c r="B2163" s="1" t="n">
        <v>44335</v>
      </c>
      <c r="C2163" s="1" t="n">
        <v>45190</v>
      </c>
      <c r="D2163" t="inlineStr">
        <is>
          <t>SKÅNE LÄN</t>
        </is>
      </c>
      <c r="E2163" t="inlineStr">
        <is>
          <t>HÄSSLEHOLM</t>
        </is>
      </c>
      <c r="G2163" t="n">
        <v>16.9</v>
      </c>
      <c r="H2163" t="n">
        <v>0</v>
      </c>
      <c r="I2163" t="n">
        <v>0</v>
      </c>
      <c r="J2163" t="n">
        <v>0</v>
      </c>
      <c r="K2163" t="n">
        <v>0</v>
      </c>
      <c r="L2163" t="n">
        <v>0</v>
      </c>
      <c r="M2163" t="n">
        <v>0</v>
      </c>
      <c r="N2163" t="n">
        <v>0</v>
      </c>
      <c r="O2163" t="n">
        <v>0</v>
      </c>
      <c r="P2163" t="n">
        <v>0</v>
      </c>
      <c r="Q2163" t="n">
        <v>0</v>
      </c>
      <c r="R2163" s="2" t="inlineStr"/>
    </row>
    <row r="2164" ht="15" customHeight="1">
      <c r="A2164" t="inlineStr">
        <is>
          <t>A 23952-2021</t>
        </is>
      </c>
      <c r="B2164" s="1" t="n">
        <v>44335</v>
      </c>
      <c r="C2164" s="1" t="n">
        <v>45190</v>
      </c>
      <c r="D2164" t="inlineStr">
        <is>
          <t>SKÅNE LÄN</t>
        </is>
      </c>
      <c r="E2164" t="inlineStr">
        <is>
          <t>OSBY</t>
        </is>
      </c>
      <c r="F2164" t="inlineStr">
        <is>
          <t>Kyrkan</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24366-2021</t>
        </is>
      </c>
      <c r="B2165" s="1" t="n">
        <v>44337</v>
      </c>
      <c r="C2165" s="1" t="n">
        <v>45190</v>
      </c>
      <c r="D2165" t="inlineStr">
        <is>
          <t>SKÅNE LÄN</t>
        </is>
      </c>
      <c r="E2165" t="inlineStr">
        <is>
          <t>OSBY</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24384-2021</t>
        </is>
      </c>
      <c r="B2166" s="1" t="n">
        <v>44337</v>
      </c>
      <c r="C2166" s="1" t="n">
        <v>45190</v>
      </c>
      <c r="D2166" t="inlineStr">
        <is>
          <t>SKÅNE LÄN</t>
        </is>
      </c>
      <c r="E2166" t="inlineStr">
        <is>
          <t>ESLÖV</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24496-2021</t>
        </is>
      </c>
      <c r="B2167" s="1" t="n">
        <v>44337</v>
      </c>
      <c r="C2167" s="1" t="n">
        <v>45190</v>
      </c>
      <c r="D2167" t="inlineStr">
        <is>
          <t>SKÅNE LÄN</t>
        </is>
      </c>
      <c r="E2167" t="inlineStr">
        <is>
          <t>HÄSSLEHOLM</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24368-2021</t>
        </is>
      </c>
      <c r="B2168" s="1" t="n">
        <v>44337</v>
      </c>
      <c r="C2168" s="1" t="n">
        <v>45190</v>
      </c>
      <c r="D2168" t="inlineStr">
        <is>
          <t>SKÅNE LÄN</t>
        </is>
      </c>
      <c r="E2168" t="inlineStr">
        <is>
          <t>OSBY</t>
        </is>
      </c>
      <c r="F2168" t="inlineStr">
        <is>
          <t>Sveaskog</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24691-2021</t>
        </is>
      </c>
      <c r="B2169" s="1" t="n">
        <v>44340</v>
      </c>
      <c r="C2169" s="1" t="n">
        <v>45190</v>
      </c>
      <c r="D2169" t="inlineStr">
        <is>
          <t>SKÅNE LÄN</t>
        </is>
      </c>
      <c r="E2169" t="inlineStr">
        <is>
          <t>ÄNGELHOLM</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24932-2021</t>
        </is>
      </c>
      <c r="B2170" s="1" t="n">
        <v>44341</v>
      </c>
      <c r="C2170" s="1" t="n">
        <v>45190</v>
      </c>
      <c r="D2170" t="inlineStr">
        <is>
          <t>SKÅNE LÄN</t>
        </is>
      </c>
      <c r="E2170" t="inlineStr">
        <is>
          <t>ÄNGELHOLM</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25051-2021</t>
        </is>
      </c>
      <c r="B2171" s="1" t="n">
        <v>44341</v>
      </c>
      <c r="C2171" s="1" t="n">
        <v>45190</v>
      </c>
      <c r="D2171" t="inlineStr">
        <is>
          <t>SKÅNE LÄN</t>
        </is>
      </c>
      <c r="E2171" t="inlineStr">
        <is>
          <t>KRISTIANSTAD</t>
        </is>
      </c>
      <c r="F2171" t="inlineStr">
        <is>
          <t>Övriga Aktiebolag</t>
        </is>
      </c>
      <c r="G2171" t="n">
        <v>6</v>
      </c>
      <c r="H2171" t="n">
        <v>0</v>
      </c>
      <c r="I2171" t="n">
        <v>0</v>
      </c>
      <c r="J2171" t="n">
        <v>0</v>
      </c>
      <c r="K2171" t="n">
        <v>0</v>
      </c>
      <c r="L2171" t="n">
        <v>0</v>
      </c>
      <c r="M2171" t="n">
        <v>0</v>
      </c>
      <c r="N2171" t="n">
        <v>0</v>
      </c>
      <c r="O2171" t="n">
        <v>0</v>
      </c>
      <c r="P2171" t="n">
        <v>0</v>
      </c>
      <c r="Q2171" t="n">
        <v>0</v>
      </c>
      <c r="R2171" s="2" t="inlineStr"/>
    </row>
    <row r="2172" ht="15" customHeight="1">
      <c r="A2172" t="inlineStr">
        <is>
          <t>A 25379-2021</t>
        </is>
      </c>
      <c r="B2172" s="1" t="n">
        <v>44342</v>
      </c>
      <c r="C2172" s="1" t="n">
        <v>45190</v>
      </c>
      <c r="D2172" t="inlineStr">
        <is>
          <t>SKÅNE LÄN</t>
        </is>
      </c>
      <c r="E2172" t="inlineStr">
        <is>
          <t>HÄSSLEHOLM</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25279-2021</t>
        </is>
      </c>
      <c r="B2173" s="1" t="n">
        <v>44342</v>
      </c>
      <c r="C2173" s="1" t="n">
        <v>45190</v>
      </c>
      <c r="D2173" t="inlineStr">
        <is>
          <t>SKÅNE LÄN</t>
        </is>
      </c>
      <c r="E2173" t="inlineStr">
        <is>
          <t>KÄVLINGE</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25383-2021</t>
        </is>
      </c>
      <c r="B2174" s="1" t="n">
        <v>44342</v>
      </c>
      <c r="C2174" s="1" t="n">
        <v>45190</v>
      </c>
      <c r="D2174" t="inlineStr">
        <is>
          <t>SKÅNE LÄN</t>
        </is>
      </c>
      <c r="E2174" t="inlineStr">
        <is>
          <t>HÄSSLEHOLM</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25563-2021</t>
        </is>
      </c>
      <c r="B2175" s="1" t="n">
        <v>44343</v>
      </c>
      <c r="C2175" s="1" t="n">
        <v>45190</v>
      </c>
      <c r="D2175" t="inlineStr">
        <is>
          <t>SKÅNE LÄN</t>
        </is>
      </c>
      <c r="E2175" t="inlineStr">
        <is>
          <t>BROMÖLLA</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25788-2021</t>
        </is>
      </c>
      <c r="B2176" s="1" t="n">
        <v>44343</v>
      </c>
      <c r="C2176" s="1" t="n">
        <v>45190</v>
      </c>
      <c r="D2176" t="inlineStr">
        <is>
          <t>SKÅNE LÄN</t>
        </is>
      </c>
      <c r="E2176" t="inlineStr">
        <is>
          <t>HÄSSLEHOLM</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25899-2021</t>
        </is>
      </c>
      <c r="B2177" s="1" t="n">
        <v>44344</v>
      </c>
      <c r="C2177" s="1" t="n">
        <v>45190</v>
      </c>
      <c r="D2177" t="inlineStr">
        <is>
          <t>SKÅNE LÄN</t>
        </is>
      </c>
      <c r="E2177" t="inlineStr">
        <is>
          <t>TOMELILLA</t>
        </is>
      </c>
      <c r="F2177" t="inlineStr">
        <is>
          <t>Övriga Aktiebolag</t>
        </is>
      </c>
      <c r="G2177" t="n">
        <v>14.8</v>
      </c>
      <c r="H2177" t="n">
        <v>0</v>
      </c>
      <c r="I2177" t="n">
        <v>0</v>
      </c>
      <c r="J2177" t="n">
        <v>0</v>
      </c>
      <c r="K2177" t="n">
        <v>0</v>
      </c>
      <c r="L2177" t="n">
        <v>0</v>
      </c>
      <c r="M2177" t="n">
        <v>0</v>
      </c>
      <c r="N2177" t="n">
        <v>0</v>
      </c>
      <c r="O2177" t="n">
        <v>0</v>
      </c>
      <c r="P2177" t="n">
        <v>0</v>
      </c>
      <c r="Q2177" t="n">
        <v>0</v>
      </c>
      <c r="R2177" s="2" t="inlineStr"/>
    </row>
    <row r="2178" ht="15" customHeight="1">
      <c r="A2178" t="inlineStr">
        <is>
          <t>A 26207-2021</t>
        </is>
      </c>
      <c r="B2178" s="1" t="n">
        <v>44347</v>
      </c>
      <c r="C2178" s="1" t="n">
        <v>45190</v>
      </c>
      <c r="D2178" t="inlineStr">
        <is>
          <t>SKÅNE LÄN</t>
        </is>
      </c>
      <c r="E2178" t="inlineStr">
        <is>
          <t>HÄSSLEHOLM</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26262-2021</t>
        </is>
      </c>
      <c r="B2179" s="1" t="n">
        <v>44347</v>
      </c>
      <c r="C2179" s="1" t="n">
        <v>45190</v>
      </c>
      <c r="D2179" t="inlineStr">
        <is>
          <t>SKÅNE LÄN</t>
        </is>
      </c>
      <c r="E2179" t="inlineStr">
        <is>
          <t>SJÖBO</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26461-2021</t>
        </is>
      </c>
      <c r="B2180" s="1" t="n">
        <v>44348</v>
      </c>
      <c r="C2180" s="1" t="n">
        <v>45190</v>
      </c>
      <c r="D2180" t="inlineStr">
        <is>
          <t>SKÅNE LÄN</t>
        </is>
      </c>
      <c r="E2180" t="inlineStr">
        <is>
          <t>YSTAD</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26459-2021</t>
        </is>
      </c>
      <c r="B2181" s="1" t="n">
        <v>44348</v>
      </c>
      <c r="C2181" s="1" t="n">
        <v>45190</v>
      </c>
      <c r="D2181" t="inlineStr">
        <is>
          <t>SKÅNE LÄN</t>
        </is>
      </c>
      <c r="E2181" t="inlineStr">
        <is>
          <t>SJÖBO</t>
        </is>
      </c>
      <c r="G2181" t="n">
        <v>4.5</v>
      </c>
      <c r="H2181" t="n">
        <v>0</v>
      </c>
      <c r="I2181" t="n">
        <v>0</v>
      </c>
      <c r="J2181" t="n">
        <v>0</v>
      </c>
      <c r="K2181" t="n">
        <v>0</v>
      </c>
      <c r="L2181" t="n">
        <v>0</v>
      </c>
      <c r="M2181" t="n">
        <v>0</v>
      </c>
      <c r="N2181" t="n">
        <v>0</v>
      </c>
      <c r="O2181" t="n">
        <v>0</v>
      </c>
      <c r="P2181" t="n">
        <v>0</v>
      </c>
      <c r="Q2181" t="n">
        <v>0</v>
      </c>
      <c r="R2181" s="2" t="inlineStr"/>
    </row>
    <row r="2182" ht="15" customHeight="1">
      <c r="A2182" t="inlineStr">
        <is>
          <t>A 26482-2021</t>
        </is>
      </c>
      <c r="B2182" s="1" t="n">
        <v>44348</v>
      </c>
      <c r="C2182" s="1" t="n">
        <v>45190</v>
      </c>
      <c r="D2182" t="inlineStr">
        <is>
          <t>SKÅNE LÄN</t>
        </is>
      </c>
      <c r="E2182" t="inlineStr">
        <is>
          <t>KRISTIANSTAD</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26918-2021</t>
        </is>
      </c>
      <c r="B2183" s="1" t="n">
        <v>44349</v>
      </c>
      <c r="C2183" s="1" t="n">
        <v>45190</v>
      </c>
      <c r="D2183" t="inlineStr">
        <is>
          <t>SKÅNE LÄN</t>
        </is>
      </c>
      <c r="E2183" t="inlineStr">
        <is>
          <t>KRISTIANSTAD</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26707-2021</t>
        </is>
      </c>
      <c r="B2184" s="1" t="n">
        <v>44349</v>
      </c>
      <c r="C2184" s="1" t="n">
        <v>45190</v>
      </c>
      <c r="D2184" t="inlineStr">
        <is>
          <t>SKÅNE LÄN</t>
        </is>
      </c>
      <c r="E2184" t="inlineStr">
        <is>
          <t>OSBY</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27197-2021</t>
        </is>
      </c>
      <c r="B2185" s="1" t="n">
        <v>44350</v>
      </c>
      <c r="C2185" s="1" t="n">
        <v>45190</v>
      </c>
      <c r="D2185" t="inlineStr">
        <is>
          <t>SKÅNE LÄN</t>
        </is>
      </c>
      <c r="E2185" t="inlineStr">
        <is>
          <t>HÄSSLEHOLM</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27330-2021</t>
        </is>
      </c>
      <c r="B2186" s="1" t="n">
        <v>44351</v>
      </c>
      <c r="C2186" s="1" t="n">
        <v>45190</v>
      </c>
      <c r="D2186" t="inlineStr">
        <is>
          <t>SKÅNE LÄN</t>
        </is>
      </c>
      <c r="E2186" t="inlineStr">
        <is>
          <t>HÄSSLEHOLM</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27521-2021</t>
        </is>
      </c>
      <c r="B2187" s="1" t="n">
        <v>44351</v>
      </c>
      <c r="C2187" s="1" t="n">
        <v>45190</v>
      </c>
      <c r="D2187" t="inlineStr">
        <is>
          <t>SKÅNE LÄN</t>
        </is>
      </c>
      <c r="E2187" t="inlineStr">
        <is>
          <t>ÖRKELLJUNGA</t>
        </is>
      </c>
      <c r="G2187" t="n">
        <v>10.3</v>
      </c>
      <c r="H2187" t="n">
        <v>0</v>
      </c>
      <c r="I2187" t="n">
        <v>0</v>
      </c>
      <c r="J2187" t="n">
        <v>0</v>
      </c>
      <c r="K2187" t="n">
        <v>0</v>
      </c>
      <c r="L2187" t="n">
        <v>0</v>
      </c>
      <c r="M2187" t="n">
        <v>0</v>
      </c>
      <c r="N2187" t="n">
        <v>0</v>
      </c>
      <c r="O2187" t="n">
        <v>0</v>
      </c>
      <c r="P2187" t="n">
        <v>0</v>
      </c>
      <c r="Q2187" t="n">
        <v>0</v>
      </c>
      <c r="R2187" s="2" t="inlineStr"/>
    </row>
    <row r="2188" ht="15" customHeight="1">
      <c r="A2188" t="inlineStr">
        <is>
          <t>A 27568-2021</t>
        </is>
      </c>
      <c r="B2188" s="1" t="n">
        <v>44353</v>
      </c>
      <c r="C2188" s="1" t="n">
        <v>45190</v>
      </c>
      <c r="D2188" t="inlineStr">
        <is>
          <t>SKÅNE LÄN</t>
        </is>
      </c>
      <c r="E2188" t="inlineStr">
        <is>
          <t>OSBY</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27914-2021</t>
        </is>
      </c>
      <c r="B2189" s="1" t="n">
        <v>44354</v>
      </c>
      <c r="C2189" s="1" t="n">
        <v>45190</v>
      </c>
      <c r="D2189" t="inlineStr">
        <is>
          <t>SKÅNE LÄN</t>
        </is>
      </c>
      <c r="E2189" t="inlineStr">
        <is>
          <t>OSBY</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27729-2021</t>
        </is>
      </c>
      <c r="B2190" s="1" t="n">
        <v>44354</v>
      </c>
      <c r="C2190" s="1" t="n">
        <v>45190</v>
      </c>
      <c r="D2190" t="inlineStr">
        <is>
          <t>SKÅNE LÄN</t>
        </is>
      </c>
      <c r="E2190" t="inlineStr">
        <is>
          <t>KRISTIANSTAD</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27764-2021</t>
        </is>
      </c>
      <c r="B2191" s="1" t="n">
        <v>44354</v>
      </c>
      <c r="C2191" s="1" t="n">
        <v>45190</v>
      </c>
      <c r="D2191" t="inlineStr">
        <is>
          <t>SKÅNE LÄN</t>
        </is>
      </c>
      <c r="E2191" t="inlineStr">
        <is>
          <t>KRISTIANSTAD</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27795-2021</t>
        </is>
      </c>
      <c r="B2192" s="1" t="n">
        <v>44354</v>
      </c>
      <c r="C2192" s="1" t="n">
        <v>45190</v>
      </c>
      <c r="D2192" t="inlineStr">
        <is>
          <t>SKÅNE LÄN</t>
        </is>
      </c>
      <c r="E2192" t="inlineStr">
        <is>
          <t>ÖSTRA GÖINGE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27817-2021</t>
        </is>
      </c>
      <c r="B2193" s="1" t="n">
        <v>44354</v>
      </c>
      <c r="C2193" s="1" t="n">
        <v>45190</v>
      </c>
      <c r="D2193" t="inlineStr">
        <is>
          <t>SKÅNE LÄN</t>
        </is>
      </c>
      <c r="E2193" t="inlineStr">
        <is>
          <t>HÖRBY</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27906-2021</t>
        </is>
      </c>
      <c r="B2194" s="1" t="n">
        <v>44354</v>
      </c>
      <c r="C2194" s="1" t="n">
        <v>45190</v>
      </c>
      <c r="D2194" t="inlineStr">
        <is>
          <t>SKÅNE LÄN</t>
        </is>
      </c>
      <c r="E2194" t="inlineStr">
        <is>
          <t>BROMÖLLA</t>
        </is>
      </c>
      <c r="F2194" t="inlineStr">
        <is>
          <t>Kyrkan</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28131-2021</t>
        </is>
      </c>
      <c r="B2195" s="1" t="n">
        <v>44355</v>
      </c>
      <c r="C2195" s="1" t="n">
        <v>45190</v>
      </c>
      <c r="D2195" t="inlineStr">
        <is>
          <t>SKÅNE LÄN</t>
        </is>
      </c>
      <c r="E2195" t="inlineStr">
        <is>
          <t>TOMELILLA</t>
        </is>
      </c>
      <c r="F2195" t="inlineStr">
        <is>
          <t>Övriga Aktiebolag</t>
        </is>
      </c>
      <c r="G2195" t="n">
        <v>7</v>
      </c>
      <c r="H2195" t="n">
        <v>0</v>
      </c>
      <c r="I2195" t="n">
        <v>0</v>
      </c>
      <c r="J2195" t="n">
        <v>0</v>
      </c>
      <c r="K2195" t="n">
        <v>0</v>
      </c>
      <c r="L2195" t="n">
        <v>0</v>
      </c>
      <c r="M2195" t="n">
        <v>0</v>
      </c>
      <c r="N2195" t="n">
        <v>0</v>
      </c>
      <c r="O2195" t="n">
        <v>0</v>
      </c>
      <c r="P2195" t="n">
        <v>0</v>
      </c>
      <c r="Q2195" t="n">
        <v>0</v>
      </c>
      <c r="R2195" s="2" t="inlineStr"/>
    </row>
    <row r="2196" ht="15" customHeight="1">
      <c r="A2196" t="inlineStr">
        <is>
          <t>A 28678-2021</t>
        </is>
      </c>
      <c r="B2196" s="1" t="n">
        <v>44357</v>
      </c>
      <c r="C2196" s="1" t="n">
        <v>45190</v>
      </c>
      <c r="D2196" t="inlineStr">
        <is>
          <t>SKÅNE LÄN</t>
        </is>
      </c>
      <c r="E2196" t="inlineStr">
        <is>
          <t>OSBY</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29169-2021</t>
        </is>
      </c>
      <c r="B2197" s="1" t="n">
        <v>44358</v>
      </c>
      <c r="C2197" s="1" t="n">
        <v>45190</v>
      </c>
      <c r="D2197" t="inlineStr">
        <is>
          <t>SKÅNE LÄN</t>
        </is>
      </c>
      <c r="E2197" t="inlineStr">
        <is>
          <t>ÖRKELLJUNGA</t>
        </is>
      </c>
      <c r="G2197" t="n">
        <v>4.8</v>
      </c>
      <c r="H2197" t="n">
        <v>0</v>
      </c>
      <c r="I2197" t="n">
        <v>0</v>
      </c>
      <c r="J2197" t="n">
        <v>0</v>
      </c>
      <c r="K2197" t="n">
        <v>0</v>
      </c>
      <c r="L2197" t="n">
        <v>0</v>
      </c>
      <c r="M2197" t="n">
        <v>0</v>
      </c>
      <c r="N2197" t="n">
        <v>0</v>
      </c>
      <c r="O2197" t="n">
        <v>0</v>
      </c>
      <c r="P2197" t="n">
        <v>0</v>
      </c>
      <c r="Q2197" t="n">
        <v>0</v>
      </c>
      <c r="R2197" s="2" t="inlineStr"/>
    </row>
    <row r="2198" ht="15" customHeight="1">
      <c r="A2198" t="inlineStr">
        <is>
          <t>A 29296-2021</t>
        </is>
      </c>
      <c r="B2198" s="1" t="n">
        <v>44361</v>
      </c>
      <c r="C2198" s="1" t="n">
        <v>45190</v>
      </c>
      <c r="D2198" t="inlineStr">
        <is>
          <t>SKÅNE LÄN</t>
        </is>
      </c>
      <c r="E2198" t="inlineStr">
        <is>
          <t>SVALÖV</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29245-2021</t>
        </is>
      </c>
      <c r="B2199" s="1" t="n">
        <v>44361</v>
      </c>
      <c r="C2199" s="1" t="n">
        <v>45190</v>
      </c>
      <c r="D2199" t="inlineStr">
        <is>
          <t>SKÅNE LÄN</t>
        </is>
      </c>
      <c r="E2199" t="inlineStr">
        <is>
          <t>BÅSTAD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29750-2021</t>
        </is>
      </c>
      <c r="B2200" s="1" t="n">
        <v>44362</v>
      </c>
      <c r="C2200" s="1" t="n">
        <v>45190</v>
      </c>
      <c r="D2200" t="inlineStr">
        <is>
          <t>SKÅNE LÄN</t>
        </is>
      </c>
      <c r="E2200" t="inlineStr">
        <is>
          <t>PERSTORP</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29710-2021</t>
        </is>
      </c>
      <c r="B2201" s="1" t="n">
        <v>44362</v>
      </c>
      <c r="C2201" s="1" t="n">
        <v>45190</v>
      </c>
      <c r="D2201" t="inlineStr">
        <is>
          <t>SKÅNE LÄN</t>
        </is>
      </c>
      <c r="E2201" t="inlineStr">
        <is>
          <t>KRISTIANSTAD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29743-2021</t>
        </is>
      </c>
      <c r="B2202" s="1" t="n">
        <v>44362</v>
      </c>
      <c r="C2202" s="1" t="n">
        <v>45190</v>
      </c>
      <c r="D2202" t="inlineStr">
        <is>
          <t>SKÅNE LÄN</t>
        </is>
      </c>
      <c r="E2202" t="inlineStr">
        <is>
          <t>PERSTORP</t>
        </is>
      </c>
      <c r="F2202" t="inlineStr">
        <is>
          <t>Övriga Aktiebolag</t>
        </is>
      </c>
      <c r="G2202" t="n">
        <v>12.8</v>
      </c>
      <c r="H2202" t="n">
        <v>0</v>
      </c>
      <c r="I2202" t="n">
        <v>0</v>
      </c>
      <c r="J2202" t="n">
        <v>0</v>
      </c>
      <c r="K2202" t="n">
        <v>0</v>
      </c>
      <c r="L2202" t="n">
        <v>0</v>
      </c>
      <c r="M2202" t="n">
        <v>0</v>
      </c>
      <c r="N2202" t="n">
        <v>0</v>
      </c>
      <c r="O2202" t="n">
        <v>0</v>
      </c>
      <c r="P2202" t="n">
        <v>0</v>
      </c>
      <c r="Q2202" t="n">
        <v>0</v>
      </c>
      <c r="R2202" s="2" t="inlineStr"/>
    </row>
    <row r="2203" ht="15" customHeight="1">
      <c r="A2203" t="inlineStr">
        <is>
          <t>A 29748-2021</t>
        </is>
      </c>
      <c r="B2203" s="1" t="n">
        <v>44362</v>
      </c>
      <c r="C2203" s="1" t="n">
        <v>45190</v>
      </c>
      <c r="D2203" t="inlineStr">
        <is>
          <t>SKÅNE LÄN</t>
        </is>
      </c>
      <c r="E2203" t="inlineStr">
        <is>
          <t>PERSTORP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30195-2021</t>
        </is>
      </c>
      <c r="B2204" s="1" t="n">
        <v>44363</v>
      </c>
      <c r="C2204" s="1" t="n">
        <v>45190</v>
      </c>
      <c r="D2204" t="inlineStr">
        <is>
          <t>SKÅNE LÄN</t>
        </is>
      </c>
      <c r="E2204" t="inlineStr">
        <is>
          <t>KLIPPAN</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30706-2021</t>
        </is>
      </c>
      <c r="B2205" s="1" t="n">
        <v>44365</v>
      </c>
      <c r="C2205" s="1" t="n">
        <v>45190</v>
      </c>
      <c r="D2205" t="inlineStr">
        <is>
          <t>SKÅNE LÄN</t>
        </is>
      </c>
      <c r="E2205" t="inlineStr">
        <is>
          <t>KRISTIANSTAD</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30650-2021</t>
        </is>
      </c>
      <c r="B2206" s="1" t="n">
        <v>44365</v>
      </c>
      <c r="C2206" s="1" t="n">
        <v>45190</v>
      </c>
      <c r="D2206" t="inlineStr">
        <is>
          <t>SKÅNE LÄN</t>
        </is>
      </c>
      <c r="E2206" t="inlineStr">
        <is>
          <t>KLIPPAN</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30879-2021</t>
        </is>
      </c>
      <c r="B2207" s="1" t="n">
        <v>44365</v>
      </c>
      <c r="C2207" s="1" t="n">
        <v>45190</v>
      </c>
      <c r="D2207" t="inlineStr">
        <is>
          <t>SKÅNE LÄN</t>
        </is>
      </c>
      <c r="E2207" t="inlineStr">
        <is>
          <t>HÄSSLEHOLM</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30852-2021</t>
        </is>
      </c>
      <c r="B2208" s="1" t="n">
        <v>44365</v>
      </c>
      <c r="C2208" s="1" t="n">
        <v>45190</v>
      </c>
      <c r="D2208" t="inlineStr">
        <is>
          <t>SKÅNE LÄN</t>
        </is>
      </c>
      <c r="E2208" t="inlineStr">
        <is>
          <t>KLIPPAN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31389-2021</t>
        </is>
      </c>
      <c r="B2209" s="1" t="n">
        <v>44368</v>
      </c>
      <c r="C2209" s="1" t="n">
        <v>45190</v>
      </c>
      <c r="D2209" t="inlineStr">
        <is>
          <t>SKÅNE LÄN</t>
        </is>
      </c>
      <c r="E2209" t="inlineStr">
        <is>
          <t>ÖSTRA GÖINGE</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31224-2021</t>
        </is>
      </c>
      <c r="B2210" s="1" t="n">
        <v>44368</v>
      </c>
      <c r="C2210" s="1" t="n">
        <v>45190</v>
      </c>
      <c r="D2210" t="inlineStr">
        <is>
          <t>SKÅNE LÄN</t>
        </is>
      </c>
      <c r="E2210" t="inlineStr">
        <is>
          <t>BROMÖLLA</t>
        </is>
      </c>
      <c r="G2210" t="n">
        <v>8.6</v>
      </c>
      <c r="H2210" t="n">
        <v>0</v>
      </c>
      <c r="I2210" t="n">
        <v>0</v>
      </c>
      <c r="J2210" t="n">
        <v>0</v>
      </c>
      <c r="K2210" t="n">
        <v>0</v>
      </c>
      <c r="L2210" t="n">
        <v>0</v>
      </c>
      <c r="M2210" t="n">
        <v>0</v>
      </c>
      <c r="N2210" t="n">
        <v>0</v>
      </c>
      <c r="O2210" t="n">
        <v>0</v>
      </c>
      <c r="P2210" t="n">
        <v>0</v>
      </c>
      <c r="Q2210" t="n">
        <v>0</v>
      </c>
      <c r="R2210" s="2" t="inlineStr"/>
    </row>
    <row r="2211" ht="15" customHeight="1">
      <c r="A2211" t="inlineStr">
        <is>
          <t>A 31391-2021</t>
        </is>
      </c>
      <c r="B2211" s="1" t="n">
        <v>44368</v>
      </c>
      <c r="C2211" s="1" t="n">
        <v>45190</v>
      </c>
      <c r="D2211" t="inlineStr">
        <is>
          <t>SKÅNE LÄN</t>
        </is>
      </c>
      <c r="E2211" t="inlineStr">
        <is>
          <t>ÖSTRA GÖINGE</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31154-2021</t>
        </is>
      </c>
      <c r="B2212" s="1" t="n">
        <v>44368</v>
      </c>
      <c r="C2212" s="1" t="n">
        <v>45190</v>
      </c>
      <c r="D2212" t="inlineStr">
        <is>
          <t>SKÅNE LÄN</t>
        </is>
      </c>
      <c r="E2212" t="inlineStr">
        <is>
          <t>KRISTIANSTAD</t>
        </is>
      </c>
      <c r="F2212" t="inlineStr">
        <is>
          <t>Övriga Aktiebolag</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31262-2021</t>
        </is>
      </c>
      <c r="B2213" s="1" t="n">
        <v>44368</v>
      </c>
      <c r="C2213" s="1" t="n">
        <v>45190</v>
      </c>
      <c r="D2213" t="inlineStr">
        <is>
          <t>SKÅNE LÄN</t>
        </is>
      </c>
      <c r="E2213" t="inlineStr">
        <is>
          <t>KRISTIANSTAD</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31393-2021</t>
        </is>
      </c>
      <c r="B2214" s="1" t="n">
        <v>44368</v>
      </c>
      <c r="C2214" s="1" t="n">
        <v>45190</v>
      </c>
      <c r="D2214" t="inlineStr">
        <is>
          <t>SKÅNE LÄN</t>
        </is>
      </c>
      <c r="E2214" t="inlineStr">
        <is>
          <t>SVEDALA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31675-2021</t>
        </is>
      </c>
      <c r="B2215" s="1" t="n">
        <v>44369</v>
      </c>
      <c r="C2215" s="1" t="n">
        <v>45190</v>
      </c>
      <c r="D2215" t="inlineStr">
        <is>
          <t>SKÅNE LÄN</t>
        </is>
      </c>
      <c r="E2215" t="inlineStr">
        <is>
          <t>SJÖBO</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31645-2021</t>
        </is>
      </c>
      <c r="B2216" s="1" t="n">
        <v>44369</v>
      </c>
      <c r="C2216" s="1" t="n">
        <v>45190</v>
      </c>
      <c r="D2216" t="inlineStr">
        <is>
          <t>SKÅNE LÄN</t>
        </is>
      </c>
      <c r="E2216" t="inlineStr">
        <is>
          <t>PERSTORP</t>
        </is>
      </c>
      <c r="F2216" t="inlineStr">
        <is>
          <t>Kyrkan</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32354-2021</t>
        </is>
      </c>
      <c r="B2217" s="1" t="n">
        <v>44371</v>
      </c>
      <c r="C2217" s="1" t="n">
        <v>45190</v>
      </c>
      <c r="D2217" t="inlineStr">
        <is>
          <t>SKÅNE LÄN</t>
        </is>
      </c>
      <c r="E2217" t="inlineStr">
        <is>
          <t>ESLÖV</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32388-2021</t>
        </is>
      </c>
      <c r="B2218" s="1" t="n">
        <v>44371</v>
      </c>
      <c r="C2218" s="1" t="n">
        <v>45190</v>
      </c>
      <c r="D2218" t="inlineStr">
        <is>
          <t>SKÅNE LÄN</t>
        </is>
      </c>
      <c r="E2218" t="inlineStr">
        <is>
          <t>HÖÖR</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32545-2021</t>
        </is>
      </c>
      <c r="B2219" s="1" t="n">
        <v>44374</v>
      </c>
      <c r="C2219" s="1" t="n">
        <v>45190</v>
      </c>
      <c r="D2219" t="inlineStr">
        <is>
          <t>SKÅNE LÄN</t>
        </is>
      </c>
      <c r="E2219" t="inlineStr">
        <is>
          <t>HÖRBY</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32792-2021</t>
        </is>
      </c>
      <c r="B2220" s="1" t="n">
        <v>44375</v>
      </c>
      <c r="C2220" s="1" t="n">
        <v>45190</v>
      </c>
      <c r="D2220" t="inlineStr">
        <is>
          <t>SKÅNE LÄN</t>
        </is>
      </c>
      <c r="E2220" t="inlineStr">
        <is>
          <t>HÄSSLEHOLM</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32735-2021</t>
        </is>
      </c>
      <c r="B2221" s="1" t="n">
        <v>44375</v>
      </c>
      <c r="C2221" s="1" t="n">
        <v>45190</v>
      </c>
      <c r="D2221" t="inlineStr">
        <is>
          <t>SKÅNE LÄN</t>
        </is>
      </c>
      <c r="E2221" t="inlineStr">
        <is>
          <t>ÄNGELHOLM</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32893-2021</t>
        </is>
      </c>
      <c r="B2222" s="1" t="n">
        <v>44375</v>
      </c>
      <c r="C2222" s="1" t="n">
        <v>45190</v>
      </c>
      <c r="D2222" t="inlineStr">
        <is>
          <t>SKÅNE LÄN</t>
        </is>
      </c>
      <c r="E2222" t="inlineStr">
        <is>
          <t>LUND</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32794-2021</t>
        </is>
      </c>
      <c r="B2223" s="1" t="n">
        <v>44375</v>
      </c>
      <c r="C2223" s="1" t="n">
        <v>45190</v>
      </c>
      <c r="D2223" t="inlineStr">
        <is>
          <t>SKÅNE LÄN</t>
        </is>
      </c>
      <c r="E2223" t="inlineStr">
        <is>
          <t>HÄSSLEHOLM</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32892-2021</t>
        </is>
      </c>
      <c r="B2224" s="1" t="n">
        <v>44375</v>
      </c>
      <c r="C2224" s="1" t="n">
        <v>45190</v>
      </c>
      <c r="D2224" t="inlineStr">
        <is>
          <t>SKÅNE LÄN</t>
        </is>
      </c>
      <c r="E2224" t="inlineStr">
        <is>
          <t>HÄSSLEHOLM</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33112-2021</t>
        </is>
      </c>
      <c r="B2225" s="1" t="n">
        <v>44376</v>
      </c>
      <c r="C2225" s="1" t="n">
        <v>45190</v>
      </c>
      <c r="D2225" t="inlineStr">
        <is>
          <t>SKÅNE LÄN</t>
        </is>
      </c>
      <c r="E2225" t="inlineStr">
        <is>
          <t>OSBY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33917-2021</t>
        </is>
      </c>
      <c r="B2226" s="1" t="n">
        <v>44378</v>
      </c>
      <c r="C2226" s="1" t="n">
        <v>45190</v>
      </c>
      <c r="D2226" t="inlineStr">
        <is>
          <t>SKÅNE LÄN</t>
        </is>
      </c>
      <c r="E2226" t="inlineStr">
        <is>
          <t>ÖSTRA GÖINGE</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33985-2021</t>
        </is>
      </c>
      <c r="B2227" s="1" t="n">
        <v>44378</v>
      </c>
      <c r="C2227" s="1" t="n">
        <v>45190</v>
      </c>
      <c r="D2227" t="inlineStr">
        <is>
          <t>SKÅNE LÄN</t>
        </is>
      </c>
      <c r="E2227" t="inlineStr">
        <is>
          <t>LUND</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33984-2021</t>
        </is>
      </c>
      <c r="B2228" s="1" t="n">
        <v>44378</v>
      </c>
      <c r="C2228" s="1" t="n">
        <v>45190</v>
      </c>
      <c r="D2228" t="inlineStr">
        <is>
          <t>SKÅNE LÄN</t>
        </is>
      </c>
      <c r="E2228" t="inlineStr">
        <is>
          <t>LUND</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33788-2021</t>
        </is>
      </c>
      <c r="B2229" s="1" t="n">
        <v>44378</v>
      </c>
      <c r="C2229" s="1" t="n">
        <v>45190</v>
      </c>
      <c r="D2229" t="inlineStr">
        <is>
          <t>SKÅNE LÄN</t>
        </is>
      </c>
      <c r="E2229" t="inlineStr">
        <is>
          <t>KRISTIANSTAD</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33826-2021</t>
        </is>
      </c>
      <c r="B2230" s="1" t="n">
        <v>44378</v>
      </c>
      <c r="C2230" s="1" t="n">
        <v>45190</v>
      </c>
      <c r="D2230" t="inlineStr">
        <is>
          <t>SKÅNE LÄN</t>
        </is>
      </c>
      <c r="E2230" t="inlineStr">
        <is>
          <t>ÖSTRA GÖINGE</t>
        </is>
      </c>
      <c r="G2230" t="n">
        <v>9.199999999999999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33873-2021</t>
        </is>
      </c>
      <c r="B2231" s="1" t="n">
        <v>44378</v>
      </c>
      <c r="C2231" s="1" t="n">
        <v>45190</v>
      </c>
      <c r="D2231" t="inlineStr">
        <is>
          <t>SKÅNE LÄN</t>
        </is>
      </c>
      <c r="E2231" t="inlineStr">
        <is>
          <t>HÄSSLEHOLM</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33927-2021</t>
        </is>
      </c>
      <c r="B2232" s="1" t="n">
        <v>44378</v>
      </c>
      <c r="C2232" s="1" t="n">
        <v>45190</v>
      </c>
      <c r="D2232" t="inlineStr">
        <is>
          <t>SKÅNE LÄN</t>
        </is>
      </c>
      <c r="E2232" t="inlineStr">
        <is>
          <t>HÄSSLEHOLM</t>
        </is>
      </c>
      <c r="G2232" t="n">
        <v>16.7</v>
      </c>
      <c r="H2232" t="n">
        <v>0</v>
      </c>
      <c r="I2232" t="n">
        <v>0</v>
      </c>
      <c r="J2232" t="n">
        <v>0</v>
      </c>
      <c r="K2232" t="n">
        <v>0</v>
      </c>
      <c r="L2232" t="n">
        <v>0</v>
      </c>
      <c r="M2232" t="n">
        <v>0</v>
      </c>
      <c r="N2232" t="n">
        <v>0</v>
      </c>
      <c r="O2232" t="n">
        <v>0</v>
      </c>
      <c r="P2232" t="n">
        <v>0</v>
      </c>
      <c r="Q2232" t="n">
        <v>0</v>
      </c>
      <c r="R2232" s="2" t="inlineStr"/>
    </row>
    <row r="2233" ht="15" customHeight="1">
      <c r="A2233" t="inlineStr">
        <is>
          <t>A 33736-2021</t>
        </is>
      </c>
      <c r="B2233" s="1" t="n">
        <v>44378</v>
      </c>
      <c r="C2233" s="1" t="n">
        <v>45190</v>
      </c>
      <c r="D2233" t="inlineStr">
        <is>
          <t>SKÅNE LÄN</t>
        </is>
      </c>
      <c r="E2233" t="inlineStr">
        <is>
          <t>HÄSSLEHOLM</t>
        </is>
      </c>
      <c r="G2233" t="n">
        <v>7.6</v>
      </c>
      <c r="H2233" t="n">
        <v>0</v>
      </c>
      <c r="I2233" t="n">
        <v>0</v>
      </c>
      <c r="J2233" t="n">
        <v>0</v>
      </c>
      <c r="K2233" t="n">
        <v>0</v>
      </c>
      <c r="L2233" t="n">
        <v>0</v>
      </c>
      <c r="M2233" t="n">
        <v>0</v>
      </c>
      <c r="N2233" t="n">
        <v>0</v>
      </c>
      <c r="O2233" t="n">
        <v>0</v>
      </c>
      <c r="P2233" t="n">
        <v>0</v>
      </c>
      <c r="Q2233" t="n">
        <v>0</v>
      </c>
      <c r="R2233" s="2" t="inlineStr"/>
    </row>
    <row r="2234" ht="15" customHeight="1">
      <c r="A2234" t="inlineStr">
        <is>
          <t>A 33983-2021</t>
        </is>
      </c>
      <c r="B2234" s="1" t="n">
        <v>44378</v>
      </c>
      <c r="C2234" s="1" t="n">
        <v>45190</v>
      </c>
      <c r="D2234" t="inlineStr">
        <is>
          <t>SKÅNE LÄN</t>
        </is>
      </c>
      <c r="E2234" t="inlineStr">
        <is>
          <t>LUND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34027-2021</t>
        </is>
      </c>
      <c r="B2235" s="1" t="n">
        <v>44379</v>
      </c>
      <c r="C2235" s="1" t="n">
        <v>45190</v>
      </c>
      <c r="D2235" t="inlineStr">
        <is>
          <t>SKÅNE LÄN</t>
        </is>
      </c>
      <c r="E2235" t="inlineStr">
        <is>
          <t>HÄSSLEHOLM</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34105-2021</t>
        </is>
      </c>
      <c r="B2236" s="1" t="n">
        <v>44379</v>
      </c>
      <c r="C2236" s="1" t="n">
        <v>45190</v>
      </c>
      <c r="D2236" t="inlineStr">
        <is>
          <t>SKÅNE LÄN</t>
        </is>
      </c>
      <c r="E2236" t="inlineStr">
        <is>
          <t>HÖRBY</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34342-2021</t>
        </is>
      </c>
      <c r="B2237" s="1" t="n">
        <v>44379</v>
      </c>
      <c r="C2237" s="1" t="n">
        <v>45190</v>
      </c>
      <c r="D2237" t="inlineStr">
        <is>
          <t>SKÅNE LÄN</t>
        </is>
      </c>
      <c r="E2237" t="inlineStr">
        <is>
          <t>HÄSSLEHOLM</t>
        </is>
      </c>
      <c r="G2237" t="n">
        <v>7</v>
      </c>
      <c r="H2237" t="n">
        <v>0</v>
      </c>
      <c r="I2237" t="n">
        <v>0</v>
      </c>
      <c r="J2237" t="n">
        <v>0</v>
      </c>
      <c r="K2237" t="n">
        <v>0</v>
      </c>
      <c r="L2237" t="n">
        <v>0</v>
      </c>
      <c r="M2237" t="n">
        <v>0</v>
      </c>
      <c r="N2237" t="n">
        <v>0</v>
      </c>
      <c r="O2237" t="n">
        <v>0</v>
      </c>
      <c r="P2237" t="n">
        <v>0</v>
      </c>
      <c r="Q2237" t="n">
        <v>0</v>
      </c>
      <c r="R2237" s="2" t="inlineStr"/>
    </row>
    <row r="2238" ht="15" customHeight="1">
      <c r="A2238" t="inlineStr">
        <is>
          <t>A 34120-2021</t>
        </is>
      </c>
      <c r="B2238" s="1" t="n">
        <v>44379</v>
      </c>
      <c r="C2238" s="1" t="n">
        <v>45190</v>
      </c>
      <c r="D2238" t="inlineStr">
        <is>
          <t>SKÅNE LÄN</t>
        </is>
      </c>
      <c r="E2238" t="inlineStr">
        <is>
          <t>HÖRBY</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34429-2021</t>
        </is>
      </c>
      <c r="B2239" s="1" t="n">
        <v>44380</v>
      </c>
      <c r="C2239" s="1" t="n">
        <v>45190</v>
      </c>
      <c r="D2239" t="inlineStr">
        <is>
          <t>SKÅNE LÄN</t>
        </is>
      </c>
      <c r="E2239" t="inlineStr">
        <is>
          <t>OSBY</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34684-2021</t>
        </is>
      </c>
      <c r="B2240" s="1" t="n">
        <v>44382</v>
      </c>
      <c r="C2240" s="1" t="n">
        <v>45190</v>
      </c>
      <c r="D2240" t="inlineStr">
        <is>
          <t>SKÅNE LÄN</t>
        </is>
      </c>
      <c r="E2240" t="inlineStr">
        <is>
          <t>HÄSSLEHOLM</t>
        </is>
      </c>
      <c r="F2240" t="inlineStr">
        <is>
          <t>Övriga Aktiebolag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34679-2021</t>
        </is>
      </c>
      <c r="B2241" s="1" t="n">
        <v>44382</v>
      </c>
      <c r="C2241" s="1" t="n">
        <v>45190</v>
      </c>
      <c r="D2241" t="inlineStr">
        <is>
          <t>SKÅNE LÄN</t>
        </is>
      </c>
      <c r="E2241" t="inlineStr">
        <is>
          <t>HÄSSLEHOLM</t>
        </is>
      </c>
      <c r="F2241" t="inlineStr">
        <is>
          <t>Övriga Aktiebolag</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34859-2021</t>
        </is>
      </c>
      <c r="B2242" s="1" t="n">
        <v>44382</v>
      </c>
      <c r="C2242" s="1" t="n">
        <v>45190</v>
      </c>
      <c r="D2242" t="inlineStr">
        <is>
          <t>SKÅNE LÄN</t>
        </is>
      </c>
      <c r="E2242" t="inlineStr">
        <is>
          <t>SVALÖV</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34995-2021</t>
        </is>
      </c>
      <c r="B2243" s="1" t="n">
        <v>44383</v>
      </c>
      <c r="C2243" s="1" t="n">
        <v>45190</v>
      </c>
      <c r="D2243" t="inlineStr">
        <is>
          <t>SKÅNE LÄN</t>
        </is>
      </c>
      <c r="E2243" t="inlineStr">
        <is>
          <t>OSBY</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35142-2021</t>
        </is>
      </c>
      <c r="B2244" s="1" t="n">
        <v>44384</v>
      </c>
      <c r="C2244" s="1" t="n">
        <v>45190</v>
      </c>
      <c r="D2244" t="inlineStr">
        <is>
          <t>SKÅNE LÄN</t>
        </is>
      </c>
      <c r="E2244" t="inlineStr">
        <is>
          <t>TOMELILLA</t>
        </is>
      </c>
      <c r="F2244" t="inlineStr">
        <is>
          <t>Övriga Aktiebolag</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35133-2021</t>
        </is>
      </c>
      <c r="B2245" s="1" t="n">
        <v>44384</v>
      </c>
      <c r="C2245" s="1" t="n">
        <v>45190</v>
      </c>
      <c r="D2245" t="inlineStr">
        <is>
          <t>SKÅNE LÄN</t>
        </is>
      </c>
      <c r="E2245" t="inlineStr">
        <is>
          <t>TOMELILLA</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35304-2021</t>
        </is>
      </c>
      <c r="B2246" s="1" t="n">
        <v>44384</v>
      </c>
      <c r="C2246" s="1" t="n">
        <v>45190</v>
      </c>
      <c r="D2246" t="inlineStr">
        <is>
          <t>SKÅNE LÄN</t>
        </is>
      </c>
      <c r="E2246" t="inlineStr">
        <is>
          <t>KRISTIANSTAD</t>
        </is>
      </c>
      <c r="F2246" t="inlineStr">
        <is>
          <t>Kyrkan</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35300-2021</t>
        </is>
      </c>
      <c r="B2247" s="1" t="n">
        <v>44384</v>
      </c>
      <c r="C2247" s="1" t="n">
        <v>45190</v>
      </c>
      <c r="D2247" t="inlineStr">
        <is>
          <t>SKÅNE LÄN</t>
        </is>
      </c>
      <c r="E2247" t="inlineStr">
        <is>
          <t>KRISTIANSTAD</t>
        </is>
      </c>
      <c r="F2247" t="inlineStr">
        <is>
          <t>Kyrkan</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35140-2021</t>
        </is>
      </c>
      <c r="B2248" s="1" t="n">
        <v>44384</v>
      </c>
      <c r="C2248" s="1" t="n">
        <v>45190</v>
      </c>
      <c r="D2248" t="inlineStr">
        <is>
          <t>SKÅNE LÄN</t>
        </is>
      </c>
      <c r="E2248" t="inlineStr">
        <is>
          <t>TOMELILLA</t>
        </is>
      </c>
      <c r="F2248" t="inlineStr">
        <is>
          <t>Övriga Aktiebolag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35491-2021</t>
        </is>
      </c>
      <c r="B2249" s="1" t="n">
        <v>44385</v>
      </c>
      <c r="C2249" s="1" t="n">
        <v>45190</v>
      </c>
      <c r="D2249" t="inlineStr">
        <is>
          <t>SKÅNE LÄN</t>
        </is>
      </c>
      <c r="E2249" t="inlineStr">
        <is>
          <t>HÖÖR</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35910-2021</t>
        </is>
      </c>
      <c r="B2250" s="1" t="n">
        <v>44387</v>
      </c>
      <c r="C2250" s="1" t="n">
        <v>45190</v>
      </c>
      <c r="D2250" t="inlineStr">
        <is>
          <t>SKÅNE LÄN</t>
        </is>
      </c>
      <c r="E2250" t="inlineStr">
        <is>
          <t>ÖRKELLJUNGA</t>
        </is>
      </c>
      <c r="G2250" t="n">
        <v>6.7</v>
      </c>
      <c r="H2250" t="n">
        <v>0</v>
      </c>
      <c r="I2250" t="n">
        <v>0</v>
      </c>
      <c r="J2250" t="n">
        <v>0</v>
      </c>
      <c r="K2250" t="n">
        <v>0</v>
      </c>
      <c r="L2250" t="n">
        <v>0</v>
      </c>
      <c r="M2250" t="n">
        <v>0</v>
      </c>
      <c r="N2250" t="n">
        <v>0</v>
      </c>
      <c r="O2250" t="n">
        <v>0</v>
      </c>
      <c r="P2250" t="n">
        <v>0</v>
      </c>
      <c r="Q2250" t="n">
        <v>0</v>
      </c>
      <c r="R2250" s="2" t="inlineStr"/>
    </row>
    <row r="2251" ht="15" customHeight="1">
      <c r="A2251" t="inlineStr">
        <is>
          <t>A 36201-2021</t>
        </is>
      </c>
      <c r="B2251" s="1" t="n">
        <v>44389</v>
      </c>
      <c r="C2251" s="1" t="n">
        <v>45190</v>
      </c>
      <c r="D2251" t="inlineStr">
        <is>
          <t>SKÅNE LÄN</t>
        </is>
      </c>
      <c r="E2251" t="inlineStr">
        <is>
          <t>BROMÖLLA</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36203-2021</t>
        </is>
      </c>
      <c r="B2252" s="1" t="n">
        <v>44389</v>
      </c>
      <c r="C2252" s="1" t="n">
        <v>45190</v>
      </c>
      <c r="D2252" t="inlineStr">
        <is>
          <t>SKÅNE LÄN</t>
        </is>
      </c>
      <c r="E2252" t="inlineStr">
        <is>
          <t>BROMÖLLA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36363-2021</t>
        </is>
      </c>
      <c r="B2253" s="1" t="n">
        <v>44390</v>
      </c>
      <c r="C2253" s="1" t="n">
        <v>45190</v>
      </c>
      <c r="D2253" t="inlineStr">
        <is>
          <t>SKÅNE LÄN</t>
        </is>
      </c>
      <c r="E2253" t="inlineStr">
        <is>
          <t>SJÖBO</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36409-2021</t>
        </is>
      </c>
      <c r="B2254" s="1" t="n">
        <v>44390</v>
      </c>
      <c r="C2254" s="1" t="n">
        <v>45190</v>
      </c>
      <c r="D2254" t="inlineStr">
        <is>
          <t>SKÅNE LÄN</t>
        </is>
      </c>
      <c r="E2254" t="inlineStr">
        <is>
          <t>SVALÖV</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37286-2021</t>
        </is>
      </c>
      <c r="B2255" s="1" t="n">
        <v>44390</v>
      </c>
      <c r="C2255" s="1" t="n">
        <v>45190</v>
      </c>
      <c r="D2255" t="inlineStr">
        <is>
          <t>SKÅNE LÄN</t>
        </is>
      </c>
      <c r="E2255" t="inlineStr">
        <is>
          <t>HÖÖR</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36412-2021</t>
        </is>
      </c>
      <c r="B2256" s="1" t="n">
        <v>44390</v>
      </c>
      <c r="C2256" s="1" t="n">
        <v>45190</v>
      </c>
      <c r="D2256" t="inlineStr">
        <is>
          <t>SKÅNE LÄN</t>
        </is>
      </c>
      <c r="E2256" t="inlineStr">
        <is>
          <t>KRISTIANSTAD</t>
        </is>
      </c>
      <c r="F2256" t="inlineStr">
        <is>
          <t>Kyrkan</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37288-2021</t>
        </is>
      </c>
      <c r="B2257" s="1" t="n">
        <v>44390</v>
      </c>
      <c r="C2257" s="1" t="n">
        <v>45190</v>
      </c>
      <c r="D2257" t="inlineStr">
        <is>
          <t>SKÅNE LÄN</t>
        </is>
      </c>
      <c r="E2257" t="inlineStr">
        <is>
          <t>HÖÖR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36515-2021</t>
        </is>
      </c>
      <c r="B2258" s="1" t="n">
        <v>44390</v>
      </c>
      <c r="C2258" s="1" t="n">
        <v>45190</v>
      </c>
      <c r="D2258" t="inlineStr">
        <is>
          <t>SKÅNE LÄN</t>
        </is>
      </c>
      <c r="E2258" t="inlineStr">
        <is>
          <t>OSBY</t>
        </is>
      </c>
      <c r="G2258" t="n">
        <v>4.3</v>
      </c>
      <c r="H2258" t="n">
        <v>0</v>
      </c>
      <c r="I2258" t="n">
        <v>0</v>
      </c>
      <c r="J2258" t="n">
        <v>0</v>
      </c>
      <c r="K2258" t="n">
        <v>0</v>
      </c>
      <c r="L2258" t="n">
        <v>0</v>
      </c>
      <c r="M2258" t="n">
        <v>0</v>
      </c>
      <c r="N2258" t="n">
        <v>0</v>
      </c>
      <c r="O2258" t="n">
        <v>0</v>
      </c>
      <c r="P2258" t="n">
        <v>0</v>
      </c>
      <c r="Q2258" t="n">
        <v>0</v>
      </c>
      <c r="R2258" s="2" t="inlineStr"/>
    </row>
    <row r="2259" ht="15" customHeight="1">
      <c r="A2259" t="inlineStr">
        <is>
          <t>A 37546-2021</t>
        </is>
      </c>
      <c r="B2259" s="1" t="n">
        <v>44390</v>
      </c>
      <c r="C2259" s="1" t="n">
        <v>45190</v>
      </c>
      <c r="D2259" t="inlineStr">
        <is>
          <t>SKÅNE LÄN</t>
        </is>
      </c>
      <c r="E2259" t="inlineStr">
        <is>
          <t>KRISTIANSTAD</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36951-2021</t>
        </is>
      </c>
      <c r="B2260" s="1" t="n">
        <v>44393</v>
      </c>
      <c r="C2260" s="1" t="n">
        <v>45190</v>
      </c>
      <c r="D2260" t="inlineStr">
        <is>
          <t>SKÅNE LÄN</t>
        </is>
      </c>
      <c r="E2260" t="inlineStr">
        <is>
          <t>YSTAD</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36947-2021</t>
        </is>
      </c>
      <c r="B2261" s="1" t="n">
        <v>44393</v>
      </c>
      <c r="C2261" s="1" t="n">
        <v>45190</v>
      </c>
      <c r="D2261" t="inlineStr">
        <is>
          <t>SKÅNE LÄN</t>
        </is>
      </c>
      <c r="E2261" t="inlineStr">
        <is>
          <t>YSTAD</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37164-2021</t>
        </is>
      </c>
      <c r="B2262" s="1" t="n">
        <v>44396</v>
      </c>
      <c r="C2262" s="1" t="n">
        <v>45190</v>
      </c>
      <c r="D2262" t="inlineStr">
        <is>
          <t>SKÅNE LÄN</t>
        </is>
      </c>
      <c r="E2262" t="inlineStr">
        <is>
          <t>ÖSTRA GÖINGE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37141-2021</t>
        </is>
      </c>
      <c r="B2263" s="1" t="n">
        <v>44396</v>
      </c>
      <c r="C2263" s="1" t="n">
        <v>45190</v>
      </c>
      <c r="D2263" t="inlineStr">
        <is>
          <t>SKÅNE LÄN</t>
        </is>
      </c>
      <c r="E2263" t="inlineStr">
        <is>
          <t>HÄSSLEHOLM</t>
        </is>
      </c>
      <c r="G2263" t="n">
        <v>12.8</v>
      </c>
      <c r="H2263" t="n">
        <v>0</v>
      </c>
      <c r="I2263" t="n">
        <v>0</v>
      </c>
      <c r="J2263" t="n">
        <v>0</v>
      </c>
      <c r="K2263" t="n">
        <v>0</v>
      </c>
      <c r="L2263" t="n">
        <v>0</v>
      </c>
      <c r="M2263" t="n">
        <v>0</v>
      </c>
      <c r="N2263" t="n">
        <v>0</v>
      </c>
      <c r="O2263" t="n">
        <v>0</v>
      </c>
      <c r="P2263" t="n">
        <v>0</v>
      </c>
      <c r="Q2263" t="n">
        <v>0</v>
      </c>
      <c r="R2263" s="2" t="inlineStr"/>
    </row>
    <row r="2264" ht="15" customHeight="1">
      <c r="A2264" t="inlineStr">
        <is>
          <t>A 37558-2021</t>
        </is>
      </c>
      <c r="B2264" s="1" t="n">
        <v>44399</v>
      </c>
      <c r="C2264" s="1" t="n">
        <v>45190</v>
      </c>
      <c r="D2264" t="inlineStr">
        <is>
          <t>SKÅNE LÄN</t>
        </is>
      </c>
      <c r="E2264" t="inlineStr">
        <is>
          <t>KRISTIANSTAD</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37816-2021</t>
        </is>
      </c>
      <c r="B2265" s="1" t="n">
        <v>44403</v>
      </c>
      <c r="C2265" s="1" t="n">
        <v>45190</v>
      </c>
      <c r="D2265" t="inlineStr">
        <is>
          <t>SKÅNE LÄN</t>
        </is>
      </c>
      <c r="E2265" t="inlineStr">
        <is>
          <t>ÖSTRA GÖINGE</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37898-2021</t>
        </is>
      </c>
      <c r="B2266" s="1" t="n">
        <v>44403</v>
      </c>
      <c r="C2266" s="1" t="n">
        <v>45190</v>
      </c>
      <c r="D2266" t="inlineStr">
        <is>
          <t>SKÅNE LÄN</t>
        </is>
      </c>
      <c r="E2266" t="inlineStr">
        <is>
          <t>HÄSSLEHOLM</t>
        </is>
      </c>
      <c r="F2266" t="inlineStr">
        <is>
          <t>Kommuner</t>
        </is>
      </c>
      <c r="G2266" t="n">
        <v>8.4</v>
      </c>
      <c r="H2266" t="n">
        <v>0</v>
      </c>
      <c r="I2266" t="n">
        <v>0</v>
      </c>
      <c r="J2266" t="n">
        <v>0</v>
      </c>
      <c r="K2266" t="n">
        <v>0</v>
      </c>
      <c r="L2266" t="n">
        <v>0</v>
      </c>
      <c r="M2266" t="n">
        <v>0</v>
      </c>
      <c r="N2266" t="n">
        <v>0</v>
      </c>
      <c r="O2266" t="n">
        <v>0</v>
      </c>
      <c r="P2266" t="n">
        <v>0</v>
      </c>
      <c r="Q2266" t="n">
        <v>0</v>
      </c>
      <c r="R2266" s="2" t="inlineStr"/>
    </row>
    <row r="2267" ht="15" customHeight="1">
      <c r="A2267" t="inlineStr">
        <is>
          <t>A 37913-2021</t>
        </is>
      </c>
      <c r="B2267" s="1" t="n">
        <v>44403</v>
      </c>
      <c r="C2267" s="1" t="n">
        <v>45190</v>
      </c>
      <c r="D2267" t="inlineStr">
        <is>
          <t>SKÅNE LÄN</t>
        </is>
      </c>
      <c r="E2267" t="inlineStr">
        <is>
          <t>HÖÖR</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38228-2021</t>
        </is>
      </c>
      <c r="B2268" s="1" t="n">
        <v>44405</v>
      </c>
      <c r="C2268" s="1" t="n">
        <v>45190</v>
      </c>
      <c r="D2268" t="inlineStr">
        <is>
          <t>SKÅNE LÄN</t>
        </is>
      </c>
      <c r="E2268" t="inlineStr">
        <is>
          <t>HÄSSLEHOLM</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38372-2021</t>
        </is>
      </c>
      <c r="B2269" s="1" t="n">
        <v>44406</v>
      </c>
      <c r="C2269" s="1" t="n">
        <v>45190</v>
      </c>
      <c r="D2269" t="inlineStr">
        <is>
          <t>SKÅNE LÄN</t>
        </is>
      </c>
      <c r="E2269" t="inlineStr">
        <is>
          <t>HÄSSLEHOLM</t>
        </is>
      </c>
      <c r="F2269" t="inlineStr">
        <is>
          <t>Kommuner</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38693-2021</t>
        </is>
      </c>
      <c r="B2270" s="1" t="n">
        <v>44410</v>
      </c>
      <c r="C2270" s="1" t="n">
        <v>45190</v>
      </c>
      <c r="D2270" t="inlineStr">
        <is>
          <t>SKÅNE LÄN</t>
        </is>
      </c>
      <c r="E2270" t="inlineStr">
        <is>
          <t>KRISTIANSTAD</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39444-2021</t>
        </is>
      </c>
      <c r="B2271" s="1" t="n">
        <v>44412</v>
      </c>
      <c r="C2271" s="1" t="n">
        <v>45190</v>
      </c>
      <c r="D2271" t="inlineStr">
        <is>
          <t>SKÅNE LÄN</t>
        </is>
      </c>
      <c r="E2271" t="inlineStr">
        <is>
          <t>KRISTIANSTAD</t>
        </is>
      </c>
      <c r="G2271" t="n">
        <v>8.300000000000001</v>
      </c>
      <c r="H2271" t="n">
        <v>0</v>
      </c>
      <c r="I2271" t="n">
        <v>0</v>
      </c>
      <c r="J2271" t="n">
        <v>0</v>
      </c>
      <c r="K2271" t="n">
        <v>0</v>
      </c>
      <c r="L2271" t="n">
        <v>0</v>
      </c>
      <c r="M2271" t="n">
        <v>0</v>
      </c>
      <c r="N2271" t="n">
        <v>0</v>
      </c>
      <c r="O2271" t="n">
        <v>0</v>
      </c>
      <c r="P2271" t="n">
        <v>0</v>
      </c>
      <c r="Q2271" t="n">
        <v>0</v>
      </c>
      <c r="R2271" s="2" t="inlineStr"/>
    </row>
    <row r="2272" ht="15" customHeight="1">
      <c r="A2272" t="inlineStr">
        <is>
          <t>A 39449-2021</t>
        </is>
      </c>
      <c r="B2272" s="1" t="n">
        <v>44412</v>
      </c>
      <c r="C2272" s="1" t="n">
        <v>45190</v>
      </c>
      <c r="D2272" t="inlineStr">
        <is>
          <t>SKÅNE LÄN</t>
        </is>
      </c>
      <c r="E2272" t="inlineStr">
        <is>
          <t>KRISTIANSTAD</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39476-2021</t>
        </is>
      </c>
      <c r="B2273" s="1" t="n">
        <v>44414</v>
      </c>
      <c r="C2273" s="1" t="n">
        <v>45190</v>
      </c>
      <c r="D2273" t="inlineStr">
        <is>
          <t>SKÅNE LÄN</t>
        </is>
      </c>
      <c r="E2273" t="inlineStr">
        <is>
          <t>ÖSTRA GÖINGE</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39772-2021</t>
        </is>
      </c>
      <c r="B2274" s="1" t="n">
        <v>44416</v>
      </c>
      <c r="C2274" s="1" t="n">
        <v>45190</v>
      </c>
      <c r="D2274" t="inlineStr">
        <is>
          <t>SKÅNE LÄN</t>
        </is>
      </c>
      <c r="E2274" t="inlineStr">
        <is>
          <t>ÖRKELLJUNGA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39805-2021</t>
        </is>
      </c>
      <c r="B2275" s="1" t="n">
        <v>44416</v>
      </c>
      <c r="C2275" s="1" t="n">
        <v>45190</v>
      </c>
      <c r="D2275" t="inlineStr">
        <is>
          <t>SKÅNE LÄN</t>
        </is>
      </c>
      <c r="E2275" t="inlineStr">
        <is>
          <t>ÖRKELLJUNGA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39834-2021</t>
        </is>
      </c>
      <c r="B2276" s="1" t="n">
        <v>44417</v>
      </c>
      <c r="C2276" s="1" t="n">
        <v>45190</v>
      </c>
      <c r="D2276" t="inlineStr">
        <is>
          <t>SKÅNE LÄN</t>
        </is>
      </c>
      <c r="E2276" t="inlineStr">
        <is>
          <t>SIMRISHAMN</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39996-2021</t>
        </is>
      </c>
      <c r="B2277" s="1" t="n">
        <v>44417</v>
      </c>
      <c r="C2277" s="1" t="n">
        <v>45190</v>
      </c>
      <c r="D2277" t="inlineStr">
        <is>
          <t>SKÅNE LÄN</t>
        </is>
      </c>
      <c r="E2277" t="inlineStr">
        <is>
          <t>KRISTIANSTAD</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39993-2021</t>
        </is>
      </c>
      <c r="B2278" s="1" t="n">
        <v>44417</v>
      </c>
      <c r="C2278" s="1" t="n">
        <v>45190</v>
      </c>
      <c r="D2278" t="inlineStr">
        <is>
          <t>SKÅNE LÄN</t>
        </is>
      </c>
      <c r="E2278" t="inlineStr">
        <is>
          <t>KRISTIANSTAD</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40241-2021</t>
        </is>
      </c>
      <c r="B2279" s="1" t="n">
        <v>44418</v>
      </c>
      <c r="C2279" s="1" t="n">
        <v>45190</v>
      </c>
      <c r="D2279" t="inlineStr">
        <is>
          <t>SKÅNE LÄN</t>
        </is>
      </c>
      <c r="E2279" t="inlineStr">
        <is>
          <t>KLIPPAN</t>
        </is>
      </c>
      <c r="F2279" t="inlineStr">
        <is>
          <t>Övriga Aktiebolag</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40228-2021</t>
        </is>
      </c>
      <c r="B2280" s="1" t="n">
        <v>44418</v>
      </c>
      <c r="C2280" s="1" t="n">
        <v>45190</v>
      </c>
      <c r="D2280" t="inlineStr">
        <is>
          <t>SKÅNE LÄN</t>
        </is>
      </c>
      <c r="E2280" t="inlineStr">
        <is>
          <t>KLIPPAN</t>
        </is>
      </c>
      <c r="F2280" t="inlineStr">
        <is>
          <t>Övriga Aktiebolag</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40238-2021</t>
        </is>
      </c>
      <c r="B2281" s="1" t="n">
        <v>44418</v>
      </c>
      <c r="C2281" s="1" t="n">
        <v>45190</v>
      </c>
      <c r="D2281" t="inlineStr">
        <is>
          <t>SKÅNE LÄN</t>
        </is>
      </c>
      <c r="E2281" t="inlineStr">
        <is>
          <t>KLIPPAN</t>
        </is>
      </c>
      <c r="F2281" t="inlineStr">
        <is>
          <t>Övriga Aktiebolag</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40236-2021</t>
        </is>
      </c>
      <c r="B2282" s="1" t="n">
        <v>44418</v>
      </c>
      <c r="C2282" s="1" t="n">
        <v>45190</v>
      </c>
      <c r="D2282" t="inlineStr">
        <is>
          <t>SKÅNE LÄN</t>
        </is>
      </c>
      <c r="E2282" t="inlineStr">
        <is>
          <t>KLIPPAN</t>
        </is>
      </c>
      <c r="F2282" t="inlineStr">
        <is>
          <t>Övriga Aktiebolag</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40330-2021</t>
        </is>
      </c>
      <c r="B2283" s="1" t="n">
        <v>44419</v>
      </c>
      <c r="C2283" s="1" t="n">
        <v>45190</v>
      </c>
      <c r="D2283" t="inlineStr">
        <is>
          <t>SKÅNE LÄN</t>
        </is>
      </c>
      <c r="E2283" t="inlineStr">
        <is>
          <t>KRISTIANSTAD</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40366-2021</t>
        </is>
      </c>
      <c r="B2284" s="1" t="n">
        <v>44419</v>
      </c>
      <c r="C2284" s="1" t="n">
        <v>45190</v>
      </c>
      <c r="D2284" t="inlineStr">
        <is>
          <t>SKÅNE LÄN</t>
        </is>
      </c>
      <c r="E2284" t="inlineStr">
        <is>
          <t>KRISTIANSTAD</t>
        </is>
      </c>
      <c r="F2284" t="inlineStr">
        <is>
          <t>Kommuner</t>
        </is>
      </c>
      <c r="G2284" t="n">
        <v>6.2</v>
      </c>
      <c r="H2284" t="n">
        <v>0</v>
      </c>
      <c r="I2284" t="n">
        <v>0</v>
      </c>
      <c r="J2284" t="n">
        <v>0</v>
      </c>
      <c r="K2284" t="n">
        <v>0</v>
      </c>
      <c r="L2284" t="n">
        <v>0</v>
      </c>
      <c r="M2284" t="n">
        <v>0</v>
      </c>
      <c r="N2284" t="n">
        <v>0</v>
      </c>
      <c r="O2284" t="n">
        <v>0</v>
      </c>
      <c r="P2284" t="n">
        <v>0</v>
      </c>
      <c r="Q2284" t="n">
        <v>0</v>
      </c>
      <c r="R2284" s="2" t="inlineStr"/>
    </row>
    <row r="2285" ht="15" customHeight="1">
      <c r="A2285" t="inlineStr">
        <is>
          <t>A 40328-2021</t>
        </is>
      </c>
      <c r="B2285" s="1" t="n">
        <v>44419</v>
      </c>
      <c r="C2285" s="1" t="n">
        <v>45190</v>
      </c>
      <c r="D2285" t="inlineStr">
        <is>
          <t>SKÅNE LÄN</t>
        </is>
      </c>
      <c r="E2285" t="inlineStr">
        <is>
          <t>KRISTIANSTAD</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40695-2021</t>
        </is>
      </c>
      <c r="B2286" s="1" t="n">
        <v>44420</v>
      </c>
      <c r="C2286" s="1" t="n">
        <v>45190</v>
      </c>
      <c r="D2286" t="inlineStr">
        <is>
          <t>SKÅNE LÄN</t>
        </is>
      </c>
      <c r="E2286" t="inlineStr">
        <is>
          <t>SJÖBO</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40762-2021</t>
        </is>
      </c>
      <c r="B2287" s="1" t="n">
        <v>44420</v>
      </c>
      <c r="C2287" s="1" t="n">
        <v>45190</v>
      </c>
      <c r="D2287" t="inlineStr">
        <is>
          <t>SKÅNE LÄN</t>
        </is>
      </c>
      <c r="E2287" t="inlineStr">
        <is>
          <t>KLIPPAN</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40862-2021</t>
        </is>
      </c>
      <c r="B2288" s="1" t="n">
        <v>44421</v>
      </c>
      <c r="C2288" s="1" t="n">
        <v>45190</v>
      </c>
      <c r="D2288" t="inlineStr">
        <is>
          <t>SKÅNE LÄN</t>
        </is>
      </c>
      <c r="E2288" t="inlineStr">
        <is>
          <t>OSBY</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41322-2021</t>
        </is>
      </c>
      <c r="B2289" s="1" t="n">
        <v>44424</v>
      </c>
      <c r="C2289" s="1" t="n">
        <v>45190</v>
      </c>
      <c r="D2289" t="inlineStr">
        <is>
          <t>SKÅNE LÄN</t>
        </is>
      </c>
      <c r="E2289" t="inlineStr">
        <is>
          <t>OSBY</t>
        </is>
      </c>
      <c r="G2289" t="n">
        <v>11.7</v>
      </c>
      <c r="H2289" t="n">
        <v>0</v>
      </c>
      <c r="I2289" t="n">
        <v>0</v>
      </c>
      <c r="J2289" t="n">
        <v>0</v>
      </c>
      <c r="K2289" t="n">
        <v>0</v>
      </c>
      <c r="L2289" t="n">
        <v>0</v>
      </c>
      <c r="M2289" t="n">
        <v>0</v>
      </c>
      <c r="N2289" t="n">
        <v>0</v>
      </c>
      <c r="O2289" t="n">
        <v>0</v>
      </c>
      <c r="P2289" t="n">
        <v>0</v>
      </c>
      <c r="Q2289" t="n">
        <v>0</v>
      </c>
      <c r="R2289" s="2" t="inlineStr"/>
    </row>
    <row r="2290" ht="15" customHeight="1">
      <c r="A2290" t="inlineStr">
        <is>
          <t>A 41998-2021</t>
        </is>
      </c>
      <c r="B2290" s="1" t="n">
        <v>44425</v>
      </c>
      <c r="C2290" s="1" t="n">
        <v>45190</v>
      </c>
      <c r="D2290" t="inlineStr">
        <is>
          <t>SKÅNE LÄN</t>
        </is>
      </c>
      <c r="E2290" t="inlineStr">
        <is>
          <t>HÄSSLEHOLM</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42221-2021</t>
        </is>
      </c>
      <c r="B2291" s="1" t="n">
        <v>44426</v>
      </c>
      <c r="C2291" s="1" t="n">
        <v>45190</v>
      </c>
      <c r="D2291" t="inlineStr">
        <is>
          <t>SKÅNE LÄN</t>
        </is>
      </c>
      <c r="E2291" t="inlineStr">
        <is>
          <t>HÖRBY</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42658-2021</t>
        </is>
      </c>
      <c r="B2292" s="1" t="n">
        <v>44428</v>
      </c>
      <c r="C2292" s="1" t="n">
        <v>45190</v>
      </c>
      <c r="D2292" t="inlineStr">
        <is>
          <t>SKÅNE LÄN</t>
        </is>
      </c>
      <c r="E2292" t="inlineStr">
        <is>
          <t>KRISTIANSTAD</t>
        </is>
      </c>
      <c r="G2292" t="n">
        <v>9.699999999999999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42660-2021</t>
        </is>
      </c>
      <c r="B2293" s="1" t="n">
        <v>44428</v>
      </c>
      <c r="C2293" s="1" t="n">
        <v>45190</v>
      </c>
      <c r="D2293" t="inlineStr">
        <is>
          <t>SKÅNE LÄN</t>
        </is>
      </c>
      <c r="E2293" t="inlineStr">
        <is>
          <t>SJÖBO</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42776-2021</t>
        </is>
      </c>
      <c r="B2294" s="1" t="n">
        <v>44428</v>
      </c>
      <c r="C2294" s="1" t="n">
        <v>45190</v>
      </c>
      <c r="D2294" t="inlineStr">
        <is>
          <t>SKÅNE LÄN</t>
        </is>
      </c>
      <c r="E2294" t="inlineStr">
        <is>
          <t>HÄSSLEHOLM</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42592-2021</t>
        </is>
      </c>
      <c r="B2295" s="1" t="n">
        <v>44428</v>
      </c>
      <c r="C2295" s="1" t="n">
        <v>45190</v>
      </c>
      <c r="D2295" t="inlineStr">
        <is>
          <t>SKÅNE LÄN</t>
        </is>
      </c>
      <c r="E2295" t="inlineStr">
        <is>
          <t>ÖSTRA GÖINGE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43655-2021</t>
        </is>
      </c>
      <c r="B2296" s="1" t="n">
        <v>44433</v>
      </c>
      <c r="C2296" s="1" t="n">
        <v>45190</v>
      </c>
      <c r="D2296" t="inlineStr">
        <is>
          <t>SKÅNE LÄN</t>
        </is>
      </c>
      <c r="E2296" t="inlineStr">
        <is>
          <t>KRISTIANSTAD</t>
        </is>
      </c>
      <c r="F2296" t="inlineStr">
        <is>
          <t>Övriga Aktiebolag</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43516-2021</t>
        </is>
      </c>
      <c r="B2297" s="1" t="n">
        <v>44433</v>
      </c>
      <c r="C2297" s="1" t="n">
        <v>45190</v>
      </c>
      <c r="D2297" t="inlineStr">
        <is>
          <t>SKÅNE LÄN</t>
        </is>
      </c>
      <c r="E2297" t="inlineStr">
        <is>
          <t>OSBY</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43639-2021</t>
        </is>
      </c>
      <c r="B2298" s="1" t="n">
        <v>44433</v>
      </c>
      <c r="C2298" s="1" t="n">
        <v>45190</v>
      </c>
      <c r="D2298" t="inlineStr">
        <is>
          <t>SKÅNE LÄN</t>
        </is>
      </c>
      <c r="E2298" t="inlineStr">
        <is>
          <t>HÄSSLEHOLM</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43981-2021</t>
        </is>
      </c>
      <c r="B2299" s="1" t="n">
        <v>44434</v>
      </c>
      <c r="C2299" s="1" t="n">
        <v>45190</v>
      </c>
      <c r="D2299" t="inlineStr">
        <is>
          <t>SKÅNE LÄN</t>
        </is>
      </c>
      <c r="E2299" t="inlineStr">
        <is>
          <t>KRISTIANSTAD</t>
        </is>
      </c>
      <c r="F2299" t="inlineStr">
        <is>
          <t>Sveaskog</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44166-2021</t>
        </is>
      </c>
      <c r="B2300" s="1" t="n">
        <v>44434</v>
      </c>
      <c r="C2300" s="1" t="n">
        <v>45190</v>
      </c>
      <c r="D2300" t="inlineStr">
        <is>
          <t>SKÅNE LÄN</t>
        </is>
      </c>
      <c r="E2300" t="inlineStr">
        <is>
          <t>HÖÖR</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44262-2021</t>
        </is>
      </c>
      <c r="B2301" s="1" t="n">
        <v>44434</v>
      </c>
      <c r="C2301" s="1" t="n">
        <v>45190</v>
      </c>
      <c r="D2301" t="inlineStr">
        <is>
          <t>SKÅNE LÄN</t>
        </is>
      </c>
      <c r="E2301" t="inlineStr">
        <is>
          <t>HÄSSLEHOLM</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43856-2021</t>
        </is>
      </c>
      <c r="B2302" s="1" t="n">
        <v>44434</v>
      </c>
      <c r="C2302" s="1" t="n">
        <v>45190</v>
      </c>
      <c r="D2302" t="inlineStr">
        <is>
          <t>SKÅNE LÄN</t>
        </is>
      </c>
      <c r="E2302" t="inlineStr">
        <is>
          <t>OSBY</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44173-2021</t>
        </is>
      </c>
      <c r="B2303" s="1" t="n">
        <v>44434</v>
      </c>
      <c r="C2303" s="1" t="n">
        <v>45190</v>
      </c>
      <c r="D2303" t="inlineStr">
        <is>
          <t>SKÅNE LÄN</t>
        </is>
      </c>
      <c r="E2303" t="inlineStr">
        <is>
          <t>HÖÖR</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43855-2021</t>
        </is>
      </c>
      <c r="B2304" s="1" t="n">
        <v>44434</v>
      </c>
      <c r="C2304" s="1" t="n">
        <v>45190</v>
      </c>
      <c r="D2304" t="inlineStr">
        <is>
          <t>SKÅNE LÄN</t>
        </is>
      </c>
      <c r="E2304" t="inlineStr">
        <is>
          <t>OSBY</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44160-2021</t>
        </is>
      </c>
      <c r="B2305" s="1" t="n">
        <v>44434</v>
      </c>
      <c r="C2305" s="1" t="n">
        <v>45190</v>
      </c>
      <c r="D2305" t="inlineStr">
        <is>
          <t>SKÅNE LÄN</t>
        </is>
      </c>
      <c r="E2305" t="inlineStr">
        <is>
          <t>HÖÖR</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44328-2021</t>
        </is>
      </c>
      <c r="B2306" s="1" t="n">
        <v>44435</v>
      </c>
      <c r="C2306" s="1" t="n">
        <v>45190</v>
      </c>
      <c r="D2306" t="inlineStr">
        <is>
          <t>SKÅNE LÄN</t>
        </is>
      </c>
      <c r="E2306" t="inlineStr">
        <is>
          <t>HÄSSLEHOLM</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44361-2021</t>
        </is>
      </c>
      <c r="B2307" s="1" t="n">
        <v>44435</v>
      </c>
      <c r="C2307" s="1" t="n">
        <v>45190</v>
      </c>
      <c r="D2307" t="inlineStr">
        <is>
          <t>SKÅNE LÄN</t>
        </is>
      </c>
      <c r="E2307" t="inlineStr">
        <is>
          <t>KRISTIANSTAD</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44329-2021</t>
        </is>
      </c>
      <c r="B2308" s="1" t="n">
        <v>44435</v>
      </c>
      <c r="C2308" s="1" t="n">
        <v>45190</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44498-2021</t>
        </is>
      </c>
      <c r="B2309" s="1" t="n">
        <v>44435</v>
      </c>
      <c r="C2309" s="1" t="n">
        <v>45190</v>
      </c>
      <c r="D2309" t="inlineStr">
        <is>
          <t>SKÅNE LÄN</t>
        </is>
      </c>
      <c r="E2309" t="inlineStr">
        <is>
          <t>SJÖBO</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44341-2021</t>
        </is>
      </c>
      <c r="B2310" s="1" t="n">
        <v>44435</v>
      </c>
      <c r="C2310" s="1" t="n">
        <v>45190</v>
      </c>
      <c r="D2310" t="inlineStr">
        <is>
          <t>SKÅNE LÄN</t>
        </is>
      </c>
      <c r="E2310" t="inlineStr">
        <is>
          <t>HÖÖR</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44697-2021</t>
        </is>
      </c>
      <c r="B2311" s="1" t="n">
        <v>44438</v>
      </c>
      <c r="C2311" s="1" t="n">
        <v>45190</v>
      </c>
      <c r="D2311" t="inlineStr">
        <is>
          <t>SKÅNE LÄN</t>
        </is>
      </c>
      <c r="E2311" t="inlineStr">
        <is>
          <t>HÄSSLEHOLM</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44770-2021</t>
        </is>
      </c>
      <c r="B2312" s="1" t="n">
        <v>44438</v>
      </c>
      <c r="C2312" s="1" t="n">
        <v>45190</v>
      </c>
      <c r="D2312" t="inlineStr">
        <is>
          <t>SKÅNE LÄN</t>
        </is>
      </c>
      <c r="E2312" t="inlineStr">
        <is>
          <t>HÄSSLEHOLM</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44794-2021</t>
        </is>
      </c>
      <c r="B2313" s="1" t="n">
        <v>44438</v>
      </c>
      <c r="C2313" s="1" t="n">
        <v>45190</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44755-2021</t>
        </is>
      </c>
      <c r="B2314" s="1" t="n">
        <v>44438</v>
      </c>
      <c r="C2314" s="1" t="n">
        <v>45190</v>
      </c>
      <c r="D2314" t="inlineStr">
        <is>
          <t>SKÅNE LÄN</t>
        </is>
      </c>
      <c r="E2314" t="inlineStr">
        <is>
          <t>HÄSSLEHOLM</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44764-2021</t>
        </is>
      </c>
      <c r="B2315" s="1" t="n">
        <v>44438</v>
      </c>
      <c r="C2315" s="1" t="n">
        <v>45190</v>
      </c>
      <c r="D2315" t="inlineStr">
        <is>
          <t>SKÅNE LÄN</t>
        </is>
      </c>
      <c r="E2315" t="inlineStr">
        <is>
          <t>ÖSTRA GÖINGE</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45984-2021</t>
        </is>
      </c>
      <c r="B2316" s="1" t="n">
        <v>44441</v>
      </c>
      <c r="C2316" s="1" t="n">
        <v>45190</v>
      </c>
      <c r="D2316" t="inlineStr">
        <is>
          <t>SKÅNE LÄN</t>
        </is>
      </c>
      <c r="E2316" t="inlineStr">
        <is>
          <t>HÄSSLEHOLM</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46000-2021</t>
        </is>
      </c>
      <c r="B2317" s="1" t="n">
        <v>44441</v>
      </c>
      <c r="C2317" s="1" t="n">
        <v>45190</v>
      </c>
      <c r="D2317" t="inlineStr">
        <is>
          <t>SKÅNE LÄN</t>
        </is>
      </c>
      <c r="E2317" t="inlineStr">
        <is>
          <t>HÄSSLEHOLM</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46190-2021</t>
        </is>
      </c>
      <c r="B2318" s="1" t="n">
        <v>44442</v>
      </c>
      <c r="C2318" s="1" t="n">
        <v>45190</v>
      </c>
      <c r="D2318" t="inlineStr">
        <is>
          <t>SKÅNE LÄN</t>
        </is>
      </c>
      <c r="E2318" t="inlineStr">
        <is>
          <t>KRISTIANSTAD</t>
        </is>
      </c>
      <c r="F2318" t="inlineStr">
        <is>
          <t>Sveaskog</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46193-2021</t>
        </is>
      </c>
      <c r="B2319" s="1" t="n">
        <v>44442</v>
      </c>
      <c r="C2319" s="1" t="n">
        <v>45190</v>
      </c>
      <c r="D2319" t="inlineStr">
        <is>
          <t>SKÅNE LÄN</t>
        </is>
      </c>
      <c r="E2319" t="inlineStr">
        <is>
          <t>KRISTIANSTAD</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46692-2021</t>
        </is>
      </c>
      <c r="B2320" s="1" t="n">
        <v>44445</v>
      </c>
      <c r="C2320" s="1" t="n">
        <v>45190</v>
      </c>
      <c r="D2320" t="inlineStr">
        <is>
          <t>SKÅNE LÄN</t>
        </is>
      </c>
      <c r="E2320" t="inlineStr">
        <is>
          <t>KLIPPAN</t>
        </is>
      </c>
      <c r="F2320" t="inlineStr">
        <is>
          <t>Sveaskog</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47258-2021</t>
        </is>
      </c>
      <c r="B2321" s="1" t="n">
        <v>44446</v>
      </c>
      <c r="C2321" s="1" t="n">
        <v>45190</v>
      </c>
      <c r="D2321" t="inlineStr">
        <is>
          <t>SKÅNE LÄN</t>
        </is>
      </c>
      <c r="E2321" t="inlineStr">
        <is>
          <t>PERSTORP</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47263-2021</t>
        </is>
      </c>
      <c r="B2322" s="1" t="n">
        <v>44446</v>
      </c>
      <c r="C2322" s="1" t="n">
        <v>45190</v>
      </c>
      <c r="D2322" t="inlineStr">
        <is>
          <t>SKÅNE LÄN</t>
        </is>
      </c>
      <c r="E2322" t="inlineStr">
        <is>
          <t>PERSTORP</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47253-2021</t>
        </is>
      </c>
      <c r="B2323" s="1" t="n">
        <v>44446</v>
      </c>
      <c r="C2323" s="1" t="n">
        <v>45190</v>
      </c>
      <c r="D2323" t="inlineStr">
        <is>
          <t>SKÅNE LÄN</t>
        </is>
      </c>
      <c r="E2323" t="inlineStr">
        <is>
          <t>PERSTORP</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47112-2021</t>
        </is>
      </c>
      <c r="B2324" s="1" t="n">
        <v>44446</v>
      </c>
      <c r="C2324" s="1" t="n">
        <v>45190</v>
      </c>
      <c r="D2324" t="inlineStr">
        <is>
          <t>SKÅNE LÄN</t>
        </is>
      </c>
      <c r="E2324" t="inlineStr">
        <is>
          <t>HÄSSLEHOLM</t>
        </is>
      </c>
      <c r="G2324" t="n">
        <v>9.699999999999999</v>
      </c>
      <c r="H2324" t="n">
        <v>0</v>
      </c>
      <c r="I2324" t="n">
        <v>0</v>
      </c>
      <c r="J2324" t="n">
        <v>0</v>
      </c>
      <c r="K2324" t="n">
        <v>0</v>
      </c>
      <c r="L2324" t="n">
        <v>0</v>
      </c>
      <c r="M2324" t="n">
        <v>0</v>
      </c>
      <c r="N2324" t="n">
        <v>0</v>
      </c>
      <c r="O2324" t="n">
        <v>0</v>
      </c>
      <c r="P2324" t="n">
        <v>0</v>
      </c>
      <c r="Q2324" t="n">
        <v>0</v>
      </c>
      <c r="R2324" s="2" t="inlineStr"/>
    </row>
    <row r="2325" ht="15" customHeight="1">
      <c r="A2325" t="inlineStr">
        <is>
          <t>A 47278-2021</t>
        </is>
      </c>
      <c r="B2325" s="1" t="n">
        <v>44446</v>
      </c>
      <c r="C2325" s="1" t="n">
        <v>45190</v>
      </c>
      <c r="D2325" t="inlineStr">
        <is>
          <t>SKÅNE LÄN</t>
        </is>
      </c>
      <c r="E2325" t="inlineStr">
        <is>
          <t>PERSTORP</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47906-2021</t>
        </is>
      </c>
      <c r="B2326" s="1" t="n">
        <v>44448</v>
      </c>
      <c r="C2326" s="1" t="n">
        <v>45190</v>
      </c>
      <c r="D2326" t="inlineStr">
        <is>
          <t>SKÅNE LÄN</t>
        </is>
      </c>
      <c r="E2326" t="inlineStr">
        <is>
          <t>HÄSSLEHOLM</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47967-2021</t>
        </is>
      </c>
      <c r="B2327" s="1" t="n">
        <v>44448</v>
      </c>
      <c r="C2327" s="1" t="n">
        <v>45190</v>
      </c>
      <c r="D2327" t="inlineStr">
        <is>
          <t>SKÅNE LÄN</t>
        </is>
      </c>
      <c r="E2327" t="inlineStr">
        <is>
          <t>KLIPPAN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47907-2021</t>
        </is>
      </c>
      <c r="B2328" s="1" t="n">
        <v>44448</v>
      </c>
      <c r="C2328" s="1" t="n">
        <v>45190</v>
      </c>
      <c r="D2328" t="inlineStr">
        <is>
          <t>SKÅNE LÄN</t>
        </is>
      </c>
      <c r="E2328" t="inlineStr">
        <is>
          <t>HÄSSLEHOLM</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47737-2021</t>
        </is>
      </c>
      <c r="B2329" s="1" t="n">
        <v>44448</v>
      </c>
      <c r="C2329" s="1" t="n">
        <v>45190</v>
      </c>
      <c r="D2329" t="inlineStr">
        <is>
          <t>SKÅNE LÄN</t>
        </is>
      </c>
      <c r="E2329" t="inlineStr">
        <is>
          <t>HÄSSLEHOLM</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48023-2021</t>
        </is>
      </c>
      <c r="B2330" s="1" t="n">
        <v>44449</v>
      </c>
      <c r="C2330" s="1" t="n">
        <v>45190</v>
      </c>
      <c r="D2330" t="inlineStr">
        <is>
          <t>SKÅNE LÄN</t>
        </is>
      </c>
      <c r="E2330" t="inlineStr">
        <is>
          <t>SJÖBO</t>
        </is>
      </c>
      <c r="G2330" t="n">
        <v>6.1</v>
      </c>
      <c r="H2330" t="n">
        <v>0</v>
      </c>
      <c r="I2330" t="n">
        <v>0</v>
      </c>
      <c r="J2330" t="n">
        <v>0</v>
      </c>
      <c r="K2330" t="n">
        <v>0</v>
      </c>
      <c r="L2330" t="n">
        <v>0</v>
      </c>
      <c r="M2330" t="n">
        <v>0</v>
      </c>
      <c r="N2330" t="n">
        <v>0</v>
      </c>
      <c r="O2330" t="n">
        <v>0</v>
      </c>
      <c r="P2330" t="n">
        <v>0</v>
      </c>
      <c r="Q2330" t="n">
        <v>0</v>
      </c>
      <c r="R2330" s="2" t="inlineStr"/>
    </row>
    <row r="2331" ht="15" customHeight="1">
      <c r="A2331" t="inlineStr">
        <is>
          <t>A 48191-2021</t>
        </is>
      </c>
      <c r="B2331" s="1" t="n">
        <v>44449</v>
      </c>
      <c r="C2331" s="1" t="n">
        <v>45190</v>
      </c>
      <c r="D2331" t="inlineStr">
        <is>
          <t>SKÅNE LÄN</t>
        </is>
      </c>
      <c r="E2331" t="inlineStr">
        <is>
          <t>HÄSSLEHOLM</t>
        </is>
      </c>
      <c r="G2331" t="n">
        <v>6</v>
      </c>
      <c r="H2331" t="n">
        <v>0</v>
      </c>
      <c r="I2331" t="n">
        <v>0</v>
      </c>
      <c r="J2331" t="n">
        <v>0</v>
      </c>
      <c r="K2331" t="n">
        <v>0</v>
      </c>
      <c r="L2331" t="n">
        <v>0</v>
      </c>
      <c r="M2331" t="n">
        <v>0</v>
      </c>
      <c r="N2331" t="n">
        <v>0</v>
      </c>
      <c r="O2331" t="n">
        <v>0</v>
      </c>
      <c r="P2331" t="n">
        <v>0</v>
      </c>
      <c r="Q2331" t="n">
        <v>0</v>
      </c>
      <c r="R2331" s="2" t="inlineStr"/>
    </row>
    <row r="2332" ht="15" customHeight="1">
      <c r="A2332" t="inlineStr">
        <is>
          <t>A 48279-2021</t>
        </is>
      </c>
      <c r="B2332" s="1" t="n">
        <v>44449</v>
      </c>
      <c r="C2332" s="1" t="n">
        <v>45190</v>
      </c>
      <c r="D2332" t="inlineStr">
        <is>
          <t>SKÅNE LÄN</t>
        </is>
      </c>
      <c r="E2332" t="inlineStr">
        <is>
          <t>SVALÖV</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48173-2021</t>
        </is>
      </c>
      <c r="B2333" s="1" t="n">
        <v>44449</v>
      </c>
      <c r="C2333" s="1" t="n">
        <v>45190</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48184-2021</t>
        </is>
      </c>
      <c r="B2334" s="1" t="n">
        <v>44449</v>
      </c>
      <c r="C2334" s="1" t="n">
        <v>45190</v>
      </c>
      <c r="D2334" t="inlineStr">
        <is>
          <t>SKÅNE LÄN</t>
        </is>
      </c>
      <c r="E2334" t="inlineStr">
        <is>
          <t>KRISTIANSTAD</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48007-2021</t>
        </is>
      </c>
      <c r="B2335" s="1" t="n">
        <v>44449</v>
      </c>
      <c r="C2335" s="1" t="n">
        <v>45190</v>
      </c>
      <c r="D2335" t="inlineStr">
        <is>
          <t>SKÅNE LÄN</t>
        </is>
      </c>
      <c r="E2335" t="inlineStr">
        <is>
          <t>SJÖBO</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48026-2021</t>
        </is>
      </c>
      <c r="B2336" s="1" t="n">
        <v>44449</v>
      </c>
      <c r="C2336" s="1" t="n">
        <v>45190</v>
      </c>
      <c r="D2336" t="inlineStr">
        <is>
          <t>SKÅNE LÄN</t>
        </is>
      </c>
      <c r="E2336" t="inlineStr">
        <is>
          <t>SJÖBO</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48009-2021</t>
        </is>
      </c>
      <c r="B2337" s="1" t="n">
        <v>44449</v>
      </c>
      <c r="C2337" s="1" t="n">
        <v>45190</v>
      </c>
      <c r="D2337" t="inlineStr">
        <is>
          <t>SKÅNE LÄN</t>
        </is>
      </c>
      <c r="E2337" t="inlineStr">
        <is>
          <t>SJÖBO</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48054-2021</t>
        </is>
      </c>
      <c r="B2338" s="1" t="n">
        <v>44449</v>
      </c>
      <c r="C2338" s="1" t="n">
        <v>45190</v>
      </c>
      <c r="D2338" t="inlineStr">
        <is>
          <t>SKÅNE LÄN</t>
        </is>
      </c>
      <c r="E2338" t="inlineStr">
        <is>
          <t>KRISTIANSTAD</t>
        </is>
      </c>
      <c r="F2338" t="inlineStr">
        <is>
          <t>Övriga Aktiebolag</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48707-2021</t>
        </is>
      </c>
      <c r="B2339" s="1" t="n">
        <v>44452</v>
      </c>
      <c r="C2339" s="1" t="n">
        <v>45190</v>
      </c>
      <c r="D2339" t="inlineStr">
        <is>
          <t>SKÅNE LÄN</t>
        </is>
      </c>
      <c r="E2339" t="inlineStr">
        <is>
          <t>KRISTIANSTAD</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48807-2021</t>
        </is>
      </c>
      <c r="B2340" s="1" t="n">
        <v>44452</v>
      </c>
      <c r="C2340" s="1" t="n">
        <v>45190</v>
      </c>
      <c r="D2340" t="inlineStr">
        <is>
          <t>SKÅNE LÄN</t>
        </is>
      </c>
      <c r="E2340" t="inlineStr">
        <is>
          <t>HÄSSLEHOLM</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48624-2021</t>
        </is>
      </c>
      <c r="B2341" s="1" t="n">
        <v>44452</v>
      </c>
      <c r="C2341" s="1" t="n">
        <v>45190</v>
      </c>
      <c r="D2341" t="inlineStr">
        <is>
          <t>SKÅNE LÄN</t>
        </is>
      </c>
      <c r="E2341" t="inlineStr">
        <is>
          <t>HÄSSLEHOLM</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48631-2021</t>
        </is>
      </c>
      <c r="B2342" s="1" t="n">
        <v>44452</v>
      </c>
      <c r="C2342" s="1" t="n">
        <v>45190</v>
      </c>
      <c r="D2342" t="inlineStr">
        <is>
          <t>SKÅNE LÄN</t>
        </is>
      </c>
      <c r="E2342" t="inlineStr">
        <is>
          <t>HÄSSLEHOLM</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49219-2021</t>
        </is>
      </c>
      <c r="B2343" s="1" t="n">
        <v>44454</v>
      </c>
      <c r="C2343" s="1" t="n">
        <v>45190</v>
      </c>
      <c r="D2343" t="inlineStr">
        <is>
          <t>SKÅNE LÄN</t>
        </is>
      </c>
      <c r="E2343" t="inlineStr">
        <is>
          <t>HÄSSLEHOLM</t>
        </is>
      </c>
      <c r="G2343" t="n">
        <v>7.8</v>
      </c>
      <c r="H2343" t="n">
        <v>0</v>
      </c>
      <c r="I2343" t="n">
        <v>0</v>
      </c>
      <c r="J2343" t="n">
        <v>0</v>
      </c>
      <c r="K2343" t="n">
        <v>0</v>
      </c>
      <c r="L2343" t="n">
        <v>0</v>
      </c>
      <c r="M2343" t="n">
        <v>0</v>
      </c>
      <c r="N2343" t="n">
        <v>0</v>
      </c>
      <c r="O2343" t="n">
        <v>0</v>
      </c>
      <c r="P2343" t="n">
        <v>0</v>
      </c>
      <c r="Q2343" t="n">
        <v>0</v>
      </c>
      <c r="R2343" s="2" t="inlineStr"/>
    </row>
    <row r="2344" ht="15" customHeight="1">
      <c r="A2344" t="inlineStr">
        <is>
          <t>A 49381-2021</t>
        </is>
      </c>
      <c r="B2344" s="1" t="n">
        <v>44454</v>
      </c>
      <c r="C2344" s="1" t="n">
        <v>45190</v>
      </c>
      <c r="D2344" t="inlineStr">
        <is>
          <t>SKÅNE LÄN</t>
        </is>
      </c>
      <c r="E2344" t="inlineStr">
        <is>
          <t>HÄSSLEHOLM</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49384-2021</t>
        </is>
      </c>
      <c r="B2345" s="1" t="n">
        <v>44454</v>
      </c>
      <c r="C2345" s="1" t="n">
        <v>45190</v>
      </c>
      <c r="D2345" t="inlineStr">
        <is>
          <t>SKÅNE LÄN</t>
        </is>
      </c>
      <c r="E2345" t="inlineStr">
        <is>
          <t>HÄSSLEHOLM</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49379-2021</t>
        </is>
      </c>
      <c r="B2346" s="1" t="n">
        <v>44454</v>
      </c>
      <c r="C2346" s="1" t="n">
        <v>45190</v>
      </c>
      <c r="D2346" t="inlineStr">
        <is>
          <t>SKÅNE LÄN</t>
        </is>
      </c>
      <c r="E2346" t="inlineStr">
        <is>
          <t>HÄSSLEHOLM</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49462-2021</t>
        </is>
      </c>
      <c r="B2347" s="1" t="n">
        <v>44454</v>
      </c>
      <c r="C2347" s="1" t="n">
        <v>45190</v>
      </c>
      <c r="D2347" t="inlineStr">
        <is>
          <t>SKÅNE LÄN</t>
        </is>
      </c>
      <c r="E2347" t="inlineStr">
        <is>
          <t>ÖSTRA GÖINGE</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49749-2021</t>
        </is>
      </c>
      <c r="B2348" s="1" t="n">
        <v>44455</v>
      </c>
      <c r="C2348" s="1" t="n">
        <v>45190</v>
      </c>
      <c r="D2348" t="inlineStr">
        <is>
          <t>SKÅNE LÄN</t>
        </is>
      </c>
      <c r="E2348" t="inlineStr">
        <is>
          <t>ÖSTRA GÖINGE</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49911-2021</t>
        </is>
      </c>
      <c r="B2349" s="1" t="n">
        <v>44455</v>
      </c>
      <c r="C2349" s="1" t="n">
        <v>45190</v>
      </c>
      <c r="D2349" t="inlineStr">
        <is>
          <t>SKÅNE LÄN</t>
        </is>
      </c>
      <c r="E2349" t="inlineStr">
        <is>
          <t>OSBY</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50366-2021</t>
        </is>
      </c>
      <c r="B2350" s="1" t="n">
        <v>44455</v>
      </c>
      <c r="C2350" s="1" t="n">
        <v>45190</v>
      </c>
      <c r="D2350" t="inlineStr">
        <is>
          <t>SKÅNE LÄN</t>
        </is>
      </c>
      <c r="E2350" t="inlineStr">
        <is>
          <t>OSBY</t>
        </is>
      </c>
      <c r="G2350" t="n">
        <v>4.7</v>
      </c>
      <c r="H2350" t="n">
        <v>0</v>
      </c>
      <c r="I2350" t="n">
        <v>0</v>
      </c>
      <c r="J2350" t="n">
        <v>0</v>
      </c>
      <c r="K2350" t="n">
        <v>0</v>
      </c>
      <c r="L2350" t="n">
        <v>0</v>
      </c>
      <c r="M2350" t="n">
        <v>0</v>
      </c>
      <c r="N2350" t="n">
        <v>0</v>
      </c>
      <c r="O2350" t="n">
        <v>0</v>
      </c>
      <c r="P2350" t="n">
        <v>0</v>
      </c>
      <c r="Q2350" t="n">
        <v>0</v>
      </c>
      <c r="R2350" s="2" t="inlineStr"/>
    </row>
    <row r="2351" ht="15" customHeight="1">
      <c r="A2351" t="inlineStr">
        <is>
          <t>A 50463-2021</t>
        </is>
      </c>
      <c r="B2351" s="1" t="n">
        <v>44455</v>
      </c>
      <c r="C2351" s="1" t="n">
        <v>45190</v>
      </c>
      <c r="D2351" t="inlineStr">
        <is>
          <t>SKÅNE LÄN</t>
        </is>
      </c>
      <c r="E2351" t="inlineStr">
        <is>
          <t>SJÖBO</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49520-2021</t>
        </is>
      </c>
      <c r="B2352" s="1" t="n">
        <v>44455</v>
      </c>
      <c r="C2352" s="1" t="n">
        <v>45190</v>
      </c>
      <c r="D2352" t="inlineStr">
        <is>
          <t>SKÅNE LÄN</t>
        </is>
      </c>
      <c r="E2352" t="inlineStr">
        <is>
          <t>KRISTIANSTAD</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50357-2021</t>
        </is>
      </c>
      <c r="B2353" s="1" t="n">
        <v>44455</v>
      </c>
      <c r="C2353" s="1" t="n">
        <v>45190</v>
      </c>
      <c r="D2353" t="inlineStr">
        <is>
          <t>SKÅNE LÄN</t>
        </is>
      </c>
      <c r="E2353" t="inlineStr">
        <is>
          <t>KLIPPAN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50618-2021</t>
        </is>
      </c>
      <c r="B2354" s="1" t="n">
        <v>44459</v>
      </c>
      <c r="C2354" s="1" t="n">
        <v>45190</v>
      </c>
      <c r="D2354" t="inlineStr">
        <is>
          <t>SKÅNE LÄN</t>
        </is>
      </c>
      <c r="E2354" t="inlineStr">
        <is>
          <t>HÄSSLEHOLM</t>
        </is>
      </c>
      <c r="F2354" t="inlineStr">
        <is>
          <t>Kyrkan</t>
        </is>
      </c>
      <c r="G2354" t="n">
        <v>15.1</v>
      </c>
      <c r="H2354" t="n">
        <v>0</v>
      </c>
      <c r="I2354" t="n">
        <v>0</v>
      </c>
      <c r="J2354" t="n">
        <v>0</v>
      </c>
      <c r="K2354" t="n">
        <v>0</v>
      </c>
      <c r="L2354" t="n">
        <v>0</v>
      </c>
      <c r="M2354" t="n">
        <v>0</v>
      </c>
      <c r="N2354" t="n">
        <v>0</v>
      </c>
      <c r="O2354" t="n">
        <v>0</v>
      </c>
      <c r="P2354" t="n">
        <v>0</v>
      </c>
      <c r="Q2354" t="n">
        <v>0</v>
      </c>
      <c r="R2354" s="2" t="inlineStr"/>
    </row>
    <row r="2355" ht="15" customHeight="1">
      <c r="A2355" t="inlineStr">
        <is>
          <t>A 50922-2021</t>
        </is>
      </c>
      <c r="B2355" s="1" t="n">
        <v>44459</v>
      </c>
      <c r="C2355" s="1" t="n">
        <v>45190</v>
      </c>
      <c r="D2355" t="inlineStr">
        <is>
          <t>SKÅNE LÄN</t>
        </is>
      </c>
      <c r="E2355" t="inlineStr">
        <is>
          <t>ÖSTRA GÖINGE</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50927-2021</t>
        </is>
      </c>
      <c r="B2356" s="1" t="n">
        <v>44459</v>
      </c>
      <c r="C2356" s="1" t="n">
        <v>45190</v>
      </c>
      <c r="D2356" t="inlineStr">
        <is>
          <t>SKÅNE LÄN</t>
        </is>
      </c>
      <c r="E2356" t="inlineStr">
        <is>
          <t>ÖSTRA GÖINGE</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51197-2021</t>
        </is>
      </c>
      <c r="B2357" s="1" t="n">
        <v>44460</v>
      </c>
      <c r="C2357" s="1" t="n">
        <v>45190</v>
      </c>
      <c r="D2357" t="inlineStr">
        <is>
          <t>SKÅNE LÄN</t>
        </is>
      </c>
      <c r="E2357" t="inlineStr">
        <is>
          <t>HÖÖR</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50828-2021</t>
        </is>
      </c>
      <c r="B2358" s="1" t="n">
        <v>44460</v>
      </c>
      <c r="C2358" s="1" t="n">
        <v>45190</v>
      </c>
      <c r="D2358" t="inlineStr">
        <is>
          <t>SKÅNE LÄN</t>
        </is>
      </c>
      <c r="E2358" t="inlineStr">
        <is>
          <t>KRISTIANSTAD</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50834-2021</t>
        </is>
      </c>
      <c r="B2359" s="1" t="n">
        <v>44460</v>
      </c>
      <c r="C2359" s="1" t="n">
        <v>45190</v>
      </c>
      <c r="D2359" t="inlineStr">
        <is>
          <t>SKÅNE LÄN</t>
        </is>
      </c>
      <c r="E2359" t="inlineStr">
        <is>
          <t>KRISTIANSTAD</t>
        </is>
      </c>
      <c r="G2359" t="n">
        <v>2.2</v>
      </c>
      <c r="H2359" t="n">
        <v>0</v>
      </c>
      <c r="I2359" t="n">
        <v>0</v>
      </c>
      <c r="J2359" t="n">
        <v>0</v>
      </c>
      <c r="K2359" t="n">
        <v>0</v>
      </c>
      <c r="L2359" t="n">
        <v>0</v>
      </c>
      <c r="M2359" t="n">
        <v>0</v>
      </c>
      <c r="N2359" t="n">
        <v>0</v>
      </c>
      <c r="O2359" t="n">
        <v>0</v>
      </c>
      <c r="P2359" t="n">
        <v>0</v>
      </c>
      <c r="Q2359" t="n">
        <v>0</v>
      </c>
      <c r="R2359" s="2" t="inlineStr"/>
      <c r="U2359">
        <f>HYPERLINK("https://klasma.github.io/Logging_KRISTIANSTAD/knärot/A 50834-2021.png", "A 50834-2021")</f>
        <v/>
      </c>
      <c r="V2359">
        <f>HYPERLINK("https://klasma.github.io/Logging_KRISTIANSTAD/klagomål/A 50834-2021.docx", "A 50834-2021")</f>
        <v/>
      </c>
      <c r="W2359">
        <f>HYPERLINK("https://klasma.github.io/Logging_KRISTIANSTAD/klagomålsmail/A 50834-2021.docx", "A 50834-2021")</f>
        <v/>
      </c>
      <c r="X2359">
        <f>HYPERLINK("https://klasma.github.io/Logging_KRISTIANSTAD/tillsyn/A 50834-2021.docx", "A 50834-2021")</f>
        <v/>
      </c>
      <c r="Y2359">
        <f>HYPERLINK("https://klasma.github.io/Logging_KRISTIANSTAD/tillsynsmail/A 50834-2021.docx", "A 50834-2021")</f>
        <v/>
      </c>
    </row>
    <row r="2360" ht="15" customHeight="1">
      <c r="A2360" t="inlineStr">
        <is>
          <t>A 50896-2021</t>
        </is>
      </c>
      <c r="B2360" s="1" t="n">
        <v>44460</v>
      </c>
      <c r="C2360" s="1" t="n">
        <v>45190</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51139-2021</t>
        </is>
      </c>
      <c r="B2361" s="1" t="n">
        <v>44461</v>
      </c>
      <c r="C2361" s="1" t="n">
        <v>45190</v>
      </c>
      <c r="D2361" t="inlineStr">
        <is>
          <t>SKÅNE LÄN</t>
        </is>
      </c>
      <c r="E2361" t="inlineStr">
        <is>
          <t>ÖRKELLJUNGA</t>
        </is>
      </c>
      <c r="G2361" t="n">
        <v>6.1</v>
      </c>
      <c r="H2361" t="n">
        <v>0</v>
      </c>
      <c r="I2361" t="n">
        <v>0</v>
      </c>
      <c r="J2361" t="n">
        <v>0</v>
      </c>
      <c r="K2361" t="n">
        <v>0</v>
      </c>
      <c r="L2361" t="n">
        <v>0</v>
      </c>
      <c r="M2361" t="n">
        <v>0</v>
      </c>
      <c r="N2361" t="n">
        <v>0</v>
      </c>
      <c r="O2361" t="n">
        <v>0</v>
      </c>
      <c r="P2361" t="n">
        <v>0</v>
      </c>
      <c r="Q2361" t="n">
        <v>0</v>
      </c>
      <c r="R2361" s="2" t="inlineStr"/>
    </row>
    <row r="2362" ht="15" customHeight="1">
      <c r="A2362" t="inlineStr">
        <is>
          <t>A 51318-2021</t>
        </is>
      </c>
      <c r="B2362" s="1" t="n">
        <v>44461</v>
      </c>
      <c r="C2362" s="1" t="n">
        <v>45190</v>
      </c>
      <c r="D2362" t="inlineStr">
        <is>
          <t>SKÅNE LÄN</t>
        </is>
      </c>
      <c r="E2362" t="inlineStr">
        <is>
          <t>KRISTIANSTAD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51131-2021</t>
        </is>
      </c>
      <c r="B2363" s="1" t="n">
        <v>44461</v>
      </c>
      <c r="C2363" s="1" t="n">
        <v>45190</v>
      </c>
      <c r="D2363" t="inlineStr">
        <is>
          <t>SKÅNE LÄN</t>
        </is>
      </c>
      <c r="E2363" t="inlineStr">
        <is>
          <t>HÖÖR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51159-2021</t>
        </is>
      </c>
      <c r="B2364" s="1" t="n">
        <v>44461</v>
      </c>
      <c r="C2364" s="1" t="n">
        <v>45190</v>
      </c>
      <c r="D2364" t="inlineStr">
        <is>
          <t>SKÅNE LÄN</t>
        </is>
      </c>
      <c r="E2364" t="inlineStr">
        <is>
          <t>HÄSSLEHOLM</t>
        </is>
      </c>
      <c r="F2364" t="inlineStr">
        <is>
          <t>Kommuner</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51888-2021</t>
        </is>
      </c>
      <c r="B2365" s="1" t="n">
        <v>44462</v>
      </c>
      <c r="C2365" s="1" t="n">
        <v>45190</v>
      </c>
      <c r="D2365" t="inlineStr">
        <is>
          <t>SKÅNE LÄN</t>
        </is>
      </c>
      <c r="E2365" t="inlineStr">
        <is>
          <t>HÄSSLEHOLM</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51559-2021</t>
        </is>
      </c>
      <c r="B2366" s="1" t="n">
        <v>44462</v>
      </c>
      <c r="C2366" s="1" t="n">
        <v>45190</v>
      </c>
      <c r="D2366" t="inlineStr">
        <is>
          <t>SKÅNE LÄN</t>
        </is>
      </c>
      <c r="E2366" t="inlineStr">
        <is>
          <t>ÖSTRA GÖINGE</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51859-2021</t>
        </is>
      </c>
      <c r="B2367" s="1" t="n">
        <v>44462</v>
      </c>
      <c r="C2367" s="1" t="n">
        <v>45190</v>
      </c>
      <c r="D2367" t="inlineStr">
        <is>
          <t>SKÅNE LÄN</t>
        </is>
      </c>
      <c r="E2367" t="inlineStr">
        <is>
          <t>OSBY</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51893-2021</t>
        </is>
      </c>
      <c r="B2368" s="1" t="n">
        <v>44462</v>
      </c>
      <c r="C2368" s="1" t="n">
        <v>45190</v>
      </c>
      <c r="D2368" t="inlineStr">
        <is>
          <t>SKÅNE LÄN</t>
        </is>
      </c>
      <c r="E2368" t="inlineStr">
        <is>
          <t>HÄSSLEHOLM</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51895-2021</t>
        </is>
      </c>
      <c r="B2369" s="1" t="n">
        <v>44462</v>
      </c>
      <c r="C2369" s="1" t="n">
        <v>45190</v>
      </c>
      <c r="D2369" t="inlineStr">
        <is>
          <t>SKÅNE LÄN</t>
        </is>
      </c>
      <c r="E2369" t="inlineStr">
        <is>
          <t>HÄSSLEHOLM</t>
        </is>
      </c>
      <c r="G2369" t="n">
        <v>5.7</v>
      </c>
      <c r="H2369" t="n">
        <v>0</v>
      </c>
      <c r="I2369" t="n">
        <v>0</v>
      </c>
      <c r="J2369" t="n">
        <v>0</v>
      </c>
      <c r="K2369" t="n">
        <v>0</v>
      </c>
      <c r="L2369" t="n">
        <v>0</v>
      </c>
      <c r="M2369" t="n">
        <v>0</v>
      </c>
      <c r="N2369" t="n">
        <v>0</v>
      </c>
      <c r="O2369" t="n">
        <v>0</v>
      </c>
      <c r="P2369" t="n">
        <v>0</v>
      </c>
      <c r="Q2369" t="n">
        <v>0</v>
      </c>
      <c r="R2369" s="2" t="inlineStr"/>
    </row>
    <row r="2370" ht="15" customHeight="1">
      <c r="A2370" t="inlineStr">
        <is>
          <t>A 52057-2021</t>
        </is>
      </c>
      <c r="B2370" s="1" t="n">
        <v>44463</v>
      </c>
      <c r="C2370" s="1" t="n">
        <v>45190</v>
      </c>
      <c r="D2370" t="inlineStr">
        <is>
          <t>SKÅNE LÄN</t>
        </is>
      </c>
      <c r="E2370" t="inlineStr">
        <is>
          <t>KRISTIANSTAD</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52295-2021</t>
        </is>
      </c>
      <c r="B2371" s="1" t="n">
        <v>44463</v>
      </c>
      <c r="C2371" s="1" t="n">
        <v>45190</v>
      </c>
      <c r="D2371" t="inlineStr">
        <is>
          <t>SKÅNE LÄN</t>
        </is>
      </c>
      <c r="E2371" t="inlineStr">
        <is>
          <t>HÄSSLEHOLM</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52020-2021</t>
        </is>
      </c>
      <c r="B2372" s="1" t="n">
        <v>44463</v>
      </c>
      <c r="C2372" s="1" t="n">
        <v>45190</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52306-2021</t>
        </is>
      </c>
      <c r="B2373" s="1" t="n">
        <v>44463</v>
      </c>
      <c r="C2373" s="1" t="n">
        <v>45190</v>
      </c>
      <c r="D2373" t="inlineStr">
        <is>
          <t>SKÅNE LÄN</t>
        </is>
      </c>
      <c r="E2373" t="inlineStr">
        <is>
          <t>HÄSSLEHOLM</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52010-2021</t>
        </is>
      </c>
      <c r="B2374" s="1" t="n">
        <v>44463</v>
      </c>
      <c r="C2374" s="1" t="n">
        <v>45190</v>
      </c>
      <c r="D2374" t="inlineStr">
        <is>
          <t>SKÅNE LÄN</t>
        </is>
      </c>
      <c r="E2374" t="inlineStr">
        <is>
          <t>KRISTIANSTAD</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52196-2021</t>
        </is>
      </c>
      <c r="B2375" s="1" t="n">
        <v>44463</v>
      </c>
      <c r="C2375" s="1" t="n">
        <v>45190</v>
      </c>
      <c r="D2375" t="inlineStr">
        <is>
          <t>SKÅNE LÄN</t>
        </is>
      </c>
      <c r="E2375" t="inlineStr">
        <is>
          <t>OSBY</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52019-2021</t>
        </is>
      </c>
      <c r="B2376" s="1" t="n">
        <v>44463</v>
      </c>
      <c r="C2376" s="1" t="n">
        <v>45190</v>
      </c>
      <c r="D2376" t="inlineStr">
        <is>
          <t>SKÅNE LÄN</t>
        </is>
      </c>
      <c r="E2376" t="inlineStr">
        <is>
          <t>KRISTIANSTAD</t>
        </is>
      </c>
      <c r="G2376" t="n">
        <v>7.6</v>
      </c>
      <c r="H2376" t="n">
        <v>0</v>
      </c>
      <c r="I2376" t="n">
        <v>0</v>
      </c>
      <c r="J2376" t="n">
        <v>0</v>
      </c>
      <c r="K2376" t="n">
        <v>0</v>
      </c>
      <c r="L2376" t="n">
        <v>0</v>
      </c>
      <c r="M2376" t="n">
        <v>0</v>
      </c>
      <c r="N2376" t="n">
        <v>0</v>
      </c>
      <c r="O2376" t="n">
        <v>0</v>
      </c>
      <c r="P2376" t="n">
        <v>0</v>
      </c>
      <c r="Q2376" t="n">
        <v>0</v>
      </c>
      <c r="R2376" s="2" t="inlineStr"/>
    </row>
    <row r="2377" ht="15" customHeight="1">
      <c r="A2377" t="inlineStr">
        <is>
          <t>A 52372-2021</t>
        </is>
      </c>
      <c r="B2377" s="1" t="n">
        <v>44465</v>
      </c>
      <c r="C2377" s="1" t="n">
        <v>45190</v>
      </c>
      <c r="D2377" t="inlineStr">
        <is>
          <t>SKÅNE LÄN</t>
        </is>
      </c>
      <c r="E2377" t="inlineStr">
        <is>
          <t>ÖRKELLJUNGA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52832-2021</t>
        </is>
      </c>
      <c r="B2378" s="1" t="n">
        <v>44466</v>
      </c>
      <c r="C2378" s="1" t="n">
        <v>45190</v>
      </c>
      <c r="D2378" t="inlineStr">
        <is>
          <t>SKÅNE LÄN</t>
        </is>
      </c>
      <c r="E2378" t="inlineStr">
        <is>
          <t>HÖRBY</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52461-2021</t>
        </is>
      </c>
      <c r="B2379" s="1" t="n">
        <v>44466</v>
      </c>
      <c r="C2379" s="1" t="n">
        <v>45190</v>
      </c>
      <c r="D2379" t="inlineStr">
        <is>
          <t>SKÅNE LÄN</t>
        </is>
      </c>
      <c r="E2379" t="inlineStr">
        <is>
          <t>HÄSSLEHOLM</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52567-2021</t>
        </is>
      </c>
      <c r="B2380" s="1" t="n">
        <v>44466</v>
      </c>
      <c r="C2380" s="1" t="n">
        <v>45190</v>
      </c>
      <c r="D2380" t="inlineStr">
        <is>
          <t>SKÅNE LÄN</t>
        </is>
      </c>
      <c r="E2380" t="inlineStr">
        <is>
          <t>HÄSSLEHOLM</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52930-2021</t>
        </is>
      </c>
      <c r="B2381" s="1" t="n">
        <v>44467</v>
      </c>
      <c r="C2381" s="1" t="n">
        <v>45190</v>
      </c>
      <c r="D2381" t="inlineStr">
        <is>
          <t>SKÅNE LÄN</t>
        </is>
      </c>
      <c r="E2381" t="inlineStr">
        <is>
          <t>ÖSTRA GÖINGE</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53055-2021</t>
        </is>
      </c>
      <c r="B2382" s="1" t="n">
        <v>44467</v>
      </c>
      <c r="C2382" s="1" t="n">
        <v>45190</v>
      </c>
      <c r="D2382" t="inlineStr">
        <is>
          <t>SKÅNE LÄN</t>
        </is>
      </c>
      <c r="E2382" t="inlineStr">
        <is>
          <t>HÄSSLEHOLM</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53131-2021</t>
        </is>
      </c>
      <c r="B2383" s="1" t="n">
        <v>44468</v>
      </c>
      <c r="C2383" s="1" t="n">
        <v>45190</v>
      </c>
      <c r="D2383" t="inlineStr">
        <is>
          <t>SKÅNE LÄN</t>
        </is>
      </c>
      <c r="E2383" t="inlineStr">
        <is>
          <t>BÅSTAD</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53339-2021</t>
        </is>
      </c>
      <c r="B2384" s="1" t="n">
        <v>44468</v>
      </c>
      <c r="C2384" s="1" t="n">
        <v>45190</v>
      </c>
      <c r="D2384" t="inlineStr">
        <is>
          <t>SKÅNE LÄN</t>
        </is>
      </c>
      <c r="E2384" t="inlineStr">
        <is>
          <t>OSBY</t>
        </is>
      </c>
      <c r="G2384" t="n">
        <v>7</v>
      </c>
      <c r="H2384" t="n">
        <v>0</v>
      </c>
      <c r="I2384" t="n">
        <v>0</v>
      </c>
      <c r="J2384" t="n">
        <v>0</v>
      </c>
      <c r="K2384" t="n">
        <v>0</v>
      </c>
      <c r="L2384" t="n">
        <v>0</v>
      </c>
      <c r="M2384" t="n">
        <v>0</v>
      </c>
      <c r="N2384" t="n">
        <v>0</v>
      </c>
      <c r="O2384" t="n">
        <v>0</v>
      </c>
      <c r="P2384" t="n">
        <v>0</v>
      </c>
      <c r="Q2384" t="n">
        <v>0</v>
      </c>
      <c r="R2384" s="2" t="inlineStr"/>
    </row>
    <row r="2385" ht="15" customHeight="1">
      <c r="A2385" t="inlineStr">
        <is>
          <t>A 53491-2021</t>
        </is>
      </c>
      <c r="B2385" s="1" t="n">
        <v>44468</v>
      </c>
      <c r="C2385" s="1" t="n">
        <v>45190</v>
      </c>
      <c r="D2385" t="inlineStr">
        <is>
          <t>SKÅNE LÄN</t>
        </is>
      </c>
      <c r="E2385" t="inlineStr">
        <is>
          <t>KRISTIANSTAD</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54178-2021</t>
        </is>
      </c>
      <c r="B2386" s="1" t="n">
        <v>44470</v>
      </c>
      <c r="C2386" s="1" t="n">
        <v>45190</v>
      </c>
      <c r="D2386" t="inlineStr">
        <is>
          <t>SKÅNE LÄN</t>
        </is>
      </c>
      <c r="E2386" t="inlineStr">
        <is>
          <t>HÄSSLEHOLM</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54171-2021</t>
        </is>
      </c>
      <c r="B2387" s="1" t="n">
        <v>44470</v>
      </c>
      <c r="C2387" s="1" t="n">
        <v>45190</v>
      </c>
      <c r="D2387" t="inlineStr">
        <is>
          <t>SKÅNE LÄN</t>
        </is>
      </c>
      <c r="E2387" t="inlineStr">
        <is>
          <t>HÄSSLEHOLM</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54057-2021</t>
        </is>
      </c>
      <c r="B2388" s="1" t="n">
        <v>44470</v>
      </c>
      <c r="C2388" s="1" t="n">
        <v>45190</v>
      </c>
      <c r="D2388" t="inlineStr">
        <is>
          <t>SKÅNE LÄN</t>
        </is>
      </c>
      <c r="E2388" t="inlineStr">
        <is>
          <t>KRISTIANSTAD</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54175-2021</t>
        </is>
      </c>
      <c r="B2389" s="1" t="n">
        <v>44470</v>
      </c>
      <c r="C2389" s="1" t="n">
        <v>45190</v>
      </c>
      <c r="D2389" t="inlineStr">
        <is>
          <t>SKÅNE LÄN</t>
        </is>
      </c>
      <c r="E2389" t="inlineStr">
        <is>
          <t>HÄSSLEHOLM</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54411-2021</t>
        </is>
      </c>
      <c r="B2390" s="1" t="n">
        <v>44473</v>
      </c>
      <c r="C2390" s="1" t="n">
        <v>45190</v>
      </c>
      <c r="D2390" t="inlineStr">
        <is>
          <t>SKÅNE LÄN</t>
        </is>
      </c>
      <c r="E2390" t="inlineStr">
        <is>
          <t>PERSTORP</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54894-2021</t>
        </is>
      </c>
      <c r="B2391" s="1" t="n">
        <v>44474</v>
      </c>
      <c r="C2391" s="1" t="n">
        <v>45190</v>
      </c>
      <c r="D2391" t="inlineStr">
        <is>
          <t>SKÅNE LÄN</t>
        </is>
      </c>
      <c r="E2391" t="inlineStr">
        <is>
          <t>ÖSTRA GÖINGE</t>
        </is>
      </c>
      <c r="F2391" t="inlineStr">
        <is>
          <t>Kyrkan</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55416-2021</t>
        </is>
      </c>
      <c r="B2392" s="1" t="n">
        <v>44475</v>
      </c>
      <c r="C2392" s="1" t="n">
        <v>45190</v>
      </c>
      <c r="D2392" t="inlineStr">
        <is>
          <t>SKÅNE LÄN</t>
        </is>
      </c>
      <c r="E2392" t="inlineStr">
        <is>
          <t>HÄSSLEHOLM</t>
        </is>
      </c>
      <c r="G2392" t="n">
        <v>9.199999999999999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55588-2021</t>
        </is>
      </c>
      <c r="B2393" s="1" t="n">
        <v>44475</v>
      </c>
      <c r="C2393" s="1" t="n">
        <v>45190</v>
      </c>
      <c r="D2393" t="inlineStr">
        <is>
          <t>SKÅNE LÄN</t>
        </is>
      </c>
      <c r="E2393" t="inlineStr">
        <is>
          <t>KLIPPAN</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55587-2021</t>
        </is>
      </c>
      <c r="B2394" s="1" t="n">
        <v>44475</v>
      </c>
      <c r="C2394" s="1" t="n">
        <v>45190</v>
      </c>
      <c r="D2394" t="inlineStr">
        <is>
          <t>SKÅNE LÄN</t>
        </is>
      </c>
      <c r="E2394" t="inlineStr">
        <is>
          <t>KLIPPAN</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55572-2021</t>
        </is>
      </c>
      <c r="B2395" s="1" t="n">
        <v>44475</v>
      </c>
      <c r="C2395" s="1" t="n">
        <v>45190</v>
      </c>
      <c r="D2395" t="inlineStr">
        <is>
          <t>SKÅNE LÄN</t>
        </is>
      </c>
      <c r="E2395" t="inlineStr">
        <is>
          <t>OSBY</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55454-2021</t>
        </is>
      </c>
      <c r="B2396" s="1" t="n">
        <v>44475</v>
      </c>
      <c r="C2396" s="1" t="n">
        <v>45190</v>
      </c>
      <c r="D2396" t="inlineStr">
        <is>
          <t>SKÅNE LÄN</t>
        </is>
      </c>
      <c r="E2396" t="inlineStr">
        <is>
          <t>HÄSSLEHOLM</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55737-2021</t>
        </is>
      </c>
      <c r="B2397" s="1" t="n">
        <v>44476</v>
      </c>
      <c r="C2397" s="1" t="n">
        <v>45190</v>
      </c>
      <c r="D2397" t="inlineStr">
        <is>
          <t>SKÅNE LÄN</t>
        </is>
      </c>
      <c r="E2397" t="inlineStr">
        <is>
          <t>KRISTIANSTAD</t>
        </is>
      </c>
      <c r="F2397" t="inlineStr">
        <is>
          <t>Sveaskog</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56094-2021</t>
        </is>
      </c>
      <c r="B2398" s="1" t="n">
        <v>44477</v>
      </c>
      <c r="C2398" s="1" t="n">
        <v>45190</v>
      </c>
      <c r="D2398" t="inlineStr">
        <is>
          <t>SKÅNE LÄN</t>
        </is>
      </c>
      <c r="E2398" t="inlineStr">
        <is>
          <t>ÄNGELHOLM</t>
        </is>
      </c>
      <c r="G2398" t="n">
        <v>2</v>
      </c>
      <c r="H2398" t="n">
        <v>0</v>
      </c>
      <c r="I2398" t="n">
        <v>0</v>
      </c>
      <c r="J2398" t="n">
        <v>0</v>
      </c>
      <c r="K2398" t="n">
        <v>0</v>
      </c>
      <c r="L2398" t="n">
        <v>0</v>
      </c>
      <c r="M2398" t="n">
        <v>0</v>
      </c>
      <c r="N2398" t="n">
        <v>0</v>
      </c>
      <c r="O2398" t="n">
        <v>0</v>
      </c>
      <c r="P2398" t="n">
        <v>0</v>
      </c>
      <c r="Q2398" t="n">
        <v>0</v>
      </c>
      <c r="R2398" s="2" t="inlineStr"/>
    </row>
    <row r="2399" ht="15" customHeight="1">
      <c r="A2399" t="inlineStr">
        <is>
          <t>A 56006-2021</t>
        </is>
      </c>
      <c r="B2399" s="1" t="n">
        <v>44477</v>
      </c>
      <c r="C2399" s="1" t="n">
        <v>45190</v>
      </c>
      <c r="D2399" t="inlineStr">
        <is>
          <t>SKÅNE LÄN</t>
        </is>
      </c>
      <c r="E2399" t="inlineStr">
        <is>
          <t>ÖRKELLJUNGA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56177-2021</t>
        </is>
      </c>
      <c r="B2400" s="1" t="n">
        <v>44477</v>
      </c>
      <c r="C2400" s="1" t="n">
        <v>45190</v>
      </c>
      <c r="D2400" t="inlineStr">
        <is>
          <t>SKÅNE LÄN</t>
        </is>
      </c>
      <c r="E2400" t="inlineStr">
        <is>
          <t>OSBY</t>
        </is>
      </c>
      <c r="F2400" t="inlineStr">
        <is>
          <t>Kommuner</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56089-2021</t>
        </is>
      </c>
      <c r="B2401" s="1" t="n">
        <v>44477</v>
      </c>
      <c r="C2401" s="1" t="n">
        <v>45190</v>
      </c>
      <c r="D2401" t="inlineStr">
        <is>
          <t>SKÅNE LÄN</t>
        </is>
      </c>
      <c r="E2401" t="inlineStr">
        <is>
          <t>KLIPPAN</t>
        </is>
      </c>
      <c r="G2401" t="n">
        <v>20.9</v>
      </c>
      <c r="H2401" t="n">
        <v>0</v>
      </c>
      <c r="I2401" t="n">
        <v>0</v>
      </c>
      <c r="J2401" t="n">
        <v>0</v>
      </c>
      <c r="K2401" t="n">
        <v>0</v>
      </c>
      <c r="L2401" t="n">
        <v>0</v>
      </c>
      <c r="M2401" t="n">
        <v>0</v>
      </c>
      <c r="N2401" t="n">
        <v>0</v>
      </c>
      <c r="O2401" t="n">
        <v>0</v>
      </c>
      <c r="P2401" t="n">
        <v>0</v>
      </c>
      <c r="Q2401" t="n">
        <v>0</v>
      </c>
      <c r="R2401" s="2" t="inlineStr"/>
    </row>
    <row r="2402" ht="15" customHeight="1">
      <c r="A2402" t="inlineStr">
        <is>
          <t>A 56137-2021</t>
        </is>
      </c>
      <c r="B2402" s="1" t="n">
        <v>44477</v>
      </c>
      <c r="C2402" s="1" t="n">
        <v>45190</v>
      </c>
      <c r="D2402" t="inlineStr">
        <is>
          <t>SKÅNE LÄN</t>
        </is>
      </c>
      <c r="E2402" t="inlineStr">
        <is>
          <t>SJÖBO</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56021-2021</t>
        </is>
      </c>
      <c r="B2403" s="1" t="n">
        <v>44477</v>
      </c>
      <c r="C2403" s="1" t="n">
        <v>45190</v>
      </c>
      <c r="D2403" t="inlineStr">
        <is>
          <t>SKÅNE LÄN</t>
        </is>
      </c>
      <c r="E2403" t="inlineStr">
        <is>
          <t>ÖRKELLJUNGA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56229-2021</t>
        </is>
      </c>
      <c r="B2404" s="1" t="n">
        <v>44478</v>
      </c>
      <c r="C2404" s="1" t="n">
        <v>45190</v>
      </c>
      <c r="D2404" t="inlineStr">
        <is>
          <t>SKÅNE LÄN</t>
        </is>
      </c>
      <c r="E2404" t="inlineStr">
        <is>
          <t>OSBY</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56328-2021</t>
        </is>
      </c>
      <c r="B2405" s="1" t="n">
        <v>44480</v>
      </c>
      <c r="C2405" s="1" t="n">
        <v>45190</v>
      </c>
      <c r="D2405" t="inlineStr">
        <is>
          <t>SKÅNE LÄN</t>
        </is>
      </c>
      <c r="E2405" t="inlineStr">
        <is>
          <t>OSBY</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56502-2021</t>
        </is>
      </c>
      <c r="B2406" s="1" t="n">
        <v>44480</v>
      </c>
      <c r="C2406" s="1" t="n">
        <v>45190</v>
      </c>
      <c r="D2406" t="inlineStr">
        <is>
          <t>SKÅNE LÄN</t>
        </is>
      </c>
      <c r="E2406" t="inlineStr">
        <is>
          <t>HÄSSLEHOLM</t>
        </is>
      </c>
      <c r="F2406" t="inlineStr">
        <is>
          <t>Kyrkan</t>
        </is>
      </c>
      <c r="G2406" t="n">
        <v>13.8</v>
      </c>
      <c r="H2406" t="n">
        <v>0</v>
      </c>
      <c r="I2406" t="n">
        <v>0</v>
      </c>
      <c r="J2406" t="n">
        <v>0</v>
      </c>
      <c r="K2406" t="n">
        <v>0</v>
      </c>
      <c r="L2406" t="n">
        <v>0</v>
      </c>
      <c r="M2406" t="n">
        <v>0</v>
      </c>
      <c r="N2406" t="n">
        <v>0</v>
      </c>
      <c r="O2406" t="n">
        <v>0</v>
      </c>
      <c r="P2406" t="n">
        <v>0</v>
      </c>
      <c r="Q2406" t="n">
        <v>0</v>
      </c>
      <c r="R2406" s="2" t="inlineStr"/>
    </row>
    <row r="2407" ht="15" customHeight="1">
      <c r="A2407" t="inlineStr">
        <is>
          <t>A 56512-2021</t>
        </is>
      </c>
      <c r="B2407" s="1" t="n">
        <v>44480</v>
      </c>
      <c r="C2407" s="1" t="n">
        <v>45190</v>
      </c>
      <c r="D2407" t="inlineStr">
        <is>
          <t>SKÅNE LÄN</t>
        </is>
      </c>
      <c r="E2407" t="inlineStr">
        <is>
          <t>HÖÖR</t>
        </is>
      </c>
      <c r="G2407" t="n">
        <v>13.3</v>
      </c>
      <c r="H2407" t="n">
        <v>0</v>
      </c>
      <c r="I2407" t="n">
        <v>0</v>
      </c>
      <c r="J2407" t="n">
        <v>0</v>
      </c>
      <c r="K2407" t="n">
        <v>0</v>
      </c>
      <c r="L2407" t="n">
        <v>0</v>
      </c>
      <c r="M2407" t="n">
        <v>0</v>
      </c>
      <c r="N2407" t="n">
        <v>0</v>
      </c>
      <c r="O2407" t="n">
        <v>0</v>
      </c>
      <c r="P2407" t="n">
        <v>0</v>
      </c>
      <c r="Q2407" t="n">
        <v>0</v>
      </c>
      <c r="R2407" s="2" t="inlineStr"/>
    </row>
    <row r="2408" ht="15" customHeight="1">
      <c r="A2408" t="inlineStr">
        <is>
          <t>A 56424-2021</t>
        </is>
      </c>
      <c r="B2408" s="1" t="n">
        <v>44480</v>
      </c>
      <c r="C2408" s="1" t="n">
        <v>45190</v>
      </c>
      <c r="D2408" t="inlineStr">
        <is>
          <t>SKÅNE LÄN</t>
        </is>
      </c>
      <c r="E2408" t="inlineStr">
        <is>
          <t>HÄSSLEHOLM</t>
        </is>
      </c>
      <c r="F2408" t="inlineStr">
        <is>
          <t>Kyrkan</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56454-2021</t>
        </is>
      </c>
      <c r="B2409" s="1" t="n">
        <v>44480</v>
      </c>
      <c r="C2409" s="1" t="n">
        <v>45190</v>
      </c>
      <c r="D2409" t="inlineStr">
        <is>
          <t>SKÅNE LÄN</t>
        </is>
      </c>
      <c r="E2409" t="inlineStr">
        <is>
          <t>KRISTIANSTAD</t>
        </is>
      </c>
      <c r="F2409" t="inlineStr">
        <is>
          <t>Kyrkan</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56477-2021</t>
        </is>
      </c>
      <c r="B2410" s="1" t="n">
        <v>44480</v>
      </c>
      <c r="C2410" s="1" t="n">
        <v>45190</v>
      </c>
      <c r="D2410" t="inlineStr">
        <is>
          <t>SKÅNE LÄN</t>
        </is>
      </c>
      <c r="E2410" t="inlineStr">
        <is>
          <t>HÄSSLEHOLM</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56490-2021</t>
        </is>
      </c>
      <c r="B2411" s="1" t="n">
        <v>44480</v>
      </c>
      <c r="C2411" s="1" t="n">
        <v>45190</v>
      </c>
      <c r="D2411" t="inlineStr">
        <is>
          <t>SKÅNE LÄN</t>
        </is>
      </c>
      <c r="E2411" t="inlineStr">
        <is>
          <t>HÄSSLEHOLM</t>
        </is>
      </c>
      <c r="F2411" t="inlineStr">
        <is>
          <t>Kyrkan</t>
        </is>
      </c>
      <c r="G2411" t="n">
        <v>8.300000000000001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56431-2021</t>
        </is>
      </c>
      <c r="B2412" s="1" t="n">
        <v>44480</v>
      </c>
      <c r="C2412" s="1" t="n">
        <v>45190</v>
      </c>
      <c r="D2412" t="inlineStr">
        <is>
          <t>SKÅNE LÄN</t>
        </is>
      </c>
      <c r="E2412" t="inlineStr">
        <is>
          <t>HÄSSLEHOLM</t>
        </is>
      </c>
      <c r="F2412" t="inlineStr">
        <is>
          <t>Kyrkan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56527-2021</t>
        </is>
      </c>
      <c r="B2413" s="1" t="n">
        <v>44480</v>
      </c>
      <c r="C2413" s="1" t="n">
        <v>45190</v>
      </c>
      <c r="D2413" t="inlineStr">
        <is>
          <t>SKÅNE LÄN</t>
        </is>
      </c>
      <c r="E2413" t="inlineStr">
        <is>
          <t>HÄSSLEHOLM</t>
        </is>
      </c>
      <c r="F2413" t="inlineStr">
        <is>
          <t>Kyrkan</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56569-2021</t>
        </is>
      </c>
      <c r="B2414" s="1" t="n">
        <v>44480</v>
      </c>
      <c r="C2414" s="1" t="n">
        <v>45190</v>
      </c>
      <c r="D2414" t="inlineStr">
        <is>
          <t>SKÅNE LÄN</t>
        </is>
      </c>
      <c r="E2414" t="inlineStr">
        <is>
          <t>ÄNGELHOLM</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56855-2021</t>
        </is>
      </c>
      <c r="B2415" s="1" t="n">
        <v>44481</v>
      </c>
      <c r="C2415" s="1" t="n">
        <v>45190</v>
      </c>
      <c r="D2415" t="inlineStr">
        <is>
          <t>SKÅNE LÄN</t>
        </is>
      </c>
      <c r="E2415" t="inlineStr">
        <is>
          <t>LUND</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56881-2021</t>
        </is>
      </c>
      <c r="B2416" s="1" t="n">
        <v>44481</v>
      </c>
      <c r="C2416" s="1" t="n">
        <v>45190</v>
      </c>
      <c r="D2416" t="inlineStr">
        <is>
          <t>SKÅNE LÄN</t>
        </is>
      </c>
      <c r="E2416" t="inlineStr">
        <is>
          <t>HÄSSLEHOLM</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56876-2021</t>
        </is>
      </c>
      <c r="B2417" s="1" t="n">
        <v>44481</v>
      </c>
      <c r="C2417" s="1" t="n">
        <v>45190</v>
      </c>
      <c r="D2417" t="inlineStr">
        <is>
          <t>SKÅNE LÄN</t>
        </is>
      </c>
      <c r="E2417" t="inlineStr">
        <is>
          <t>OSBY</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56989-2021</t>
        </is>
      </c>
      <c r="B2418" s="1" t="n">
        <v>44482</v>
      </c>
      <c r="C2418" s="1" t="n">
        <v>45190</v>
      </c>
      <c r="D2418" t="inlineStr">
        <is>
          <t>SKÅNE LÄN</t>
        </is>
      </c>
      <c r="E2418" t="inlineStr">
        <is>
          <t>HÄSSLEHOLM</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57227-2021</t>
        </is>
      </c>
      <c r="B2419" s="1" t="n">
        <v>44482</v>
      </c>
      <c r="C2419" s="1" t="n">
        <v>45190</v>
      </c>
      <c r="D2419" t="inlineStr">
        <is>
          <t>SKÅNE LÄN</t>
        </is>
      </c>
      <c r="E2419" t="inlineStr">
        <is>
          <t>OSBY</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57488-2021</t>
        </is>
      </c>
      <c r="B2420" s="1" t="n">
        <v>44483</v>
      </c>
      <c r="C2420" s="1" t="n">
        <v>45190</v>
      </c>
      <c r="D2420" t="inlineStr">
        <is>
          <t>SKÅNE LÄN</t>
        </is>
      </c>
      <c r="E2420" t="inlineStr">
        <is>
          <t>KRISTIANSTAD</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58337-2021</t>
        </is>
      </c>
      <c r="B2421" s="1" t="n">
        <v>44487</v>
      </c>
      <c r="C2421" s="1" t="n">
        <v>45190</v>
      </c>
      <c r="D2421" t="inlineStr">
        <is>
          <t>SKÅNE LÄN</t>
        </is>
      </c>
      <c r="E2421" t="inlineStr">
        <is>
          <t>OSBY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57952-2021</t>
        </is>
      </c>
      <c r="B2422" s="1" t="n">
        <v>44487</v>
      </c>
      <c r="C2422" s="1" t="n">
        <v>45190</v>
      </c>
      <c r="D2422" t="inlineStr">
        <is>
          <t>SKÅNE LÄN</t>
        </is>
      </c>
      <c r="E2422" t="inlineStr">
        <is>
          <t>KLIPPAN</t>
        </is>
      </c>
      <c r="F2422" t="inlineStr">
        <is>
          <t>Övriga Aktiebolag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58175-2021</t>
        </is>
      </c>
      <c r="B2423" s="1" t="n">
        <v>44487</v>
      </c>
      <c r="C2423" s="1" t="n">
        <v>45190</v>
      </c>
      <c r="D2423" t="inlineStr">
        <is>
          <t>SKÅNE LÄN</t>
        </is>
      </c>
      <c r="E2423" t="inlineStr">
        <is>
          <t>KRISTIANSTAD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58346-2021</t>
        </is>
      </c>
      <c r="B2424" s="1" t="n">
        <v>44487</v>
      </c>
      <c r="C2424" s="1" t="n">
        <v>45190</v>
      </c>
      <c r="D2424" t="inlineStr">
        <is>
          <t>SKÅNE LÄN</t>
        </is>
      </c>
      <c r="E2424" t="inlineStr">
        <is>
          <t>OSBY</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57997-2021</t>
        </is>
      </c>
      <c r="B2425" s="1" t="n">
        <v>44487</v>
      </c>
      <c r="C2425" s="1" t="n">
        <v>45190</v>
      </c>
      <c r="D2425" t="inlineStr">
        <is>
          <t>SKÅNE LÄN</t>
        </is>
      </c>
      <c r="E2425" t="inlineStr">
        <is>
          <t>PERSTORP</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58868-2021</t>
        </is>
      </c>
      <c r="B2426" s="1" t="n">
        <v>44489</v>
      </c>
      <c r="C2426" s="1" t="n">
        <v>45190</v>
      </c>
      <c r="D2426" t="inlineStr">
        <is>
          <t>SKÅNE LÄN</t>
        </is>
      </c>
      <c r="E2426" t="inlineStr">
        <is>
          <t>ÖSTRA GÖINGE</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59016-2021</t>
        </is>
      </c>
      <c r="B2427" s="1" t="n">
        <v>44489</v>
      </c>
      <c r="C2427" s="1" t="n">
        <v>45190</v>
      </c>
      <c r="D2427" t="inlineStr">
        <is>
          <t>SKÅNE LÄN</t>
        </is>
      </c>
      <c r="E2427" t="inlineStr">
        <is>
          <t>PERSTORP</t>
        </is>
      </c>
      <c r="F2427" t="inlineStr">
        <is>
          <t>Övriga Aktiebolag</t>
        </is>
      </c>
      <c r="G2427" t="n">
        <v>17.6</v>
      </c>
      <c r="H2427" t="n">
        <v>0</v>
      </c>
      <c r="I2427" t="n">
        <v>0</v>
      </c>
      <c r="J2427" t="n">
        <v>0</v>
      </c>
      <c r="K2427" t="n">
        <v>0</v>
      </c>
      <c r="L2427" t="n">
        <v>0</v>
      </c>
      <c r="M2427" t="n">
        <v>0</v>
      </c>
      <c r="N2427" t="n">
        <v>0</v>
      </c>
      <c r="O2427" t="n">
        <v>0</v>
      </c>
      <c r="P2427" t="n">
        <v>0</v>
      </c>
      <c r="Q2427" t="n">
        <v>0</v>
      </c>
      <c r="R2427" s="2" t="inlineStr"/>
    </row>
    <row r="2428" ht="15" customHeight="1">
      <c r="A2428" t="inlineStr">
        <is>
          <t>A 59008-2021</t>
        </is>
      </c>
      <c r="B2428" s="1" t="n">
        <v>44489</v>
      </c>
      <c r="C2428" s="1" t="n">
        <v>45190</v>
      </c>
      <c r="D2428" t="inlineStr">
        <is>
          <t>SKÅNE LÄN</t>
        </is>
      </c>
      <c r="E2428" t="inlineStr">
        <is>
          <t>KLIPPAN</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59137-2021</t>
        </is>
      </c>
      <c r="B2429" s="1" t="n">
        <v>44490</v>
      </c>
      <c r="C2429" s="1" t="n">
        <v>45190</v>
      </c>
      <c r="D2429" t="inlineStr">
        <is>
          <t>SKÅNE LÄN</t>
        </is>
      </c>
      <c r="E2429" t="inlineStr">
        <is>
          <t>HÖÖR</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59390-2021</t>
        </is>
      </c>
      <c r="B2430" s="1" t="n">
        <v>44490</v>
      </c>
      <c r="C2430" s="1" t="n">
        <v>45190</v>
      </c>
      <c r="D2430" t="inlineStr">
        <is>
          <t>SKÅNE LÄN</t>
        </is>
      </c>
      <c r="E2430" t="inlineStr">
        <is>
          <t>HÄSSLEHOLM</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59131-2021</t>
        </is>
      </c>
      <c r="B2431" s="1" t="n">
        <v>44490</v>
      </c>
      <c r="C2431" s="1" t="n">
        <v>45190</v>
      </c>
      <c r="D2431" t="inlineStr">
        <is>
          <t>SKÅNE LÄN</t>
        </is>
      </c>
      <c r="E2431" t="inlineStr">
        <is>
          <t>TOMELILLA</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59831-2021</t>
        </is>
      </c>
      <c r="B2432" s="1" t="n">
        <v>44491</v>
      </c>
      <c r="C2432" s="1" t="n">
        <v>45190</v>
      </c>
      <c r="D2432" t="inlineStr">
        <is>
          <t>SKÅNE LÄN</t>
        </is>
      </c>
      <c r="E2432" t="inlineStr">
        <is>
          <t>KRISTIANSTAD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59754-2021</t>
        </is>
      </c>
      <c r="B2433" s="1" t="n">
        <v>44494</v>
      </c>
      <c r="C2433" s="1" t="n">
        <v>45190</v>
      </c>
      <c r="D2433" t="inlineStr">
        <is>
          <t>SKÅNE LÄN</t>
        </is>
      </c>
      <c r="E2433" t="inlineStr">
        <is>
          <t>OSBY</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60260-2021</t>
        </is>
      </c>
      <c r="B2434" s="1" t="n">
        <v>44495</v>
      </c>
      <c r="C2434" s="1" t="n">
        <v>45190</v>
      </c>
      <c r="D2434" t="inlineStr">
        <is>
          <t>SKÅNE LÄN</t>
        </is>
      </c>
      <c r="E2434" t="inlineStr">
        <is>
          <t>HÄSSLEHOLM</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60263-2021</t>
        </is>
      </c>
      <c r="B2435" s="1" t="n">
        <v>44495</v>
      </c>
      <c r="C2435" s="1" t="n">
        <v>45190</v>
      </c>
      <c r="D2435" t="inlineStr">
        <is>
          <t>SKÅNE LÄN</t>
        </is>
      </c>
      <c r="E2435" t="inlineStr">
        <is>
          <t>SJÖBO</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61137-2021</t>
        </is>
      </c>
      <c r="B2436" s="1" t="n">
        <v>44497</v>
      </c>
      <c r="C2436" s="1" t="n">
        <v>45190</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61147-2021</t>
        </is>
      </c>
      <c r="B2437" s="1" t="n">
        <v>44497</v>
      </c>
      <c r="C2437" s="1" t="n">
        <v>45190</v>
      </c>
      <c r="D2437" t="inlineStr">
        <is>
          <t>SKÅNE LÄN</t>
        </is>
      </c>
      <c r="E2437" t="inlineStr">
        <is>
          <t>KRISTIANSTAD</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61198-2021</t>
        </is>
      </c>
      <c r="B2438" s="1" t="n">
        <v>44497</v>
      </c>
      <c r="C2438" s="1" t="n">
        <v>45190</v>
      </c>
      <c r="D2438" t="inlineStr">
        <is>
          <t>SKÅNE LÄN</t>
        </is>
      </c>
      <c r="E2438" t="inlineStr">
        <is>
          <t>KRISTIANSTAD</t>
        </is>
      </c>
      <c r="G2438" t="n">
        <v>13.8</v>
      </c>
      <c r="H2438" t="n">
        <v>0</v>
      </c>
      <c r="I2438" t="n">
        <v>0</v>
      </c>
      <c r="J2438" t="n">
        <v>0</v>
      </c>
      <c r="K2438" t="n">
        <v>0</v>
      </c>
      <c r="L2438" t="n">
        <v>0</v>
      </c>
      <c r="M2438" t="n">
        <v>0</v>
      </c>
      <c r="N2438" t="n">
        <v>0</v>
      </c>
      <c r="O2438" t="n">
        <v>0</v>
      </c>
      <c r="P2438" t="n">
        <v>0</v>
      </c>
      <c r="Q2438" t="n">
        <v>0</v>
      </c>
      <c r="R2438" s="2" t="inlineStr"/>
    </row>
    <row r="2439" ht="15" customHeight="1">
      <c r="A2439" t="inlineStr">
        <is>
          <t>A 61094-2021</t>
        </is>
      </c>
      <c r="B2439" s="1" t="n">
        <v>44498</v>
      </c>
      <c r="C2439" s="1" t="n">
        <v>45190</v>
      </c>
      <c r="D2439" t="inlineStr">
        <is>
          <t>SKÅNE LÄN</t>
        </is>
      </c>
      <c r="E2439" t="inlineStr">
        <is>
          <t>ÄNGELHOLM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61650-2021</t>
        </is>
      </c>
      <c r="B2440" s="1" t="n">
        <v>44498</v>
      </c>
      <c r="C2440" s="1" t="n">
        <v>45190</v>
      </c>
      <c r="D2440" t="inlineStr">
        <is>
          <t>SKÅNE LÄN</t>
        </is>
      </c>
      <c r="E2440" t="inlineStr">
        <is>
          <t>ÖRKELLJUNGA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61495-2021</t>
        </is>
      </c>
      <c r="B2441" s="1" t="n">
        <v>44501</v>
      </c>
      <c r="C2441" s="1" t="n">
        <v>45190</v>
      </c>
      <c r="D2441" t="inlineStr">
        <is>
          <t>SKÅNE LÄN</t>
        </is>
      </c>
      <c r="E2441" t="inlineStr">
        <is>
          <t>SVALÖV</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61691-2021</t>
        </is>
      </c>
      <c r="B2442" s="1" t="n">
        <v>44501</v>
      </c>
      <c r="C2442" s="1" t="n">
        <v>45190</v>
      </c>
      <c r="D2442" t="inlineStr">
        <is>
          <t>SKÅNE LÄN</t>
        </is>
      </c>
      <c r="E2442" t="inlineStr">
        <is>
          <t>HÄSSLEHOLM</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61510-2021</t>
        </is>
      </c>
      <c r="B2443" s="1" t="n">
        <v>44501</v>
      </c>
      <c r="C2443" s="1" t="n">
        <v>45190</v>
      </c>
      <c r="D2443" t="inlineStr">
        <is>
          <t>SKÅNE LÄN</t>
        </is>
      </c>
      <c r="E2443" t="inlineStr">
        <is>
          <t>HÄSSLEHOLM</t>
        </is>
      </c>
      <c r="G2443" t="n">
        <v>6.1</v>
      </c>
      <c r="H2443" t="n">
        <v>0</v>
      </c>
      <c r="I2443" t="n">
        <v>0</v>
      </c>
      <c r="J2443" t="n">
        <v>0</v>
      </c>
      <c r="K2443" t="n">
        <v>0</v>
      </c>
      <c r="L2443" t="n">
        <v>0</v>
      </c>
      <c r="M2443" t="n">
        <v>0</v>
      </c>
      <c r="N2443" t="n">
        <v>0</v>
      </c>
      <c r="O2443" t="n">
        <v>0</v>
      </c>
      <c r="P2443" t="n">
        <v>0</v>
      </c>
      <c r="Q2443" t="n">
        <v>0</v>
      </c>
      <c r="R2443" s="2" t="inlineStr"/>
    </row>
    <row r="2444" ht="15" customHeight="1">
      <c r="A2444" t="inlineStr">
        <is>
          <t>A 62282-2021</t>
        </is>
      </c>
      <c r="B2444" s="1" t="n">
        <v>44503</v>
      </c>
      <c r="C2444" s="1" t="n">
        <v>45190</v>
      </c>
      <c r="D2444" t="inlineStr">
        <is>
          <t>SKÅNE LÄN</t>
        </is>
      </c>
      <c r="E2444" t="inlineStr">
        <is>
          <t>KRISTIANSTAD</t>
        </is>
      </c>
      <c r="F2444" t="inlineStr">
        <is>
          <t>Sveaskog</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62644-2021</t>
        </is>
      </c>
      <c r="B2445" s="1" t="n">
        <v>44503</v>
      </c>
      <c r="C2445" s="1" t="n">
        <v>45190</v>
      </c>
      <c r="D2445" t="inlineStr">
        <is>
          <t>SKÅNE LÄN</t>
        </is>
      </c>
      <c r="E2445" t="inlineStr">
        <is>
          <t>KLIPPAN</t>
        </is>
      </c>
      <c r="G2445" t="n">
        <v>9</v>
      </c>
      <c r="H2445" t="n">
        <v>0</v>
      </c>
      <c r="I2445" t="n">
        <v>0</v>
      </c>
      <c r="J2445" t="n">
        <v>0</v>
      </c>
      <c r="K2445" t="n">
        <v>0</v>
      </c>
      <c r="L2445" t="n">
        <v>0</v>
      </c>
      <c r="M2445" t="n">
        <v>0</v>
      </c>
      <c r="N2445" t="n">
        <v>0</v>
      </c>
      <c r="O2445" t="n">
        <v>0</v>
      </c>
      <c r="P2445" t="n">
        <v>0</v>
      </c>
      <c r="Q2445" t="n">
        <v>0</v>
      </c>
      <c r="R2445" s="2" t="inlineStr"/>
    </row>
    <row r="2446" ht="15" customHeight="1">
      <c r="A2446" t="inlineStr">
        <is>
          <t>A 63077-2021</t>
        </is>
      </c>
      <c r="B2446" s="1" t="n">
        <v>44505</v>
      </c>
      <c r="C2446" s="1" t="n">
        <v>45190</v>
      </c>
      <c r="D2446" t="inlineStr">
        <is>
          <t>SKÅNE LÄN</t>
        </is>
      </c>
      <c r="E2446" t="inlineStr">
        <is>
          <t>OSBY</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63558-2021</t>
        </is>
      </c>
      <c r="B2447" s="1" t="n">
        <v>44508</v>
      </c>
      <c r="C2447" s="1" t="n">
        <v>45190</v>
      </c>
      <c r="D2447" t="inlineStr">
        <is>
          <t>SKÅNE LÄN</t>
        </is>
      </c>
      <c r="E2447" t="inlineStr">
        <is>
          <t>OSBY</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63681-2021</t>
        </is>
      </c>
      <c r="B2448" s="1" t="n">
        <v>44509</v>
      </c>
      <c r="C2448" s="1" t="n">
        <v>45190</v>
      </c>
      <c r="D2448" t="inlineStr">
        <is>
          <t>SKÅNE LÄN</t>
        </is>
      </c>
      <c r="E2448" t="inlineStr">
        <is>
          <t>BROMÖLLA</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63913-2021</t>
        </is>
      </c>
      <c r="B2449" s="1" t="n">
        <v>44509</v>
      </c>
      <c r="C2449" s="1" t="n">
        <v>45190</v>
      </c>
      <c r="D2449" t="inlineStr">
        <is>
          <t>SKÅNE LÄN</t>
        </is>
      </c>
      <c r="E2449" t="inlineStr">
        <is>
          <t>HÖRBY</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63767-2021</t>
        </is>
      </c>
      <c r="B2450" s="1" t="n">
        <v>44509</v>
      </c>
      <c r="C2450" s="1" t="n">
        <v>45190</v>
      </c>
      <c r="D2450" t="inlineStr">
        <is>
          <t>SKÅNE LÄN</t>
        </is>
      </c>
      <c r="E2450" t="inlineStr">
        <is>
          <t>HÄSSLEHOLM</t>
        </is>
      </c>
      <c r="F2450" t="inlineStr">
        <is>
          <t>Övriga Aktiebolag</t>
        </is>
      </c>
      <c r="G2450" t="n">
        <v>2.2</v>
      </c>
      <c r="H2450" t="n">
        <v>0</v>
      </c>
      <c r="I2450" t="n">
        <v>0</v>
      </c>
      <c r="J2450" t="n">
        <v>0</v>
      </c>
      <c r="K2450" t="n">
        <v>0</v>
      </c>
      <c r="L2450" t="n">
        <v>0</v>
      </c>
      <c r="M2450" t="n">
        <v>0</v>
      </c>
      <c r="N2450" t="n">
        <v>0</v>
      </c>
      <c r="O2450" t="n">
        <v>0</v>
      </c>
      <c r="P2450" t="n">
        <v>0</v>
      </c>
      <c r="Q2450" t="n">
        <v>0</v>
      </c>
      <c r="R2450" s="2" t="inlineStr"/>
    </row>
    <row r="2451" ht="15" customHeight="1">
      <c r="A2451" t="inlineStr">
        <is>
          <t>A 64128-2021</t>
        </is>
      </c>
      <c r="B2451" s="1" t="n">
        <v>44509</v>
      </c>
      <c r="C2451" s="1" t="n">
        <v>45190</v>
      </c>
      <c r="D2451" t="inlineStr">
        <is>
          <t>SKÅNE LÄN</t>
        </is>
      </c>
      <c r="E2451" t="inlineStr">
        <is>
          <t>HÖRBY</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64150-2021</t>
        </is>
      </c>
      <c r="B2452" s="1" t="n">
        <v>44510</v>
      </c>
      <c r="C2452" s="1" t="n">
        <v>45190</v>
      </c>
      <c r="D2452" t="inlineStr">
        <is>
          <t>SKÅNE LÄN</t>
        </is>
      </c>
      <c r="E2452" t="inlineStr">
        <is>
          <t>KRISTIANSTAD</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64141-2021</t>
        </is>
      </c>
      <c r="B2453" s="1" t="n">
        <v>44510</v>
      </c>
      <c r="C2453" s="1" t="n">
        <v>45190</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64607-2021</t>
        </is>
      </c>
      <c r="B2454" s="1" t="n">
        <v>44511</v>
      </c>
      <c r="C2454" s="1" t="n">
        <v>45190</v>
      </c>
      <c r="D2454" t="inlineStr">
        <is>
          <t>SKÅNE LÄN</t>
        </is>
      </c>
      <c r="E2454" t="inlineStr">
        <is>
          <t>HÄSSLEHOLM</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64469-2021</t>
        </is>
      </c>
      <c r="B2455" s="1" t="n">
        <v>44511</v>
      </c>
      <c r="C2455" s="1" t="n">
        <v>45190</v>
      </c>
      <c r="D2455" t="inlineStr">
        <is>
          <t>SKÅNE LÄN</t>
        </is>
      </c>
      <c r="E2455" t="inlineStr">
        <is>
          <t>OSBY</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65097-2021</t>
        </is>
      </c>
      <c r="B2456" s="1" t="n">
        <v>44513</v>
      </c>
      <c r="C2456" s="1" t="n">
        <v>45190</v>
      </c>
      <c r="D2456" t="inlineStr">
        <is>
          <t>SKÅNE LÄN</t>
        </is>
      </c>
      <c r="E2456" t="inlineStr">
        <is>
          <t>KRISTIANSTAD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65093-2021</t>
        </is>
      </c>
      <c r="B2457" s="1" t="n">
        <v>44513</v>
      </c>
      <c r="C2457" s="1" t="n">
        <v>45190</v>
      </c>
      <c r="D2457" t="inlineStr">
        <is>
          <t>SKÅNE LÄN</t>
        </is>
      </c>
      <c r="E2457" t="inlineStr">
        <is>
          <t>KRISTIANSTAD</t>
        </is>
      </c>
      <c r="G2457" t="n">
        <v>3.2</v>
      </c>
      <c r="H2457" t="n">
        <v>0</v>
      </c>
      <c r="I2457" t="n">
        <v>0</v>
      </c>
      <c r="J2457" t="n">
        <v>0</v>
      </c>
      <c r="K2457" t="n">
        <v>0</v>
      </c>
      <c r="L2457" t="n">
        <v>0</v>
      </c>
      <c r="M2457" t="n">
        <v>0</v>
      </c>
      <c r="N2457" t="n">
        <v>0</v>
      </c>
      <c r="O2457" t="n">
        <v>0</v>
      </c>
      <c r="P2457" t="n">
        <v>0</v>
      </c>
      <c r="Q2457" t="n">
        <v>0</v>
      </c>
      <c r="R2457" s="2" t="inlineStr"/>
    </row>
    <row r="2458" ht="15" customHeight="1">
      <c r="A2458" t="inlineStr">
        <is>
          <t>A 65203-2021</t>
        </is>
      </c>
      <c r="B2458" s="1" t="n">
        <v>44515</v>
      </c>
      <c r="C2458" s="1" t="n">
        <v>45190</v>
      </c>
      <c r="D2458" t="inlineStr">
        <is>
          <t>SKÅNE LÄN</t>
        </is>
      </c>
      <c r="E2458" t="inlineStr">
        <is>
          <t>HÖÖR</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65235-2021</t>
        </is>
      </c>
      <c r="B2459" s="1" t="n">
        <v>44515</v>
      </c>
      <c r="C2459" s="1" t="n">
        <v>45190</v>
      </c>
      <c r="D2459" t="inlineStr">
        <is>
          <t>SKÅNE LÄN</t>
        </is>
      </c>
      <c r="E2459" t="inlineStr">
        <is>
          <t>HÄSSLEHOLM</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65200-2021</t>
        </is>
      </c>
      <c r="B2460" s="1" t="n">
        <v>44515</v>
      </c>
      <c r="C2460" s="1" t="n">
        <v>45190</v>
      </c>
      <c r="D2460" t="inlineStr">
        <is>
          <t>SKÅNE LÄN</t>
        </is>
      </c>
      <c r="E2460" t="inlineStr">
        <is>
          <t>HÖÖR</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65640-2021</t>
        </is>
      </c>
      <c r="B2461" s="1" t="n">
        <v>44516</v>
      </c>
      <c r="C2461" s="1" t="n">
        <v>45190</v>
      </c>
      <c r="D2461" t="inlineStr">
        <is>
          <t>SKÅNE LÄN</t>
        </is>
      </c>
      <c r="E2461" t="inlineStr">
        <is>
          <t>TRELLEBORG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65469-2021</t>
        </is>
      </c>
      <c r="B2462" s="1" t="n">
        <v>44516</v>
      </c>
      <c r="C2462" s="1" t="n">
        <v>45190</v>
      </c>
      <c r="D2462" t="inlineStr">
        <is>
          <t>SKÅNE LÄN</t>
        </is>
      </c>
      <c r="E2462" t="inlineStr">
        <is>
          <t>ÖRKELLJUNGA</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65642-2021</t>
        </is>
      </c>
      <c r="B2463" s="1" t="n">
        <v>44516</v>
      </c>
      <c r="C2463" s="1" t="n">
        <v>45190</v>
      </c>
      <c r="D2463" t="inlineStr">
        <is>
          <t>SKÅNE LÄN</t>
        </is>
      </c>
      <c r="E2463" t="inlineStr">
        <is>
          <t>TRELLEBORG</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65644-2021</t>
        </is>
      </c>
      <c r="B2464" s="1" t="n">
        <v>44516</v>
      </c>
      <c r="C2464" s="1" t="n">
        <v>45190</v>
      </c>
      <c r="D2464" t="inlineStr">
        <is>
          <t>SKÅNE LÄN</t>
        </is>
      </c>
      <c r="E2464" t="inlineStr">
        <is>
          <t>OSBY</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65675-2021</t>
        </is>
      </c>
      <c r="B2465" s="1" t="n">
        <v>44516</v>
      </c>
      <c r="C2465" s="1" t="n">
        <v>45190</v>
      </c>
      <c r="D2465" t="inlineStr">
        <is>
          <t>SKÅNE LÄN</t>
        </is>
      </c>
      <c r="E2465" t="inlineStr">
        <is>
          <t>TRELLEBORG</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66321-2021</t>
        </is>
      </c>
      <c r="B2466" s="1" t="n">
        <v>44518</v>
      </c>
      <c r="C2466" s="1" t="n">
        <v>45190</v>
      </c>
      <c r="D2466" t="inlineStr">
        <is>
          <t>SKÅNE LÄN</t>
        </is>
      </c>
      <c r="E2466" t="inlineStr">
        <is>
          <t>HÄSSLEHOLM</t>
        </is>
      </c>
      <c r="G2466" t="n">
        <v>9.300000000000001</v>
      </c>
      <c r="H2466" t="n">
        <v>0</v>
      </c>
      <c r="I2466" t="n">
        <v>0</v>
      </c>
      <c r="J2466" t="n">
        <v>0</v>
      </c>
      <c r="K2466" t="n">
        <v>0</v>
      </c>
      <c r="L2466" t="n">
        <v>0</v>
      </c>
      <c r="M2466" t="n">
        <v>0</v>
      </c>
      <c r="N2466" t="n">
        <v>0</v>
      </c>
      <c r="O2466" t="n">
        <v>0</v>
      </c>
      <c r="P2466" t="n">
        <v>0</v>
      </c>
      <c r="Q2466" t="n">
        <v>0</v>
      </c>
      <c r="R2466" s="2" t="inlineStr"/>
    </row>
    <row r="2467" ht="15" customHeight="1">
      <c r="A2467" t="inlineStr">
        <is>
          <t>A 66413-2021</t>
        </is>
      </c>
      <c r="B2467" s="1" t="n">
        <v>44518</v>
      </c>
      <c r="C2467" s="1" t="n">
        <v>45190</v>
      </c>
      <c r="D2467" t="inlineStr">
        <is>
          <t>SKÅNE LÄN</t>
        </is>
      </c>
      <c r="E2467" t="inlineStr">
        <is>
          <t>HÄSSLEHOLM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66518-2021</t>
        </is>
      </c>
      <c r="B2468" s="1" t="n">
        <v>44519</v>
      </c>
      <c r="C2468" s="1" t="n">
        <v>45190</v>
      </c>
      <c r="D2468" t="inlineStr">
        <is>
          <t>SKÅNE LÄN</t>
        </is>
      </c>
      <c r="E2468" t="inlineStr">
        <is>
          <t>HÄSSLEHOLM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67024-2021</t>
        </is>
      </c>
      <c r="B2469" s="1" t="n">
        <v>44522</v>
      </c>
      <c r="C2469" s="1" t="n">
        <v>45190</v>
      </c>
      <c r="D2469" t="inlineStr">
        <is>
          <t>SKÅNE LÄN</t>
        </is>
      </c>
      <c r="E2469" t="inlineStr">
        <is>
          <t>KRISTIANSTAD</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66803-2021</t>
        </is>
      </c>
      <c r="B2470" s="1" t="n">
        <v>44522</v>
      </c>
      <c r="C2470" s="1" t="n">
        <v>45190</v>
      </c>
      <c r="D2470" t="inlineStr">
        <is>
          <t>SKÅNE LÄN</t>
        </is>
      </c>
      <c r="E2470" t="inlineStr">
        <is>
          <t>PERSTORP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67426-2021</t>
        </is>
      </c>
      <c r="B2471" s="1" t="n">
        <v>44523</v>
      </c>
      <c r="C2471" s="1" t="n">
        <v>45190</v>
      </c>
      <c r="D2471" t="inlineStr">
        <is>
          <t>SKÅNE LÄN</t>
        </is>
      </c>
      <c r="E2471" t="inlineStr">
        <is>
          <t>HÖRBY</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67150-2021</t>
        </is>
      </c>
      <c r="B2472" s="1" t="n">
        <v>44523</v>
      </c>
      <c r="C2472" s="1" t="n">
        <v>45190</v>
      </c>
      <c r="D2472" t="inlineStr">
        <is>
          <t>SKÅNE LÄN</t>
        </is>
      </c>
      <c r="E2472" t="inlineStr">
        <is>
          <t>HÄSSLEHOLM</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67517-2021</t>
        </is>
      </c>
      <c r="B2473" s="1" t="n">
        <v>44524</v>
      </c>
      <c r="C2473" s="1" t="n">
        <v>45190</v>
      </c>
      <c r="D2473" t="inlineStr">
        <is>
          <t>SKÅNE LÄN</t>
        </is>
      </c>
      <c r="E2473" t="inlineStr">
        <is>
          <t>HÄSSLEHOLM</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67456-2021</t>
        </is>
      </c>
      <c r="B2474" s="1" t="n">
        <v>44524</v>
      </c>
      <c r="C2474" s="1" t="n">
        <v>45190</v>
      </c>
      <c r="D2474" t="inlineStr">
        <is>
          <t>SKÅNE LÄN</t>
        </is>
      </c>
      <c r="E2474" t="inlineStr">
        <is>
          <t>SVEDALA</t>
        </is>
      </c>
      <c r="G2474" t="n">
        <v>8.1</v>
      </c>
      <c r="H2474" t="n">
        <v>0</v>
      </c>
      <c r="I2474" t="n">
        <v>0</v>
      </c>
      <c r="J2474" t="n">
        <v>0</v>
      </c>
      <c r="K2474" t="n">
        <v>0</v>
      </c>
      <c r="L2474" t="n">
        <v>0</v>
      </c>
      <c r="M2474" t="n">
        <v>0</v>
      </c>
      <c r="N2474" t="n">
        <v>0</v>
      </c>
      <c r="O2474" t="n">
        <v>0</v>
      </c>
      <c r="P2474" t="n">
        <v>0</v>
      </c>
      <c r="Q2474" t="n">
        <v>0</v>
      </c>
      <c r="R2474" s="2" t="inlineStr"/>
    </row>
    <row r="2475" ht="15" customHeight="1">
      <c r="A2475" t="inlineStr">
        <is>
          <t>A 67801-2021</t>
        </is>
      </c>
      <c r="B2475" s="1" t="n">
        <v>44525</v>
      </c>
      <c r="C2475" s="1" t="n">
        <v>45190</v>
      </c>
      <c r="D2475" t="inlineStr">
        <is>
          <t>SKÅNE LÄN</t>
        </is>
      </c>
      <c r="E2475" t="inlineStr">
        <is>
          <t>HÄSSLEHOLM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68005-2021</t>
        </is>
      </c>
      <c r="B2476" s="1" t="n">
        <v>44525</v>
      </c>
      <c r="C2476" s="1" t="n">
        <v>45190</v>
      </c>
      <c r="D2476" t="inlineStr">
        <is>
          <t>SKÅNE LÄN</t>
        </is>
      </c>
      <c r="E2476" t="inlineStr">
        <is>
          <t>LUND</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68007-2021</t>
        </is>
      </c>
      <c r="B2477" s="1" t="n">
        <v>44525</v>
      </c>
      <c r="C2477" s="1" t="n">
        <v>45190</v>
      </c>
      <c r="D2477" t="inlineStr">
        <is>
          <t>SKÅNE LÄN</t>
        </is>
      </c>
      <c r="E2477" t="inlineStr">
        <is>
          <t>SJÖBO</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68408-2021</t>
        </is>
      </c>
      <c r="B2478" s="1" t="n">
        <v>44526</v>
      </c>
      <c r="C2478" s="1" t="n">
        <v>45190</v>
      </c>
      <c r="D2478" t="inlineStr">
        <is>
          <t>SKÅNE LÄN</t>
        </is>
      </c>
      <c r="E2478" t="inlineStr">
        <is>
          <t>HÄSSLEHOLM</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69041-2021</t>
        </is>
      </c>
      <c r="B2479" s="1" t="n">
        <v>44529</v>
      </c>
      <c r="C2479" s="1" t="n">
        <v>45190</v>
      </c>
      <c r="D2479" t="inlineStr">
        <is>
          <t>SKÅNE LÄN</t>
        </is>
      </c>
      <c r="E2479" t="inlineStr">
        <is>
          <t>KLIPPAN</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68856-2021</t>
        </is>
      </c>
      <c r="B2480" s="1" t="n">
        <v>44530</v>
      </c>
      <c r="C2480" s="1" t="n">
        <v>45190</v>
      </c>
      <c r="D2480" t="inlineStr">
        <is>
          <t>SKÅNE LÄN</t>
        </is>
      </c>
      <c r="E2480" t="inlineStr">
        <is>
          <t>KLIPPAN</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69387-2021</t>
        </is>
      </c>
      <c r="B2481" s="1" t="n">
        <v>44531</v>
      </c>
      <c r="C2481" s="1" t="n">
        <v>45190</v>
      </c>
      <c r="D2481" t="inlineStr">
        <is>
          <t>SKÅNE LÄN</t>
        </is>
      </c>
      <c r="E2481" t="inlineStr">
        <is>
          <t>ÖSTRA GÖINGE</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69394-2021</t>
        </is>
      </c>
      <c r="B2482" s="1" t="n">
        <v>44531</v>
      </c>
      <c r="C2482" s="1" t="n">
        <v>45190</v>
      </c>
      <c r="D2482" t="inlineStr">
        <is>
          <t>SKÅNE LÄN</t>
        </is>
      </c>
      <c r="E2482" t="inlineStr">
        <is>
          <t>KLIPPAN</t>
        </is>
      </c>
      <c r="F2482" t="inlineStr">
        <is>
          <t>Övriga Aktiebolag</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69376-2021</t>
        </is>
      </c>
      <c r="B2483" s="1" t="n">
        <v>44531</v>
      </c>
      <c r="C2483" s="1" t="n">
        <v>45190</v>
      </c>
      <c r="D2483" t="inlineStr">
        <is>
          <t>SKÅNE LÄN</t>
        </is>
      </c>
      <c r="E2483" t="inlineStr">
        <is>
          <t>ÖSTRA GÖINGE</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69384-2021</t>
        </is>
      </c>
      <c r="B2484" s="1" t="n">
        <v>44531</v>
      </c>
      <c r="C2484" s="1" t="n">
        <v>45190</v>
      </c>
      <c r="D2484" t="inlineStr">
        <is>
          <t>SKÅNE LÄN</t>
        </is>
      </c>
      <c r="E2484" t="inlineStr">
        <is>
          <t>ÖSTRA GÖINGE</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69393-2021</t>
        </is>
      </c>
      <c r="B2485" s="1" t="n">
        <v>44531</v>
      </c>
      <c r="C2485" s="1" t="n">
        <v>45190</v>
      </c>
      <c r="D2485" t="inlineStr">
        <is>
          <t>SKÅNE LÄN</t>
        </is>
      </c>
      <c r="E2485" t="inlineStr">
        <is>
          <t>ÖSTRA GÖINGE</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69357-2021</t>
        </is>
      </c>
      <c r="B2486" s="1" t="n">
        <v>44531</v>
      </c>
      <c r="C2486" s="1" t="n">
        <v>45190</v>
      </c>
      <c r="D2486" t="inlineStr">
        <is>
          <t>SKÅNE LÄN</t>
        </is>
      </c>
      <c r="E2486" t="inlineStr">
        <is>
          <t>HÄSSLEHOLM</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69390-2021</t>
        </is>
      </c>
      <c r="B2487" s="1" t="n">
        <v>44531</v>
      </c>
      <c r="C2487" s="1" t="n">
        <v>45190</v>
      </c>
      <c r="D2487" t="inlineStr">
        <is>
          <t>SKÅNE LÄN</t>
        </is>
      </c>
      <c r="E2487" t="inlineStr">
        <is>
          <t>ÖSTRA GÖINGE</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69419-2021</t>
        </is>
      </c>
      <c r="B2488" s="1" t="n">
        <v>44531</v>
      </c>
      <c r="C2488" s="1" t="n">
        <v>45190</v>
      </c>
      <c r="D2488" t="inlineStr">
        <is>
          <t>SKÅNE LÄN</t>
        </is>
      </c>
      <c r="E2488" t="inlineStr">
        <is>
          <t>HÄSSLEHOLM</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69375-2021</t>
        </is>
      </c>
      <c r="B2489" s="1" t="n">
        <v>44531</v>
      </c>
      <c r="C2489" s="1" t="n">
        <v>45190</v>
      </c>
      <c r="D2489" t="inlineStr">
        <is>
          <t>SKÅNE LÄN</t>
        </is>
      </c>
      <c r="E2489" t="inlineStr">
        <is>
          <t>ÖSTRA GÖINGE</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69383-2021</t>
        </is>
      </c>
      <c r="B2490" s="1" t="n">
        <v>44531</v>
      </c>
      <c r="C2490" s="1" t="n">
        <v>45190</v>
      </c>
      <c r="D2490" t="inlineStr">
        <is>
          <t>SKÅNE LÄN</t>
        </is>
      </c>
      <c r="E2490" t="inlineStr">
        <is>
          <t>ÖSTRA GÖINGE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69392-2021</t>
        </is>
      </c>
      <c r="B2491" s="1" t="n">
        <v>44531</v>
      </c>
      <c r="C2491" s="1" t="n">
        <v>45190</v>
      </c>
      <c r="D2491" t="inlineStr">
        <is>
          <t>SKÅNE LÄN</t>
        </is>
      </c>
      <c r="E2491" t="inlineStr">
        <is>
          <t>KLIPPAN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70087-2021</t>
        </is>
      </c>
      <c r="B2492" s="1" t="n">
        <v>44533</v>
      </c>
      <c r="C2492" s="1" t="n">
        <v>45190</v>
      </c>
      <c r="D2492" t="inlineStr">
        <is>
          <t>SKÅNE LÄN</t>
        </is>
      </c>
      <c r="E2492" t="inlineStr">
        <is>
          <t>HÄSSLEHOLM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69993-2021</t>
        </is>
      </c>
      <c r="B2493" s="1" t="n">
        <v>44533</v>
      </c>
      <c r="C2493" s="1" t="n">
        <v>45190</v>
      </c>
      <c r="D2493" t="inlineStr">
        <is>
          <t>SKÅNE LÄN</t>
        </is>
      </c>
      <c r="E2493" t="inlineStr">
        <is>
          <t>KRISTIANSTAD</t>
        </is>
      </c>
      <c r="G2493" t="n">
        <v>6</v>
      </c>
      <c r="H2493" t="n">
        <v>0</v>
      </c>
      <c r="I2493" t="n">
        <v>0</v>
      </c>
      <c r="J2493" t="n">
        <v>0</v>
      </c>
      <c r="K2493" t="n">
        <v>0</v>
      </c>
      <c r="L2493" t="n">
        <v>0</v>
      </c>
      <c r="M2493" t="n">
        <v>0</v>
      </c>
      <c r="N2493" t="n">
        <v>0</v>
      </c>
      <c r="O2493" t="n">
        <v>0</v>
      </c>
      <c r="P2493" t="n">
        <v>0</v>
      </c>
      <c r="Q2493" t="n">
        <v>0</v>
      </c>
      <c r="R2493" s="2" t="inlineStr"/>
    </row>
    <row r="2494" ht="15" customHeight="1">
      <c r="A2494" t="inlineStr">
        <is>
          <t>A 70163-2021</t>
        </is>
      </c>
      <c r="B2494" s="1" t="n">
        <v>44533</v>
      </c>
      <c r="C2494" s="1" t="n">
        <v>45190</v>
      </c>
      <c r="D2494" t="inlineStr">
        <is>
          <t>SKÅNE LÄN</t>
        </is>
      </c>
      <c r="E2494" t="inlineStr">
        <is>
          <t>KLIPPAN</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70357-2021</t>
        </is>
      </c>
      <c r="B2495" s="1" t="n">
        <v>44536</v>
      </c>
      <c r="C2495" s="1" t="n">
        <v>45190</v>
      </c>
      <c r="D2495" t="inlineStr">
        <is>
          <t>SKÅNE LÄN</t>
        </is>
      </c>
      <c r="E2495" t="inlineStr">
        <is>
          <t>KRISTIANSTAD</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70705-2021</t>
        </is>
      </c>
      <c r="B2496" s="1" t="n">
        <v>44537</v>
      </c>
      <c r="C2496" s="1" t="n">
        <v>45190</v>
      </c>
      <c r="D2496" t="inlineStr">
        <is>
          <t>SKÅNE LÄN</t>
        </is>
      </c>
      <c r="E2496" t="inlineStr">
        <is>
          <t>KRISTIANSTAD</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70933-2021</t>
        </is>
      </c>
      <c r="B2497" s="1" t="n">
        <v>44538</v>
      </c>
      <c r="C2497" s="1" t="n">
        <v>45190</v>
      </c>
      <c r="D2497" t="inlineStr">
        <is>
          <t>SKÅNE LÄN</t>
        </is>
      </c>
      <c r="E2497" t="inlineStr">
        <is>
          <t>SJÖBO</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70984-2021</t>
        </is>
      </c>
      <c r="B2498" s="1" t="n">
        <v>44538</v>
      </c>
      <c r="C2498" s="1" t="n">
        <v>45190</v>
      </c>
      <c r="D2498" t="inlineStr">
        <is>
          <t>SKÅNE LÄN</t>
        </is>
      </c>
      <c r="E2498" t="inlineStr">
        <is>
          <t>HÖÖR</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70982-2021</t>
        </is>
      </c>
      <c r="B2499" s="1" t="n">
        <v>44538</v>
      </c>
      <c r="C2499" s="1" t="n">
        <v>45190</v>
      </c>
      <c r="D2499" t="inlineStr">
        <is>
          <t>SKÅNE LÄN</t>
        </is>
      </c>
      <c r="E2499" t="inlineStr">
        <is>
          <t>HÖÖR</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71055-2021</t>
        </is>
      </c>
      <c r="B2500" s="1" t="n">
        <v>44538</v>
      </c>
      <c r="C2500" s="1" t="n">
        <v>45190</v>
      </c>
      <c r="D2500" t="inlineStr">
        <is>
          <t>SKÅNE LÄN</t>
        </is>
      </c>
      <c r="E2500" t="inlineStr">
        <is>
          <t>SJÖBO</t>
        </is>
      </c>
      <c r="G2500" t="n">
        <v>7.2</v>
      </c>
      <c r="H2500" t="n">
        <v>0</v>
      </c>
      <c r="I2500" t="n">
        <v>0</v>
      </c>
      <c r="J2500" t="n">
        <v>0</v>
      </c>
      <c r="K2500" t="n">
        <v>0</v>
      </c>
      <c r="L2500" t="n">
        <v>0</v>
      </c>
      <c r="M2500" t="n">
        <v>0</v>
      </c>
      <c r="N2500" t="n">
        <v>0</v>
      </c>
      <c r="O2500" t="n">
        <v>0</v>
      </c>
      <c r="P2500" t="n">
        <v>0</v>
      </c>
      <c r="Q2500" t="n">
        <v>0</v>
      </c>
      <c r="R2500" s="2" t="inlineStr"/>
    </row>
    <row r="2501" ht="15" customHeight="1">
      <c r="A2501" t="inlineStr">
        <is>
          <t>A 71741-2021</t>
        </is>
      </c>
      <c r="B2501" s="1" t="n">
        <v>44539</v>
      </c>
      <c r="C2501" s="1" t="n">
        <v>45190</v>
      </c>
      <c r="D2501" t="inlineStr">
        <is>
          <t>SKÅNE LÄN</t>
        </is>
      </c>
      <c r="E2501" t="inlineStr">
        <is>
          <t>ÖSTRA GÖINGE</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71747-2021</t>
        </is>
      </c>
      <c r="B2502" s="1" t="n">
        <v>44539</v>
      </c>
      <c r="C2502" s="1" t="n">
        <v>45190</v>
      </c>
      <c r="D2502" t="inlineStr">
        <is>
          <t>SKÅNE LÄN</t>
        </is>
      </c>
      <c r="E2502" t="inlineStr">
        <is>
          <t>ÖSTRA GÖINGE</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71383-2021</t>
        </is>
      </c>
      <c r="B2503" s="1" t="n">
        <v>44540</v>
      </c>
      <c r="C2503" s="1" t="n">
        <v>45190</v>
      </c>
      <c r="D2503" t="inlineStr">
        <is>
          <t>SKÅNE LÄN</t>
        </is>
      </c>
      <c r="E2503" t="inlineStr">
        <is>
          <t>KRISTIANSTAD</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72707-2021</t>
        </is>
      </c>
      <c r="B2504" s="1" t="n">
        <v>44546</v>
      </c>
      <c r="C2504" s="1" t="n">
        <v>45190</v>
      </c>
      <c r="D2504" t="inlineStr">
        <is>
          <t>SKÅNE LÄN</t>
        </is>
      </c>
      <c r="E2504" t="inlineStr">
        <is>
          <t>ÖRKELLJUNGA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73544-2021</t>
        </is>
      </c>
      <c r="B2505" s="1" t="n">
        <v>44551</v>
      </c>
      <c r="C2505" s="1" t="n">
        <v>45190</v>
      </c>
      <c r="D2505" t="inlineStr">
        <is>
          <t>SKÅNE LÄN</t>
        </is>
      </c>
      <c r="E2505" t="inlineStr">
        <is>
          <t>HÖÖR</t>
        </is>
      </c>
      <c r="F2505" t="inlineStr">
        <is>
          <t>Övriga statliga verk och myndigheter</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73920-2021</t>
        </is>
      </c>
      <c r="B2506" s="1" t="n">
        <v>44553</v>
      </c>
      <c r="C2506" s="1" t="n">
        <v>45190</v>
      </c>
      <c r="D2506" t="inlineStr">
        <is>
          <t>SKÅNE LÄN</t>
        </is>
      </c>
      <c r="E2506" t="inlineStr">
        <is>
          <t>OSBY</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74008-2021</t>
        </is>
      </c>
      <c r="B2507" s="1" t="n">
        <v>44553</v>
      </c>
      <c r="C2507" s="1" t="n">
        <v>45190</v>
      </c>
      <c r="D2507" t="inlineStr">
        <is>
          <t>SKÅNE LÄN</t>
        </is>
      </c>
      <c r="E2507" t="inlineStr">
        <is>
          <t>ESLÖV</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73927-2021</t>
        </is>
      </c>
      <c r="B2508" s="1" t="n">
        <v>44553</v>
      </c>
      <c r="C2508" s="1" t="n">
        <v>45190</v>
      </c>
      <c r="D2508" t="inlineStr">
        <is>
          <t>SKÅNE LÄN</t>
        </is>
      </c>
      <c r="E2508" t="inlineStr">
        <is>
          <t>OSBY</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74030-2021</t>
        </is>
      </c>
      <c r="B2509" s="1" t="n">
        <v>44553</v>
      </c>
      <c r="C2509" s="1" t="n">
        <v>45190</v>
      </c>
      <c r="D2509" t="inlineStr">
        <is>
          <t>SKÅNE LÄN</t>
        </is>
      </c>
      <c r="E2509" t="inlineStr">
        <is>
          <t>HÄSSLEHOLM</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74214-2021</t>
        </is>
      </c>
      <c r="B2510" s="1" t="n">
        <v>44553</v>
      </c>
      <c r="C2510" s="1" t="n">
        <v>45190</v>
      </c>
      <c r="D2510" t="inlineStr">
        <is>
          <t>SKÅNE LÄN</t>
        </is>
      </c>
      <c r="E2510" t="inlineStr">
        <is>
          <t>ÄNGELHOLM</t>
        </is>
      </c>
      <c r="G2510" t="n">
        <v>19.8</v>
      </c>
      <c r="H2510" t="n">
        <v>0</v>
      </c>
      <c r="I2510" t="n">
        <v>0</v>
      </c>
      <c r="J2510" t="n">
        <v>0</v>
      </c>
      <c r="K2510" t="n">
        <v>0</v>
      </c>
      <c r="L2510" t="n">
        <v>0</v>
      </c>
      <c r="M2510" t="n">
        <v>0</v>
      </c>
      <c r="N2510" t="n">
        <v>0</v>
      </c>
      <c r="O2510" t="n">
        <v>0</v>
      </c>
      <c r="P2510" t="n">
        <v>0</v>
      </c>
      <c r="Q2510" t="n">
        <v>0</v>
      </c>
      <c r="R2510" s="2" t="inlineStr"/>
    </row>
    <row r="2511" ht="15" customHeight="1">
      <c r="A2511" t="inlineStr">
        <is>
          <t>A 74112-2021</t>
        </is>
      </c>
      <c r="B2511" s="1" t="n">
        <v>44557</v>
      </c>
      <c r="C2511" s="1" t="n">
        <v>45190</v>
      </c>
      <c r="D2511" t="inlineStr">
        <is>
          <t>SKÅNE LÄN</t>
        </is>
      </c>
      <c r="E2511" t="inlineStr">
        <is>
          <t>ÖSTRA GÖINGE</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74016-2021</t>
        </is>
      </c>
      <c r="B2512" s="1" t="n">
        <v>44557</v>
      </c>
      <c r="C2512" s="1" t="n">
        <v>45190</v>
      </c>
      <c r="D2512" t="inlineStr">
        <is>
          <t>SKÅNE LÄN</t>
        </is>
      </c>
      <c r="E2512" t="inlineStr">
        <is>
          <t>OSBY</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74293-2021</t>
        </is>
      </c>
      <c r="B2513" s="1" t="n">
        <v>44558</v>
      </c>
      <c r="C2513" s="1" t="n">
        <v>45190</v>
      </c>
      <c r="D2513" t="inlineStr">
        <is>
          <t>SKÅNE LÄN</t>
        </is>
      </c>
      <c r="E2513" t="inlineStr">
        <is>
          <t>HÄSSLEHOLM</t>
        </is>
      </c>
      <c r="F2513" t="inlineStr">
        <is>
          <t>Kyrkan</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74297-2021</t>
        </is>
      </c>
      <c r="B2514" s="1" t="n">
        <v>44558</v>
      </c>
      <c r="C2514" s="1" t="n">
        <v>45190</v>
      </c>
      <c r="D2514" t="inlineStr">
        <is>
          <t>SKÅNE LÄN</t>
        </is>
      </c>
      <c r="E2514" t="inlineStr">
        <is>
          <t>HÄSSLEHOLM</t>
        </is>
      </c>
      <c r="F2514" t="inlineStr">
        <is>
          <t>Kyrkan</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74289-2021</t>
        </is>
      </c>
      <c r="B2515" s="1" t="n">
        <v>44558</v>
      </c>
      <c r="C2515" s="1" t="n">
        <v>45190</v>
      </c>
      <c r="D2515" t="inlineStr">
        <is>
          <t>SKÅNE LÄN</t>
        </is>
      </c>
      <c r="E2515" t="inlineStr">
        <is>
          <t>KRISTIANSTAD</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74299-2021</t>
        </is>
      </c>
      <c r="B2516" s="1" t="n">
        <v>44558</v>
      </c>
      <c r="C2516" s="1" t="n">
        <v>45190</v>
      </c>
      <c r="D2516" t="inlineStr">
        <is>
          <t>SKÅNE LÄN</t>
        </is>
      </c>
      <c r="E2516" t="inlineStr">
        <is>
          <t>KRISTIANSTAD</t>
        </is>
      </c>
      <c r="G2516" t="n">
        <v>10.7</v>
      </c>
      <c r="H2516" t="n">
        <v>0</v>
      </c>
      <c r="I2516" t="n">
        <v>0</v>
      </c>
      <c r="J2516" t="n">
        <v>0</v>
      </c>
      <c r="K2516" t="n">
        <v>0</v>
      </c>
      <c r="L2516" t="n">
        <v>0</v>
      </c>
      <c r="M2516" t="n">
        <v>0</v>
      </c>
      <c r="N2516" t="n">
        <v>0</v>
      </c>
      <c r="O2516" t="n">
        <v>0</v>
      </c>
      <c r="P2516" t="n">
        <v>0</v>
      </c>
      <c r="Q2516" t="n">
        <v>0</v>
      </c>
      <c r="R2516" s="2" t="inlineStr"/>
    </row>
    <row r="2517" ht="15" customHeight="1">
      <c r="A2517" t="inlineStr">
        <is>
          <t>A 74294-2021</t>
        </is>
      </c>
      <c r="B2517" s="1" t="n">
        <v>44558</v>
      </c>
      <c r="C2517" s="1" t="n">
        <v>45190</v>
      </c>
      <c r="D2517" t="inlineStr">
        <is>
          <t>SKÅNE LÄN</t>
        </is>
      </c>
      <c r="E2517" t="inlineStr">
        <is>
          <t>HÄSSLEHOLM</t>
        </is>
      </c>
      <c r="F2517" t="inlineStr">
        <is>
          <t>Kyrkan</t>
        </is>
      </c>
      <c r="G2517" t="n">
        <v>16.2</v>
      </c>
      <c r="H2517" t="n">
        <v>0</v>
      </c>
      <c r="I2517" t="n">
        <v>0</v>
      </c>
      <c r="J2517" t="n">
        <v>0</v>
      </c>
      <c r="K2517" t="n">
        <v>0</v>
      </c>
      <c r="L2517" t="n">
        <v>0</v>
      </c>
      <c r="M2517" t="n">
        <v>0</v>
      </c>
      <c r="N2517" t="n">
        <v>0</v>
      </c>
      <c r="O2517" t="n">
        <v>0</v>
      </c>
      <c r="P2517" t="n">
        <v>0</v>
      </c>
      <c r="Q2517" t="n">
        <v>0</v>
      </c>
      <c r="R2517" s="2" t="inlineStr"/>
    </row>
    <row r="2518" ht="15" customHeight="1">
      <c r="A2518" t="inlineStr">
        <is>
          <t>A 74408-2021</t>
        </is>
      </c>
      <c r="B2518" s="1" t="n">
        <v>44560</v>
      </c>
      <c r="C2518" s="1" t="n">
        <v>45190</v>
      </c>
      <c r="D2518" t="inlineStr">
        <is>
          <t>SKÅNE LÄN</t>
        </is>
      </c>
      <c r="E2518" t="inlineStr">
        <is>
          <t>TOMELILLA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74507-2021</t>
        </is>
      </c>
      <c r="B2519" s="1" t="n">
        <v>44560</v>
      </c>
      <c r="C2519" s="1" t="n">
        <v>45190</v>
      </c>
      <c r="D2519" t="inlineStr">
        <is>
          <t>SKÅNE LÄN</t>
        </is>
      </c>
      <c r="E2519" t="inlineStr">
        <is>
          <t>KRISTIANSTAD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74418-2021</t>
        </is>
      </c>
      <c r="B2520" s="1" t="n">
        <v>44560</v>
      </c>
      <c r="C2520" s="1" t="n">
        <v>45190</v>
      </c>
      <c r="D2520" t="inlineStr">
        <is>
          <t>SKÅNE LÄN</t>
        </is>
      </c>
      <c r="E2520" t="inlineStr">
        <is>
          <t>SJÖBO</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74453-2021</t>
        </is>
      </c>
      <c r="B2521" s="1" t="n">
        <v>44560</v>
      </c>
      <c r="C2521" s="1" t="n">
        <v>45190</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219-2022</t>
        </is>
      </c>
      <c r="B2522" s="1" t="n">
        <v>44564</v>
      </c>
      <c r="C2522" s="1" t="n">
        <v>45190</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220-2022</t>
        </is>
      </c>
      <c r="B2523" s="1" t="n">
        <v>44564</v>
      </c>
      <c r="C2523" s="1" t="n">
        <v>45190</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1310-2022</t>
        </is>
      </c>
      <c r="B2524" s="1" t="n">
        <v>44572</v>
      </c>
      <c r="C2524" s="1" t="n">
        <v>45190</v>
      </c>
      <c r="D2524" t="inlineStr">
        <is>
          <t>SKÅNE LÄN</t>
        </is>
      </c>
      <c r="E2524" t="inlineStr">
        <is>
          <t>OSBY</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1351-2022</t>
        </is>
      </c>
      <c r="B2525" s="1" t="n">
        <v>44572</v>
      </c>
      <c r="C2525" s="1" t="n">
        <v>45190</v>
      </c>
      <c r="D2525" t="inlineStr">
        <is>
          <t>SKÅNE LÄN</t>
        </is>
      </c>
      <c r="E2525" t="inlineStr">
        <is>
          <t>KRISTIANSTAD</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1210-2022</t>
        </is>
      </c>
      <c r="B2526" s="1" t="n">
        <v>44572</v>
      </c>
      <c r="C2526" s="1" t="n">
        <v>45190</v>
      </c>
      <c r="D2526" t="inlineStr">
        <is>
          <t>SKÅNE LÄN</t>
        </is>
      </c>
      <c r="E2526" t="inlineStr">
        <is>
          <t>HÄSSLEHOLM</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1228-2022</t>
        </is>
      </c>
      <c r="B2527" s="1" t="n">
        <v>44572</v>
      </c>
      <c r="C2527" s="1" t="n">
        <v>45190</v>
      </c>
      <c r="D2527" t="inlineStr">
        <is>
          <t>SKÅNE LÄN</t>
        </is>
      </c>
      <c r="E2527" t="inlineStr">
        <is>
          <t>KRISTIANSTAD</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1218-2022</t>
        </is>
      </c>
      <c r="B2528" s="1" t="n">
        <v>44572</v>
      </c>
      <c r="C2528" s="1" t="n">
        <v>45190</v>
      </c>
      <c r="D2528" t="inlineStr">
        <is>
          <t>SKÅNE LÄN</t>
        </is>
      </c>
      <c r="E2528" t="inlineStr">
        <is>
          <t>KRISTIANSTAD</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1226-2022</t>
        </is>
      </c>
      <c r="B2529" s="1" t="n">
        <v>44572</v>
      </c>
      <c r="C2529" s="1" t="n">
        <v>45190</v>
      </c>
      <c r="D2529" t="inlineStr">
        <is>
          <t>SKÅNE LÄN</t>
        </is>
      </c>
      <c r="E2529" t="inlineStr">
        <is>
          <t>KLIPPAN</t>
        </is>
      </c>
      <c r="F2529" t="inlineStr">
        <is>
          <t>Övriga Aktiebolag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1524-2022</t>
        </is>
      </c>
      <c r="B2530" s="1" t="n">
        <v>44573</v>
      </c>
      <c r="C2530" s="1" t="n">
        <v>45190</v>
      </c>
      <c r="D2530" t="inlineStr">
        <is>
          <t>SKÅNE LÄN</t>
        </is>
      </c>
      <c r="E2530" t="inlineStr">
        <is>
          <t>BÅSTAD</t>
        </is>
      </c>
      <c r="G2530" t="n">
        <v>4.3</v>
      </c>
      <c r="H2530" t="n">
        <v>0</v>
      </c>
      <c r="I2530" t="n">
        <v>0</v>
      </c>
      <c r="J2530" t="n">
        <v>0</v>
      </c>
      <c r="K2530" t="n">
        <v>0</v>
      </c>
      <c r="L2530" t="n">
        <v>0</v>
      </c>
      <c r="M2530" t="n">
        <v>0</v>
      </c>
      <c r="N2530" t="n">
        <v>0</v>
      </c>
      <c r="O2530" t="n">
        <v>0</v>
      </c>
      <c r="P2530" t="n">
        <v>0</v>
      </c>
      <c r="Q2530" t="n">
        <v>0</v>
      </c>
      <c r="R2530" s="2" t="inlineStr"/>
    </row>
    <row r="2531" ht="15" customHeight="1">
      <c r="A2531" t="inlineStr">
        <is>
          <t>A 1535-2022</t>
        </is>
      </c>
      <c r="B2531" s="1" t="n">
        <v>44573</v>
      </c>
      <c r="C2531" s="1" t="n">
        <v>45190</v>
      </c>
      <c r="D2531" t="inlineStr">
        <is>
          <t>SKÅNE LÄN</t>
        </is>
      </c>
      <c r="E2531" t="inlineStr">
        <is>
          <t>HÄSSLEHOLM</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1468-2022</t>
        </is>
      </c>
      <c r="B2532" s="1" t="n">
        <v>44573</v>
      </c>
      <c r="C2532" s="1" t="n">
        <v>45190</v>
      </c>
      <c r="D2532" t="inlineStr">
        <is>
          <t>SKÅNE LÄN</t>
        </is>
      </c>
      <c r="E2532" t="inlineStr">
        <is>
          <t>KÄVLINGE</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1607-2022</t>
        </is>
      </c>
      <c r="B2533" s="1" t="n">
        <v>44573</v>
      </c>
      <c r="C2533" s="1" t="n">
        <v>45190</v>
      </c>
      <c r="D2533" t="inlineStr">
        <is>
          <t>SKÅNE LÄN</t>
        </is>
      </c>
      <c r="E2533" t="inlineStr">
        <is>
          <t>OSBY</t>
        </is>
      </c>
      <c r="F2533" t="inlineStr">
        <is>
          <t>Kyrkan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1679-2022</t>
        </is>
      </c>
      <c r="B2534" s="1" t="n">
        <v>44573</v>
      </c>
      <c r="C2534" s="1" t="n">
        <v>45190</v>
      </c>
      <c r="D2534" t="inlineStr">
        <is>
          <t>SKÅNE LÄN</t>
        </is>
      </c>
      <c r="E2534" t="inlineStr">
        <is>
          <t>HÄSSLEHOLM</t>
        </is>
      </c>
      <c r="F2534" t="inlineStr">
        <is>
          <t>Kyrkan</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1531-2022</t>
        </is>
      </c>
      <c r="B2535" s="1" t="n">
        <v>44573</v>
      </c>
      <c r="C2535" s="1" t="n">
        <v>45190</v>
      </c>
      <c r="D2535" t="inlineStr">
        <is>
          <t>SKÅNE LÄN</t>
        </is>
      </c>
      <c r="E2535" t="inlineStr">
        <is>
          <t>BÅSTAD</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1619-2022</t>
        </is>
      </c>
      <c r="B2536" s="1" t="n">
        <v>44573</v>
      </c>
      <c r="C2536" s="1" t="n">
        <v>45190</v>
      </c>
      <c r="D2536" t="inlineStr">
        <is>
          <t>SKÅNE LÄN</t>
        </is>
      </c>
      <c r="E2536" t="inlineStr">
        <is>
          <t>HÄSSLEHOLM</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1789-2022</t>
        </is>
      </c>
      <c r="B2537" s="1" t="n">
        <v>44574</v>
      </c>
      <c r="C2537" s="1" t="n">
        <v>45190</v>
      </c>
      <c r="D2537" t="inlineStr">
        <is>
          <t>SKÅNE LÄN</t>
        </is>
      </c>
      <c r="E2537" t="inlineStr">
        <is>
          <t>ÖSTRA GÖINGE</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1694-2022</t>
        </is>
      </c>
      <c r="B2538" s="1" t="n">
        <v>44574</v>
      </c>
      <c r="C2538" s="1" t="n">
        <v>45190</v>
      </c>
      <c r="D2538" t="inlineStr">
        <is>
          <t>SKÅNE LÄN</t>
        </is>
      </c>
      <c r="E2538" t="inlineStr">
        <is>
          <t>KRISTIANSTAD</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2026-2022</t>
        </is>
      </c>
      <c r="B2539" s="1" t="n">
        <v>44575</v>
      </c>
      <c r="C2539" s="1" t="n">
        <v>45190</v>
      </c>
      <c r="D2539" t="inlineStr">
        <is>
          <t>SKÅNE LÄN</t>
        </is>
      </c>
      <c r="E2539" t="inlineStr">
        <is>
          <t>SJÖBO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2045-2022</t>
        </is>
      </c>
      <c r="B2540" s="1" t="n">
        <v>44575</v>
      </c>
      <c r="C2540" s="1" t="n">
        <v>45190</v>
      </c>
      <c r="D2540" t="inlineStr">
        <is>
          <t>SKÅNE LÄN</t>
        </is>
      </c>
      <c r="E2540" t="inlineStr">
        <is>
          <t>KLIPPAN</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2007-2022</t>
        </is>
      </c>
      <c r="B2541" s="1" t="n">
        <v>44575</v>
      </c>
      <c r="C2541" s="1" t="n">
        <v>45190</v>
      </c>
      <c r="D2541" t="inlineStr">
        <is>
          <t>SKÅNE LÄN</t>
        </is>
      </c>
      <c r="E2541" t="inlineStr">
        <is>
          <t>KRISTIANSTAD</t>
        </is>
      </c>
      <c r="F2541" t="inlineStr">
        <is>
          <t>Övriga Aktiebolag</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2046-2022</t>
        </is>
      </c>
      <c r="B2542" s="1" t="n">
        <v>44575</v>
      </c>
      <c r="C2542" s="1" t="n">
        <v>45190</v>
      </c>
      <c r="D2542" t="inlineStr">
        <is>
          <t>SKÅNE LÄN</t>
        </is>
      </c>
      <c r="E2542" t="inlineStr">
        <is>
          <t>KLIPPAN</t>
        </is>
      </c>
      <c r="F2542" t="inlineStr">
        <is>
          <t>Sveaskog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2063-2022</t>
        </is>
      </c>
      <c r="B2543" s="1" t="n">
        <v>44575</v>
      </c>
      <c r="C2543" s="1" t="n">
        <v>45190</v>
      </c>
      <c r="D2543" t="inlineStr">
        <is>
          <t>SKÅNE LÄN</t>
        </is>
      </c>
      <c r="E2543" t="inlineStr">
        <is>
          <t>ÖSTRA GÖINGE</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2150-2022</t>
        </is>
      </c>
      <c r="B2544" s="1" t="n">
        <v>44578</v>
      </c>
      <c r="C2544" s="1" t="n">
        <v>45190</v>
      </c>
      <c r="D2544" t="inlineStr">
        <is>
          <t>SKÅNE LÄN</t>
        </is>
      </c>
      <c r="E2544" t="inlineStr">
        <is>
          <t>ESLÖV</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2442-2022</t>
        </is>
      </c>
      <c r="B2545" s="1" t="n">
        <v>44579</v>
      </c>
      <c r="C2545" s="1" t="n">
        <v>45190</v>
      </c>
      <c r="D2545" t="inlineStr">
        <is>
          <t>SKÅNE LÄN</t>
        </is>
      </c>
      <c r="E2545" t="inlineStr">
        <is>
          <t>OSBY</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2472-2022</t>
        </is>
      </c>
      <c r="B2546" s="1" t="n">
        <v>44579</v>
      </c>
      <c r="C2546" s="1" t="n">
        <v>45190</v>
      </c>
      <c r="D2546" t="inlineStr">
        <is>
          <t>SKÅNE LÄN</t>
        </is>
      </c>
      <c r="E2546" t="inlineStr">
        <is>
          <t>KRISTIANSTAD</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3101-2022</t>
        </is>
      </c>
      <c r="B2547" s="1" t="n">
        <v>44580</v>
      </c>
      <c r="C2547" s="1" t="n">
        <v>45190</v>
      </c>
      <c r="D2547" t="inlineStr">
        <is>
          <t>SKÅNE LÄN</t>
        </is>
      </c>
      <c r="E2547" t="inlineStr">
        <is>
          <t>HÄSSLEHOLM</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2618-2022</t>
        </is>
      </c>
      <c r="B2548" s="1" t="n">
        <v>44580</v>
      </c>
      <c r="C2548" s="1" t="n">
        <v>45190</v>
      </c>
      <c r="D2548" t="inlineStr">
        <is>
          <t>SKÅNE LÄN</t>
        </is>
      </c>
      <c r="E2548" t="inlineStr">
        <is>
          <t>HÄSSLEHOLM</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2631-2022</t>
        </is>
      </c>
      <c r="B2549" s="1" t="n">
        <v>44580</v>
      </c>
      <c r="C2549" s="1" t="n">
        <v>45190</v>
      </c>
      <c r="D2549" t="inlineStr">
        <is>
          <t>SKÅNE LÄN</t>
        </is>
      </c>
      <c r="E2549" t="inlineStr">
        <is>
          <t>HÄSSLEHOLM</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2695-2022</t>
        </is>
      </c>
      <c r="B2550" s="1" t="n">
        <v>44580</v>
      </c>
      <c r="C2550" s="1" t="n">
        <v>45190</v>
      </c>
      <c r="D2550" t="inlineStr">
        <is>
          <t>SKÅNE LÄN</t>
        </is>
      </c>
      <c r="E2550" t="inlineStr">
        <is>
          <t>ÖSTRA GÖINGE</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2621-2022</t>
        </is>
      </c>
      <c r="B2551" s="1" t="n">
        <v>44580</v>
      </c>
      <c r="C2551" s="1" t="n">
        <v>45190</v>
      </c>
      <c r="D2551" t="inlineStr">
        <is>
          <t>SKÅNE LÄN</t>
        </is>
      </c>
      <c r="E2551" t="inlineStr">
        <is>
          <t>OSBY</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2765-2022</t>
        </is>
      </c>
      <c r="B2552" s="1" t="n">
        <v>44580</v>
      </c>
      <c r="C2552" s="1" t="n">
        <v>45190</v>
      </c>
      <c r="D2552" t="inlineStr">
        <is>
          <t>SKÅNE LÄN</t>
        </is>
      </c>
      <c r="E2552" t="inlineStr">
        <is>
          <t>HÄSSLEHOLM</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2858-2022</t>
        </is>
      </c>
      <c r="B2553" s="1" t="n">
        <v>44581</v>
      </c>
      <c r="C2553" s="1" t="n">
        <v>45190</v>
      </c>
      <c r="D2553" t="inlineStr">
        <is>
          <t>SKÅNE LÄN</t>
        </is>
      </c>
      <c r="E2553" t="inlineStr">
        <is>
          <t>HÄSSLEHOLM</t>
        </is>
      </c>
      <c r="F2553" t="inlineStr">
        <is>
          <t>Övriga Aktiebolag</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3167-2022</t>
        </is>
      </c>
      <c r="B2554" s="1" t="n">
        <v>44582</v>
      </c>
      <c r="C2554" s="1" t="n">
        <v>45190</v>
      </c>
      <c r="D2554" t="inlineStr">
        <is>
          <t>SKÅNE LÄN</t>
        </is>
      </c>
      <c r="E2554" t="inlineStr">
        <is>
          <t>HÄSSLEHOLM</t>
        </is>
      </c>
      <c r="F2554" t="inlineStr">
        <is>
          <t>Kommuner</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3248-2022</t>
        </is>
      </c>
      <c r="B2555" s="1" t="n">
        <v>44583</v>
      </c>
      <c r="C2555" s="1" t="n">
        <v>45190</v>
      </c>
      <c r="D2555" t="inlineStr">
        <is>
          <t>SKÅNE LÄN</t>
        </is>
      </c>
      <c r="E2555" t="inlineStr">
        <is>
          <t>HÄSSLEHOLM</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3395-2022</t>
        </is>
      </c>
      <c r="B2556" s="1" t="n">
        <v>44585</v>
      </c>
      <c r="C2556" s="1" t="n">
        <v>45190</v>
      </c>
      <c r="D2556" t="inlineStr">
        <is>
          <t>SKÅNE LÄN</t>
        </is>
      </c>
      <c r="E2556" t="inlineStr">
        <is>
          <t>HÄSSLEHOLM</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3855-2022</t>
        </is>
      </c>
      <c r="B2557" s="1" t="n">
        <v>44587</v>
      </c>
      <c r="C2557" s="1" t="n">
        <v>45190</v>
      </c>
      <c r="D2557" t="inlineStr">
        <is>
          <t>SKÅNE LÄN</t>
        </is>
      </c>
      <c r="E2557" t="inlineStr">
        <is>
          <t>HÄSSLEHOLM</t>
        </is>
      </c>
      <c r="F2557" t="inlineStr">
        <is>
          <t>Övriga Aktiebolag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3941-2022</t>
        </is>
      </c>
      <c r="B2558" s="1" t="n">
        <v>44587</v>
      </c>
      <c r="C2558" s="1" t="n">
        <v>45190</v>
      </c>
      <c r="D2558" t="inlineStr">
        <is>
          <t>SKÅNE LÄN</t>
        </is>
      </c>
      <c r="E2558" t="inlineStr">
        <is>
          <t>SVALÖV</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3952-2022</t>
        </is>
      </c>
      <c r="B2559" s="1" t="n">
        <v>44587</v>
      </c>
      <c r="C2559" s="1" t="n">
        <v>45190</v>
      </c>
      <c r="D2559" t="inlineStr">
        <is>
          <t>SKÅNE LÄN</t>
        </is>
      </c>
      <c r="E2559" t="inlineStr">
        <is>
          <t>HÄSSLEHOLM</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3992-2022</t>
        </is>
      </c>
      <c r="B2560" s="1" t="n">
        <v>44587</v>
      </c>
      <c r="C2560" s="1" t="n">
        <v>45190</v>
      </c>
      <c r="D2560" t="inlineStr">
        <is>
          <t>SKÅNE LÄN</t>
        </is>
      </c>
      <c r="E2560" t="inlineStr">
        <is>
          <t>HÄSSLEHOLM</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3904-2022</t>
        </is>
      </c>
      <c r="B2561" s="1" t="n">
        <v>44587</v>
      </c>
      <c r="C2561" s="1" t="n">
        <v>45190</v>
      </c>
      <c r="D2561" t="inlineStr">
        <is>
          <t>SKÅNE LÄN</t>
        </is>
      </c>
      <c r="E2561" t="inlineStr">
        <is>
          <t>KRISTIANSTAD</t>
        </is>
      </c>
      <c r="F2561" t="inlineStr">
        <is>
          <t>Sveaskog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4156-2022</t>
        </is>
      </c>
      <c r="B2562" s="1" t="n">
        <v>44588</v>
      </c>
      <c r="C2562" s="1" t="n">
        <v>45190</v>
      </c>
      <c r="D2562" t="inlineStr">
        <is>
          <t>SKÅNE LÄN</t>
        </is>
      </c>
      <c r="E2562" t="inlineStr">
        <is>
          <t>HÄSSLEHOLM</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4053-2022</t>
        </is>
      </c>
      <c r="B2563" s="1" t="n">
        <v>44588</v>
      </c>
      <c r="C2563" s="1" t="n">
        <v>45190</v>
      </c>
      <c r="D2563" t="inlineStr">
        <is>
          <t>SKÅNE LÄN</t>
        </is>
      </c>
      <c r="E2563" t="inlineStr">
        <is>
          <t>ÖSTRA GÖINGE</t>
        </is>
      </c>
      <c r="G2563" t="n">
        <v>0.2</v>
      </c>
      <c r="H2563" t="n">
        <v>0</v>
      </c>
      <c r="I2563" t="n">
        <v>0</v>
      </c>
      <c r="J2563" t="n">
        <v>0</v>
      </c>
      <c r="K2563" t="n">
        <v>0</v>
      </c>
      <c r="L2563" t="n">
        <v>0</v>
      </c>
      <c r="M2563" t="n">
        <v>0</v>
      </c>
      <c r="N2563" t="n">
        <v>0</v>
      </c>
      <c r="O2563" t="n">
        <v>0</v>
      </c>
      <c r="P2563" t="n">
        <v>0</v>
      </c>
      <c r="Q2563" t="n">
        <v>0</v>
      </c>
      <c r="R2563" s="2" t="inlineStr"/>
    </row>
    <row r="2564" ht="15" customHeight="1">
      <c r="A2564" t="inlineStr">
        <is>
          <t>A 4161-2022</t>
        </is>
      </c>
      <c r="B2564" s="1" t="n">
        <v>44588</v>
      </c>
      <c r="C2564" s="1" t="n">
        <v>45190</v>
      </c>
      <c r="D2564" t="inlineStr">
        <is>
          <t>SKÅNE LÄN</t>
        </is>
      </c>
      <c r="E2564" t="inlineStr">
        <is>
          <t>HÄSSLEHOLM</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4149-2022</t>
        </is>
      </c>
      <c r="B2565" s="1" t="n">
        <v>44588</v>
      </c>
      <c r="C2565" s="1" t="n">
        <v>45190</v>
      </c>
      <c r="D2565" t="inlineStr">
        <is>
          <t>SKÅNE LÄN</t>
        </is>
      </c>
      <c r="E2565" t="inlineStr">
        <is>
          <t>SVALÖV</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4607-2022</t>
        </is>
      </c>
      <c r="B2566" s="1" t="n">
        <v>44592</v>
      </c>
      <c r="C2566" s="1" t="n">
        <v>45190</v>
      </c>
      <c r="D2566" t="inlineStr">
        <is>
          <t>SKÅNE LÄN</t>
        </is>
      </c>
      <c r="E2566" t="inlineStr">
        <is>
          <t>KRISTIANSTAD</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4719-2022</t>
        </is>
      </c>
      <c r="B2567" s="1" t="n">
        <v>44592</v>
      </c>
      <c r="C2567" s="1" t="n">
        <v>45190</v>
      </c>
      <c r="D2567" t="inlineStr">
        <is>
          <t>SKÅNE LÄN</t>
        </is>
      </c>
      <c r="E2567" t="inlineStr">
        <is>
          <t>HÄSSLEHOLM</t>
        </is>
      </c>
      <c r="F2567" t="inlineStr">
        <is>
          <t>Kyrkan</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4688-2022</t>
        </is>
      </c>
      <c r="B2568" s="1" t="n">
        <v>44592</v>
      </c>
      <c r="C2568" s="1" t="n">
        <v>45190</v>
      </c>
      <c r="D2568" t="inlineStr">
        <is>
          <t>SKÅNE LÄN</t>
        </is>
      </c>
      <c r="E2568" t="inlineStr">
        <is>
          <t>PERSTORP</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4945-2022</t>
        </is>
      </c>
      <c r="B2569" s="1" t="n">
        <v>44593</v>
      </c>
      <c r="C2569" s="1" t="n">
        <v>45190</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5256-2022</t>
        </is>
      </c>
      <c r="B2570" s="1" t="n">
        <v>44593</v>
      </c>
      <c r="C2570" s="1" t="n">
        <v>45190</v>
      </c>
      <c r="D2570" t="inlineStr">
        <is>
          <t>SKÅNE LÄN</t>
        </is>
      </c>
      <c r="E2570" t="inlineStr">
        <is>
          <t>KLIPPAN</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5557-2022</t>
        </is>
      </c>
      <c r="B2571" s="1" t="n">
        <v>44593</v>
      </c>
      <c r="C2571" s="1" t="n">
        <v>45190</v>
      </c>
      <c r="D2571" t="inlineStr">
        <is>
          <t>SKÅNE LÄN</t>
        </is>
      </c>
      <c r="E2571" t="inlineStr">
        <is>
          <t>KLIPPAN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4989-2022</t>
        </is>
      </c>
      <c r="B2572" s="1" t="n">
        <v>44593</v>
      </c>
      <c r="C2572" s="1" t="n">
        <v>45190</v>
      </c>
      <c r="D2572" t="inlineStr">
        <is>
          <t>SKÅNE LÄN</t>
        </is>
      </c>
      <c r="E2572" t="inlineStr">
        <is>
          <t>PERSTORP</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5183-2022</t>
        </is>
      </c>
      <c r="B2573" s="1" t="n">
        <v>44593</v>
      </c>
      <c r="C2573" s="1" t="n">
        <v>45190</v>
      </c>
      <c r="D2573" t="inlineStr">
        <is>
          <t>SKÅNE LÄN</t>
        </is>
      </c>
      <c r="E2573" t="inlineStr">
        <is>
          <t>KLIPPAN</t>
        </is>
      </c>
      <c r="G2573" t="n">
        <v>11.7</v>
      </c>
      <c r="H2573" t="n">
        <v>0</v>
      </c>
      <c r="I2573" t="n">
        <v>0</v>
      </c>
      <c r="J2573" t="n">
        <v>0</v>
      </c>
      <c r="K2573" t="n">
        <v>0</v>
      </c>
      <c r="L2573" t="n">
        <v>0</v>
      </c>
      <c r="M2573" t="n">
        <v>0</v>
      </c>
      <c r="N2573" t="n">
        <v>0</v>
      </c>
      <c r="O2573" t="n">
        <v>0</v>
      </c>
      <c r="P2573" t="n">
        <v>0</v>
      </c>
      <c r="Q2573" t="n">
        <v>0</v>
      </c>
      <c r="R2573" s="2" t="inlineStr"/>
    </row>
    <row r="2574" ht="15" customHeight="1">
      <c r="A2574" t="inlineStr">
        <is>
          <t>A 4964-2022</t>
        </is>
      </c>
      <c r="B2574" s="1" t="n">
        <v>44593</v>
      </c>
      <c r="C2574" s="1" t="n">
        <v>45190</v>
      </c>
      <c r="D2574" t="inlineStr">
        <is>
          <t>SKÅNE LÄN</t>
        </is>
      </c>
      <c r="E2574" t="inlineStr">
        <is>
          <t>SVALÖV</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5096-2022</t>
        </is>
      </c>
      <c r="B2575" s="1" t="n">
        <v>44593</v>
      </c>
      <c r="C2575" s="1" t="n">
        <v>45190</v>
      </c>
      <c r="D2575" t="inlineStr">
        <is>
          <t>SKÅNE LÄN</t>
        </is>
      </c>
      <c r="E2575" t="inlineStr">
        <is>
          <t>ÖSTRA GÖINGE</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5151-2022</t>
        </is>
      </c>
      <c r="B2576" s="1" t="n">
        <v>44593</v>
      </c>
      <c r="C2576" s="1" t="n">
        <v>45190</v>
      </c>
      <c r="D2576" t="inlineStr">
        <is>
          <t>SKÅNE LÄN</t>
        </is>
      </c>
      <c r="E2576" t="inlineStr">
        <is>
          <t>KLIPPAN</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5196-2022</t>
        </is>
      </c>
      <c r="B2577" s="1" t="n">
        <v>44593</v>
      </c>
      <c r="C2577" s="1" t="n">
        <v>45190</v>
      </c>
      <c r="D2577" t="inlineStr">
        <is>
          <t>SKÅNE LÄN</t>
        </is>
      </c>
      <c r="E2577" t="inlineStr">
        <is>
          <t>KLIPPAN</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5098-2022</t>
        </is>
      </c>
      <c r="B2578" s="1" t="n">
        <v>44593</v>
      </c>
      <c r="C2578" s="1" t="n">
        <v>45190</v>
      </c>
      <c r="D2578" t="inlineStr">
        <is>
          <t>SKÅNE LÄN</t>
        </is>
      </c>
      <c r="E2578" t="inlineStr">
        <is>
          <t>ÖSTRA GÖINGE</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5523-2022</t>
        </is>
      </c>
      <c r="B2579" s="1" t="n">
        <v>44593</v>
      </c>
      <c r="C2579" s="1" t="n">
        <v>45190</v>
      </c>
      <c r="D2579" t="inlineStr">
        <is>
          <t>SKÅNE LÄN</t>
        </is>
      </c>
      <c r="E2579" t="inlineStr">
        <is>
          <t>KLIPPAN</t>
        </is>
      </c>
      <c r="G2579" t="n">
        <v>5.3</v>
      </c>
      <c r="H2579" t="n">
        <v>0</v>
      </c>
      <c r="I2579" t="n">
        <v>0</v>
      </c>
      <c r="J2579" t="n">
        <v>0</v>
      </c>
      <c r="K2579" t="n">
        <v>0</v>
      </c>
      <c r="L2579" t="n">
        <v>0</v>
      </c>
      <c r="M2579" t="n">
        <v>0</v>
      </c>
      <c r="N2579" t="n">
        <v>0</v>
      </c>
      <c r="O2579" t="n">
        <v>0</v>
      </c>
      <c r="P2579" t="n">
        <v>0</v>
      </c>
      <c r="Q2579" t="n">
        <v>0</v>
      </c>
      <c r="R2579" s="2" t="inlineStr"/>
    </row>
    <row r="2580" ht="15" customHeight="1">
      <c r="A2580" t="inlineStr">
        <is>
          <t>A 5138-2022</t>
        </is>
      </c>
      <c r="B2580" s="1" t="n">
        <v>44594</v>
      </c>
      <c r="C2580" s="1" t="n">
        <v>45190</v>
      </c>
      <c r="D2580" t="inlineStr">
        <is>
          <t>SKÅNE LÄN</t>
        </is>
      </c>
      <c r="E2580" t="inlineStr">
        <is>
          <t>HÖÖR</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5130-2022</t>
        </is>
      </c>
      <c r="B2581" s="1" t="n">
        <v>44594</v>
      </c>
      <c r="C2581" s="1" t="n">
        <v>45190</v>
      </c>
      <c r="D2581" t="inlineStr">
        <is>
          <t>SKÅNE LÄN</t>
        </is>
      </c>
      <c r="E2581" t="inlineStr">
        <is>
          <t>ESLÖV</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5215-2022</t>
        </is>
      </c>
      <c r="B2582" s="1" t="n">
        <v>44594</v>
      </c>
      <c r="C2582" s="1" t="n">
        <v>45190</v>
      </c>
      <c r="D2582" t="inlineStr">
        <is>
          <t>SKÅNE LÄN</t>
        </is>
      </c>
      <c r="E2582" t="inlineStr">
        <is>
          <t>ÖSTRA GÖINGE</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5570-2022</t>
        </is>
      </c>
      <c r="B2583" s="1" t="n">
        <v>44595</v>
      </c>
      <c r="C2583" s="1" t="n">
        <v>45190</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5590-2022</t>
        </is>
      </c>
      <c r="B2584" s="1" t="n">
        <v>44595</v>
      </c>
      <c r="C2584" s="1" t="n">
        <v>45190</v>
      </c>
      <c r="D2584" t="inlineStr">
        <is>
          <t>SKÅNE LÄN</t>
        </is>
      </c>
      <c r="E2584" t="inlineStr">
        <is>
          <t>KRISTIANSTAD</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5484-2022</t>
        </is>
      </c>
      <c r="B2585" s="1" t="n">
        <v>44595</v>
      </c>
      <c r="C2585" s="1" t="n">
        <v>45190</v>
      </c>
      <c r="D2585" t="inlineStr">
        <is>
          <t>SKÅNE LÄN</t>
        </is>
      </c>
      <c r="E2585" t="inlineStr">
        <is>
          <t>OSBY</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5564-2022</t>
        </is>
      </c>
      <c r="B2586" s="1" t="n">
        <v>44595</v>
      </c>
      <c r="C2586" s="1" t="n">
        <v>45190</v>
      </c>
      <c r="D2586" t="inlineStr">
        <is>
          <t>SKÅNE LÄN</t>
        </is>
      </c>
      <c r="E2586" t="inlineStr">
        <is>
          <t>HÄSSLEHOLM</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5779-2022</t>
        </is>
      </c>
      <c r="B2587" s="1" t="n">
        <v>44596</v>
      </c>
      <c r="C2587" s="1" t="n">
        <v>45190</v>
      </c>
      <c r="D2587" t="inlineStr">
        <is>
          <t>SKÅNE LÄN</t>
        </is>
      </c>
      <c r="E2587" t="inlineStr">
        <is>
          <t>BROMÖLLA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5791-2022</t>
        </is>
      </c>
      <c r="B2588" s="1" t="n">
        <v>44596</v>
      </c>
      <c r="C2588" s="1" t="n">
        <v>45190</v>
      </c>
      <c r="D2588" t="inlineStr">
        <is>
          <t>SKÅNE LÄN</t>
        </is>
      </c>
      <c r="E2588" t="inlineStr">
        <is>
          <t>KLIPPAN</t>
        </is>
      </c>
      <c r="F2588" t="inlineStr">
        <is>
          <t>Övriga Aktiebolag</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5816-2022</t>
        </is>
      </c>
      <c r="B2589" s="1" t="n">
        <v>44596</v>
      </c>
      <c r="C2589" s="1" t="n">
        <v>45190</v>
      </c>
      <c r="D2589" t="inlineStr">
        <is>
          <t>SKÅNE LÄN</t>
        </is>
      </c>
      <c r="E2589" t="inlineStr">
        <is>
          <t>BROMÖLLA</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5856-2022</t>
        </is>
      </c>
      <c r="B2590" s="1" t="n">
        <v>44596</v>
      </c>
      <c r="C2590" s="1" t="n">
        <v>45190</v>
      </c>
      <c r="D2590" t="inlineStr">
        <is>
          <t>SKÅNE LÄN</t>
        </is>
      </c>
      <c r="E2590" t="inlineStr">
        <is>
          <t>KRISTIANSTAD</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5726-2022</t>
        </is>
      </c>
      <c r="B2591" s="1" t="n">
        <v>44596</v>
      </c>
      <c r="C2591" s="1" t="n">
        <v>45190</v>
      </c>
      <c r="D2591" t="inlineStr">
        <is>
          <t>SKÅNE LÄN</t>
        </is>
      </c>
      <c r="E2591" t="inlineStr">
        <is>
          <t>HÖÖR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5812-2022</t>
        </is>
      </c>
      <c r="B2592" s="1" t="n">
        <v>44596</v>
      </c>
      <c r="C2592" s="1" t="n">
        <v>45190</v>
      </c>
      <c r="D2592" t="inlineStr">
        <is>
          <t>SKÅNE LÄN</t>
        </is>
      </c>
      <c r="E2592" t="inlineStr">
        <is>
          <t>ESLÖV</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5853-2022</t>
        </is>
      </c>
      <c r="B2593" s="1" t="n">
        <v>44596</v>
      </c>
      <c r="C2593" s="1" t="n">
        <v>45190</v>
      </c>
      <c r="D2593" t="inlineStr">
        <is>
          <t>SKÅNE LÄN</t>
        </is>
      </c>
      <c r="E2593" t="inlineStr">
        <is>
          <t>KRISTIANSTAD</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6204-2022</t>
        </is>
      </c>
      <c r="B2594" s="1" t="n">
        <v>44596</v>
      </c>
      <c r="C2594" s="1" t="n">
        <v>45190</v>
      </c>
      <c r="D2594" t="inlineStr">
        <is>
          <t>SKÅNE LÄN</t>
        </is>
      </c>
      <c r="E2594" t="inlineStr">
        <is>
          <t>KLIPPAN</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5730-2022</t>
        </is>
      </c>
      <c r="B2595" s="1" t="n">
        <v>44596</v>
      </c>
      <c r="C2595" s="1" t="n">
        <v>45190</v>
      </c>
      <c r="D2595" t="inlineStr">
        <is>
          <t>SKÅNE LÄN</t>
        </is>
      </c>
      <c r="E2595" t="inlineStr">
        <is>
          <t>HÖÖR</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5937-2022</t>
        </is>
      </c>
      <c r="B2596" s="1" t="n">
        <v>44598</v>
      </c>
      <c r="C2596" s="1" t="n">
        <v>45190</v>
      </c>
      <c r="D2596" t="inlineStr">
        <is>
          <t>SKÅNE LÄN</t>
        </is>
      </c>
      <c r="E2596" t="inlineStr">
        <is>
          <t>SVALÖV</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5992-2022</t>
        </is>
      </c>
      <c r="B2597" s="1" t="n">
        <v>44599</v>
      </c>
      <c r="C2597" s="1" t="n">
        <v>45190</v>
      </c>
      <c r="D2597" t="inlineStr">
        <is>
          <t>SKÅNE LÄN</t>
        </is>
      </c>
      <c r="E2597" t="inlineStr">
        <is>
          <t>HÄSSLEHOLM</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6007-2022</t>
        </is>
      </c>
      <c r="B2598" s="1" t="n">
        <v>44599</v>
      </c>
      <c r="C2598" s="1" t="n">
        <v>45190</v>
      </c>
      <c r="D2598" t="inlineStr">
        <is>
          <t>SKÅNE LÄN</t>
        </is>
      </c>
      <c r="E2598" t="inlineStr">
        <is>
          <t>SVALÖV</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6042-2022</t>
        </is>
      </c>
      <c r="B2599" s="1" t="n">
        <v>44599</v>
      </c>
      <c r="C2599" s="1" t="n">
        <v>45190</v>
      </c>
      <c r="D2599" t="inlineStr">
        <is>
          <t>SKÅNE LÄN</t>
        </is>
      </c>
      <c r="E2599" t="inlineStr">
        <is>
          <t>HÖÖR</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6020-2022</t>
        </is>
      </c>
      <c r="B2600" s="1" t="n">
        <v>44599</v>
      </c>
      <c r="C2600" s="1" t="n">
        <v>45190</v>
      </c>
      <c r="D2600" t="inlineStr">
        <is>
          <t>SKÅNE LÄN</t>
        </is>
      </c>
      <c r="E2600" t="inlineStr">
        <is>
          <t>ÖRKELLJUNGA</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6253-2022</t>
        </is>
      </c>
      <c r="B2601" s="1" t="n">
        <v>44600</v>
      </c>
      <c r="C2601" s="1" t="n">
        <v>45190</v>
      </c>
      <c r="D2601" t="inlineStr">
        <is>
          <t>SKÅNE LÄN</t>
        </is>
      </c>
      <c r="E2601" t="inlineStr">
        <is>
          <t>HÄSSLEHOLM</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6414-2022</t>
        </is>
      </c>
      <c r="B2602" s="1" t="n">
        <v>44600</v>
      </c>
      <c r="C2602" s="1" t="n">
        <v>45190</v>
      </c>
      <c r="D2602" t="inlineStr">
        <is>
          <t>SKÅNE LÄN</t>
        </is>
      </c>
      <c r="E2602" t="inlineStr">
        <is>
          <t>HÄSSLEHOLM</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6229-2022</t>
        </is>
      </c>
      <c r="B2603" s="1" t="n">
        <v>44600</v>
      </c>
      <c r="C2603" s="1" t="n">
        <v>45190</v>
      </c>
      <c r="D2603" t="inlineStr">
        <is>
          <t>SKÅNE LÄN</t>
        </is>
      </c>
      <c r="E2603" t="inlineStr">
        <is>
          <t>SJÖBO</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6314-2022</t>
        </is>
      </c>
      <c r="B2604" s="1" t="n">
        <v>44600</v>
      </c>
      <c r="C2604" s="1" t="n">
        <v>45190</v>
      </c>
      <c r="D2604" t="inlineStr">
        <is>
          <t>SKÅNE LÄN</t>
        </is>
      </c>
      <c r="E2604" t="inlineStr">
        <is>
          <t>TRELLEBORG</t>
        </is>
      </c>
      <c r="G2604" t="n">
        <v>3</v>
      </c>
      <c r="H2604" t="n">
        <v>0</v>
      </c>
      <c r="I2604" t="n">
        <v>0</v>
      </c>
      <c r="J2604" t="n">
        <v>0</v>
      </c>
      <c r="K2604" t="n">
        <v>0</v>
      </c>
      <c r="L2604" t="n">
        <v>0</v>
      </c>
      <c r="M2604" t="n">
        <v>0</v>
      </c>
      <c r="N2604" t="n">
        <v>0</v>
      </c>
      <c r="O2604" t="n">
        <v>0</v>
      </c>
      <c r="P2604" t="n">
        <v>0</v>
      </c>
      <c r="Q2604" t="n">
        <v>0</v>
      </c>
      <c r="R2604" s="2" t="inlineStr"/>
    </row>
    <row r="2605" ht="15" customHeight="1">
      <c r="A2605" t="inlineStr">
        <is>
          <t>A 6335-2022</t>
        </is>
      </c>
      <c r="B2605" s="1" t="n">
        <v>44600</v>
      </c>
      <c r="C2605" s="1" t="n">
        <v>45190</v>
      </c>
      <c r="D2605" t="inlineStr">
        <is>
          <t>SKÅNE LÄN</t>
        </is>
      </c>
      <c r="E2605" t="inlineStr">
        <is>
          <t>SVALÖV</t>
        </is>
      </c>
      <c r="G2605" t="n">
        <v>4</v>
      </c>
      <c r="H2605" t="n">
        <v>0</v>
      </c>
      <c r="I2605" t="n">
        <v>0</v>
      </c>
      <c r="J2605" t="n">
        <v>0</v>
      </c>
      <c r="K2605" t="n">
        <v>0</v>
      </c>
      <c r="L2605" t="n">
        <v>0</v>
      </c>
      <c r="M2605" t="n">
        <v>0</v>
      </c>
      <c r="N2605" t="n">
        <v>0</v>
      </c>
      <c r="O2605" t="n">
        <v>0</v>
      </c>
      <c r="P2605" t="n">
        <v>0</v>
      </c>
      <c r="Q2605" t="n">
        <v>0</v>
      </c>
      <c r="R2605" s="2" t="inlineStr"/>
    </row>
    <row r="2606" ht="15" customHeight="1">
      <c r="A2606" t="inlineStr">
        <is>
          <t>A 6473-2022</t>
        </is>
      </c>
      <c r="B2606" s="1" t="n">
        <v>44601</v>
      </c>
      <c r="C2606" s="1" t="n">
        <v>45190</v>
      </c>
      <c r="D2606" t="inlineStr">
        <is>
          <t>SKÅNE LÄN</t>
        </is>
      </c>
      <c r="E2606" t="inlineStr">
        <is>
          <t>HÖÖR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6755-2022</t>
        </is>
      </c>
      <c r="B2607" s="1" t="n">
        <v>44602</v>
      </c>
      <c r="C2607" s="1" t="n">
        <v>45190</v>
      </c>
      <c r="D2607" t="inlineStr">
        <is>
          <t>SKÅNE LÄN</t>
        </is>
      </c>
      <c r="E2607" t="inlineStr">
        <is>
          <t>OSBY</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6818-2022</t>
        </is>
      </c>
      <c r="B2608" s="1" t="n">
        <v>44602</v>
      </c>
      <c r="C2608" s="1" t="n">
        <v>45190</v>
      </c>
      <c r="D2608" t="inlineStr">
        <is>
          <t>SKÅNE LÄN</t>
        </is>
      </c>
      <c r="E2608" t="inlineStr">
        <is>
          <t>ÖSTRA GÖINGE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7202-2022</t>
        </is>
      </c>
      <c r="B2609" s="1" t="n">
        <v>44606</v>
      </c>
      <c r="C2609" s="1" t="n">
        <v>45190</v>
      </c>
      <c r="D2609" t="inlineStr">
        <is>
          <t>SKÅNE LÄN</t>
        </is>
      </c>
      <c r="E2609" t="inlineStr">
        <is>
          <t>HÄSSLEHOLM</t>
        </is>
      </c>
      <c r="G2609" t="n">
        <v>4.7</v>
      </c>
      <c r="H2609" t="n">
        <v>0</v>
      </c>
      <c r="I2609" t="n">
        <v>0</v>
      </c>
      <c r="J2609" t="n">
        <v>0</v>
      </c>
      <c r="K2609" t="n">
        <v>0</v>
      </c>
      <c r="L2609" t="n">
        <v>0</v>
      </c>
      <c r="M2609" t="n">
        <v>0</v>
      </c>
      <c r="N2609" t="n">
        <v>0</v>
      </c>
      <c r="O2609" t="n">
        <v>0</v>
      </c>
      <c r="P2609" t="n">
        <v>0</v>
      </c>
      <c r="Q2609" t="n">
        <v>0</v>
      </c>
      <c r="R2609" s="2" t="inlineStr"/>
    </row>
    <row r="2610" ht="15" customHeight="1">
      <c r="A2610" t="inlineStr">
        <is>
          <t>A 7249-2022</t>
        </is>
      </c>
      <c r="B2610" s="1" t="n">
        <v>44606</v>
      </c>
      <c r="C2610" s="1" t="n">
        <v>45190</v>
      </c>
      <c r="D2610" t="inlineStr">
        <is>
          <t>SKÅNE LÄN</t>
        </is>
      </c>
      <c r="E2610" t="inlineStr">
        <is>
          <t>HÄSSLEHOLM</t>
        </is>
      </c>
      <c r="F2610" t="inlineStr">
        <is>
          <t>Övriga Aktiebolag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7258-2022</t>
        </is>
      </c>
      <c r="B2611" s="1" t="n">
        <v>44606</v>
      </c>
      <c r="C2611" s="1" t="n">
        <v>45190</v>
      </c>
      <c r="D2611" t="inlineStr">
        <is>
          <t>SKÅNE LÄN</t>
        </is>
      </c>
      <c r="E2611" t="inlineStr">
        <is>
          <t>SIMRISHAMN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7391-2022</t>
        </is>
      </c>
      <c r="B2612" s="1" t="n">
        <v>44606</v>
      </c>
      <c r="C2612" s="1" t="n">
        <v>45190</v>
      </c>
      <c r="D2612" t="inlineStr">
        <is>
          <t>SKÅNE LÄN</t>
        </is>
      </c>
      <c r="E2612" t="inlineStr">
        <is>
          <t>ÖSTRA GÖINGE</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7250-2022</t>
        </is>
      </c>
      <c r="B2613" s="1" t="n">
        <v>44606</v>
      </c>
      <c r="C2613" s="1" t="n">
        <v>45190</v>
      </c>
      <c r="D2613" t="inlineStr">
        <is>
          <t>SKÅNE LÄN</t>
        </is>
      </c>
      <c r="E2613" t="inlineStr">
        <is>
          <t>HÄSSLEHOLM</t>
        </is>
      </c>
      <c r="F2613" t="inlineStr">
        <is>
          <t>Övriga Aktiebolag</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7262-2022</t>
        </is>
      </c>
      <c r="B2614" s="1" t="n">
        <v>44606</v>
      </c>
      <c r="C2614" s="1" t="n">
        <v>45190</v>
      </c>
      <c r="D2614" t="inlineStr">
        <is>
          <t>SKÅNE LÄN</t>
        </is>
      </c>
      <c r="E2614" t="inlineStr">
        <is>
          <t>HÄSSLEHOLM</t>
        </is>
      </c>
      <c r="F2614" t="inlineStr">
        <is>
          <t>Övriga Aktiebolag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7514-2022</t>
        </is>
      </c>
      <c r="B2615" s="1" t="n">
        <v>44607</v>
      </c>
      <c r="C2615" s="1" t="n">
        <v>45190</v>
      </c>
      <c r="D2615" t="inlineStr">
        <is>
          <t>SKÅNE LÄN</t>
        </is>
      </c>
      <c r="E2615" t="inlineStr">
        <is>
          <t>SJÖBO</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7546-2022</t>
        </is>
      </c>
      <c r="B2616" s="1" t="n">
        <v>44607</v>
      </c>
      <c r="C2616" s="1" t="n">
        <v>45190</v>
      </c>
      <c r="D2616" t="inlineStr">
        <is>
          <t>SKÅNE LÄN</t>
        </is>
      </c>
      <c r="E2616" t="inlineStr">
        <is>
          <t>KRISTIANSTAD</t>
        </is>
      </c>
      <c r="G2616" t="n">
        <v>0.6</v>
      </c>
      <c r="H2616" t="n">
        <v>0</v>
      </c>
      <c r="I2616" t="n">
        <v>0</v>
      </c>
      <c r="J2616" t="n">
        <v>0</v>
      </c>
      <c r="K2616" t="n">
        <v>0</v>
      </c>
      <c r="L2616" t="n">
        <v>0</v>
      </c>
      <c r="M2616" t="n">
        <v>0</v>
      </c>
      <c r="N2616" t="n">
        <v>0</v>
      </c>
      <c r="O2616" t="n">
        <v>0</v>
      </c>
      <c r="P2616" t="n">
        <v>0</v>
      </c>
      <c r="Q2616" t="n">
        <v>0</v>
      </c>
      <c r="R2616" s="2" t="inlineStr"/>
    </row>
    <row r="2617" ht="15" customHeight="1">
      <c r="A2617" t="inlineStr">
        <is>
          <t>A 7861-2022</t>
        </is>
      </c>
      <c r="B2617" s="1" t="n">
        <v>44607</v>
      </c>
      <c r="C2617" s="1" t="n">
        <v>45190</v>
      </c>
      <c r="D2617" t="inlineStr">
        <is>
          <t>SKÅNE LÄN</t>
        </is>
      </c>
      <c r="E2617" t="inlineStr">
        <is>
          <t>HÄSSLEHOLM</t>
        </is>
      </c>
      <c r="F2617" t="inlineStr">
        <is>
          <t>Kyrkan</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7904-2022</t>
        </is>
      </c>
      <c r="B2618" s="1" t="n">
        <v>44607</v>
      </c>
      <c r="C2618" s="1" t="n">
        <v>45190</v>
      </c>
      <c r="D2618" t="inlineStr">
        <is>
          <t>SKÅNE LÄN</t>
        </is>
      </c>
      <c r="E2618" t="inlineStr">
        <is>
          <t>HÄSSLEHOLM</t>
        </is>
      </c>
      <c r="F2618" t="inlineStr">
        <is>
          <t>Kyrkan</t>
        </is>
      </c>
      <c r="G2618" t="n">
        <v>3.9</v>
      </c>
      <c r="H2618" t="n">
        <v>0</v>
      </c>
      <c r="I2618" t="n">
        <v>0</v>
      </c>
      <c r="J2618" t="n">
        <v>0</v>
      </c>
      <c r="K2618" t="n">
        <v>0</v>
      </c>
      <c r="L2618" t="n">
        <v>0</v>
      </c>
      <c r="M2618" t="n">
        <v>0</v>
      </c>
      <c r="N2618" t="n">
        <v>0</v>
      </c>
      <c r="O2618" t="n">
        <v>0</v>
      </c>
      <c r="P2618" t="n">
        <v>0</v>
      </c>
      <c r="Q2618" t="n">
        <v>0</v>
      </c>
      <c r="R2618" s="2" t="inlineStr"/>
    </row>
    <row r="2619" ht="15" customHeight="1">
      <c r="A2619" t="inlineStr">
        <is>
          <t>A 8177-2022</t>
        </is>
      </c>
      <c r="B2619" s="1" t="n">
        <v>44607</v>
      </c>
      <c r="C2619" s="1" t="n">
        <v>45190</v>
      </c>
      <c r="D2619" t="inlineStr">
        <is>
          <t>SKÅNE LÄN</t>
        </is>
      </c>
      <c r="E2619" t="inlineStr">
        <is>
          <t>HÄSSLEHOLM</t>
        </is>
      </c>
      <c r="F2619" t="inlineStr">
        <is>
          <t>Kyrkan</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7857-2022</t>
        </is>
      </c>
      <c r="B2620" s="1" t="n">
        <v>44607</v>
      </c>
      <c r="C2620" s="1" t="n">
        <v>45190</v>
      </c>
      <c r="D2620" t="inlineStr">
        <is>
          <t>SKÅNE LÄN</t>
        </is>
      </c>
      <c r="E2620" t="inlineStr">
        <is>
          <t>HÄSSLEHOLM</t>
        </is>
      </c>
      <c r="F2620" t="inlineStr">
        <is>
          <t>Kyrkan</t>
        </is>
      </c>
      <c r="G2620" t="n">
        <v>12.2</v>
      </c>
      <c r="H2620" t="n">
        <v>0</v>
      </c>
      <c r="I2620" t="n">
        <v>0</v>
      </c>
      <c r="J2620" t="n">
        <v>0</v>
      </c>
      <c r="K2620" t="n">
        <v>0</v>
      </c>
      <c r="L2620" t="n">
        <v>0</v>
      </c>
      <c r="M2620" t="n">
        <v>0</v>
      </c>
      <c r="N2620" t="n">
        <v>0</v>
      </c>
      <c r="O2620" t="n">
        <v>0</v>
      </c>
      <c r="P2620" t="n">
        <v>0</v>
      </c>
      <c r="Q2620" t="n">
        <v>0</v>
      </c>
      <c r="R2620" s="2" t="inlineStr"/>
    </row>
    <row r="2621" ht="15" customHeight="1">
      <c r="A2621" t="inlineStr">
        <is>
          <t>A 8111-2022</t>
        </is>
      </c>
      <c r="B2621" s="1" t="n">
        <v>44607</v>
      </c>
      <c r="C2621" s="1" t="n">
        <v>45190</v>
      </c>
      <c r="D2621" t="inlineStr">
        <is>
          <t>SKÅNE LÄN</t>
        </is>
      </c>
      <c r="E2621" t="inlineStr">
        <is>
          <t>ÖRKELLJUNGA</t>
        </is>
      </c>
      <c r="F2621" t="inlineStr">
        <is>
          <t>Kyrkan</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7535-2022</t>
        </is>
      </c>
      <c r="B2622" s="1" t="n">
        <v>44607</v>
      </c>
      <c r="C2622" s="1" t="n">
        <v>45190</v>
      </c>
      <c r="D2622" t="inlineStr">
        <is>
          <t>SKÅNE LÄN</t>
        </is>
      </c>
      <c r="E2622" t="inlineStr">
        <is>
          <t>ÖRKELLJUNGA</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8843-2022</t>
        </is>
      </c>
      <c r="B2623" s="1" t="n">
        <v>44607</v>
      </c>
      <c r="C2623" s="1" t="n">
        <v>45190</v>
      </c>
      <c r="D2623" t="inlineStr">
        <is>
          <t>SKÅNE LÄN</t>
        </is>
      </c>
      <c r="E2623" t="inlineStr">
        <is>
          <t>KRISTIANSTAD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8844-2022</t>
        </is>
      </c>
      <c r="B2624" s="1" t="n">
        <v>44607</v>
      </c>
      <c r="C2624" s="1" t="n">
        <v>45190</v>
      </c>
      <c r="D2624" t="inlineStr">
        <is>
          <t>SKÅNE LÄN</t>
        </is>
      </c>
      <c r="E2624" t="inlineStr">
        <is>
          <t>KRISTIANSTAD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7839-2022</t>
        </is>
      </c>
      <c r="B2625" s="1" t="n">
        <v>44608</v>
      </c>
      <c r="C2625" s="1" t="n">
        <v>45190</v>
      </c>
      <c r="D2625" t="inlineStr">
        <is>
          <t>SKÅNE LÄN</t>
        </is>
      </c>
      <c r="E2625" t="inlineStr">
        <is>
          <t>KLIPPAN</t>
        </is>
      </c>
      <c r="F2625" t="inlineStr">
        <is>
          <t>Övriga Aktiebolag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8084-2022</t>
        </is>
      </c>
      <c r="B2626" s="1" t="n">
        <v>44608</v>
      </c>
      <c r="C2626" s="1" t="n">
        <v>45190</v>
      </c>
      <c r="D2626" t="inlineStr">
        <is>
          <t>SKÅNE LÄN</t>
        </is>
      </c>
      <c r="E2626" t="inlineStr">
        <is>
          <t>KRISTIANSTAD</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7782-2022</t>
        </is>
      </c>
      <c r="B2627" s="1" t="n">
        <v>44608</v>
      </c>
      <c r="C2627" s="1" t="n">
        <v>45190</v>
      </c>
      <c r="D2627" t="inlineStr">
        <is>
          <t>SKÅNE LÄN</t>
        </is>
      </c>
      <c r="E2627" t="inlineStr">
        <is>
          <t>HÖÖR</t>
        </is>
      </c>
      <c r="G2627" t="n">
        <v>3</v>
      </c>
      <c r="H2627" t="n">
        <v>0</v>
      </c>
      <c r="I2627" t="n">
        <v>0</v>
      </c>
      <c r="J2627" t="n">
        <v>0</v>
      </c>
      <c r="K2627" t="n">
        <v>0</v>
      </c>
      <c r="L2627" t="n">
        <v>0</v>
      </c>
      <c r="M2627" t="n">
        <v>0</v>
      </c>
      <c r="N2627" t="n">
        <v>0</v>
      </c>
      <c r="O2627" t="n">
        <v>0</v>
      </c>
      <c r="P2627" t="n">
        <v>0</v>
      </c>
      <c r="Q2627" t="n">
        <v>0</v>
      </c>
      <c r="R2627" s="2" t="inlineStr"/>
    </row>
    <row r="2628" ht="15" customHeight="1">
      <c r="A2628" t="inlineStr">
        <is>
          <t>A 8136-2022</t>
        </is>
      </c>
      <c r="B2628" s="1" t="n">
        <v>44609</v>
      </c>
      <c r="C2628" s="1" t="n">
        <v>45190</v>
      </c>
      <c r="D2628" t="inlineStr">
        <is>
          <t>SKÅNE LÄN</t>
        </is>
      </c>
      <c r="E2628" t="inlineStr">
        <is>
          <t>ESLÖV</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8250-2022</t>
        </is>
      </c>
      <c r="B2629" s="1" t="n">
        <v>44609</v>
      </c>
      <c r="C2629" s="1" t="n">
        <v>45190</v>
      </c>
      <c r="D2629" t="inlineStr">
        <is>
          <t>SKÅNE LÄN</t>
        </is>
      </c>
      <c r="E2629" t="inlineStr">
        <is>
          <t>OSBY</t>
        </is>
      </c>
      <c r="F2629" t="inlineStr">
        <is>
          <t>Kyrkan</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8206-2022</t>
        </is>
      </c>
      <c r="B2630" s="1" t="n">
        <v>44609</v>
      </c>
      <c r="C2630" s="1" t="n">
        <v>45190</v>
      </c>
      <c r="D2630" t="inlineStr">
        <is>
          <t>SKÅNE LÄN</t>
        </is>
      </c>
      <c r="E2630" t="inlineStr">
        <is>
          <t>KRISTIANSTAD</t>
        </is>
      </c>
      <c r="F2630" t="inlineStr">
        <is>
          <t>Kyrkan</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8248-2022</t>
        </is>
      </c>
      <c r="B2631" s="1" t="n">
        <v>44609</v>
      </c>
      <c r="C2631" s="1" t="n">
        <v>45190</v>
      </c>
      <c r="D2631" t="inlineStr">
        <is>
          <t>SKÅNE LÄN</t>
        </is>
      </c>
      <c r="E2631" t="inlineStr">
        <is>
          <t>OSBY</t>
        </is>
      </c>
      <c r="F2631" t="inlineStr">
        <is>
          <t>Kyrkan</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8260-2022</t>
        </is>
      </c>
      <c r="B2632" s="1" t="n">
        <v>44610</v>
      </c>
      <c r="C2632" s="1" t="n">
        <v>45190</v>
      </c>
      <c r="D2632" t="inlineStr">
        <is>
          <t>SKÅNE LÄN</t>
        </is>
      </c>
      <c r="E2632" t="inlineStr">
        <is>
          <t>KRISTIANSTAD</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8367-2022</t>
        </is>
      </c>
      <c r="B2633" s="1" t="n">
        <v>44610</v>
      </c>
      <c r="C2633" s="1" t="n">
        <v>45190</v>
      </c>
      <c r="D2633" t="inlineStr">
        <is>
          <t>SKÅNE LÄN</t>
        </is>
      </c>
      <c r="E2633" t="inlineStr">
        <is>
          <t>OSBY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8371-2022</t>
        </is>
      </c>
      <c r="B2634" s="1" t="n">
        <v>44610</v>
      </c>
      <c r="C2634" s="1" t="n">
        <v>45190</v>
      </c>
      <c r="D2634" t="inlineStr">
        <is>
          <t>SKÅNE LÄN</t>
        </is>
      </c>
      <c r="E2634" t="inlineStr">
        <is>
          <t>OSBY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8370-2022</t>
        </is>
      </c>
      <c r="B2635" s="1" t="n">
        <v>44610</v>
      </c>
      <c r="C2635" s="1" t="n">
        <v>45190</v>
      </c>
      <c r="D2635" t="inlineStr">
        <is>
          <t>SKÅNE LÄN</t>
        </is>
      </c>
      <c r="E2635" t="inlineStr">
        <is>
          <t>OSBY</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8382-2022</t>
        </is>
      </c>
      <c r="B2636" s="1" t="n">
        <v>44610</v>
      </c>
      <c r="C2636" s="1" t="n">
        <v>45190</v>
      </c>
      <c r="D2636" t="inlineStr">
        <is>
          <t>SKÅNE LÄN</t>
        </is>
      </c>
      <c r="E2636" t="inlineStr">
        <is>
          <t>OSBY</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8665-2022</t>
        </is>
      </c>
      <c r="B2637" s="1" t="n">
        <v>44613</v>
      </c>
      <c r="C2637" s="1" t="n">
        <v>45190</v>
      </c>
      <c r="D2637" t="inlineStr">
        <is>
          <t>SKÅNE LÄN</t>
        </is>
      </c>
      <c r="E2637" t="inlineStr">
        <is>
          <t>ÄNGELHOLM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8619-2022</t>
        </is>
      </c>
      <c r="B2638" s="1" t="n">
        <v>44613</v>
      </c>
      <c r="C2638" s="1" t="n">
        <v>45190</v>
      </c>
      <c r="D2638" t="inlineStr">
        <is>
          <t>SKÅNE LÄN</t>
        </is>
      </c>
      <c r="E2638" t="inlineStr">
        <is>
          <t>KRISTIANSTAD</t>
        </is>
      </c>
      <c r="G2638" t="n">
        <v>4.4</v>
      </c>
      <c r="H2638" t="n">
        <v>0</v>
      </c>
      <c r="I2638" t="n">
        <v>0</v>
      </c>
      <c r="J2638" t="n">
        <v>0</v>
      </c>
      <c r="K2638" t="n">
        <v>0</v>
      </c>
      <c r="L2638" t="n">
        <v>0</v>
      </c>
      <c r="M2638" t="n">
        <v>0</v>
      </c>
      <c r="N2638" t="n">
        <v>0</v>
      </c>
      <c r="O2638" t="n">
        <v>0</v>
      </c>
      <c r="P2638" t="n">
        <v>0</v>
      </c>
      <c r="Q2638" t="n">
        <v>0</v>
      </c>
      <c r="R2638" s="2" t="inlineStr"/>
    </row>
    <row r="2639" ht="15" customHeight="1">
      <c r="A2639" t="inlineStr">
        <is>
          <t>A 8700-2022</t>
        </is>
      </c>
      <c r="B2639" s="1" t="n">
        <v>44613</v>
      </c>
      <c r="C2639" s="1" t="n">
        <v>45190</v>
      </c>
      <c r="D2639" t="inlineStr">
        <is>
          <t>SKÅNE LÄN</t>
        </is>
      </c>
      <c r="E2639" t="inlineStr">
        <is>
          <t>TOMELILLA</t>
        </is>
      </c>
      <c r="F2639" t="inlineStr">
        <is>
          <t>Övriga Aktiebolag</t>
        </is>
      </c>
      <c r="G2639" t="n">
        <v>9.800000000000001</v>
      </c>
      <c r="H2639" t="n">
        <v>0</v>
      </c>
      <c r="I2639" t="n">
        <v>0</v>
      </c>
      <c r="J2639" t="n">
        <v>0</v>
      </c>
      <c r="K2639" t="n">
        <v>0</v>
      </c>
      <c r="L2639" t="n">
        <v>0</v>
      </c>
      <c r="M2639" t="n">
        <v>0</v>
      </c>
      <c r="N2639" t="n">
        <v>0</v>
      </c>
      <c r="O2639" t="n">
        <v>0</v>
      </c>
      <c r="P2639" t="n">
        <v>0</v>
      </c>
      <c r="Q2639" t="n">
        <v>0</v>
      </c>
      <c r="R2639" s="2" t="inlineStr"/>
    </row>
    <row r="2640" ht="15" customHeight="1">
      <c r="A2640" t="inlineStr">
        <is>
          <t>A 8794-2022</t>
        </is>
      </c>
      <c r="B2640" s="1" t="n">
        <v>44614</v>
      </c>
      <c r="C2640" s="1" t="n">
        <v>45190</v>
      </c>
      <c r="D2640" t="inlineStr">
        <is>
          <t>SKÅNE LÄN</t>
        </is>
      </c>
      <c r="E2640" t="inlineStr">
        <is>
          <t>OSBY</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8842-2022</t>
        </is>
      </c>
      <c r="B2641" s="1" t="n">
        <v>44614</v>
      </c>
      <c r="C2641" s="1" t="n">
        <v>45190</v>
      </c>
      <c r="D2641" t="inlineStr">
        <is>
          <t>SKÅNE LÄN</t>
        </is>
      </c>
      <c r="E2641" t="inlineStr">
        <is>
          <t>ÖSTRA GÖINGE</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9098-2022</t>
        </is>
      </c>
      <c r="B2642" s="1" t="n">
        <v>44615</v>
      </c>
      <c r="C2642" s="1" t="n">
        <v>45190</v>
      </c>
      <c r="D2642" t="inlineStr">
        <is>
          <t>SKÅNE LÄN</t>
        </is>
      </c>
      <c r="E2642" t="inlineStr">
        <is>
          <t>HÄSSLEHOLM</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9292-2022</t>
        </is>
      </c>
      <c r="B2643" s="1" t="n">
        <v>44616</v>
      </c>
      <c r="C2643" s="1" t="n">
        <v>45190</v>
      </c>
      <c r="D2643" t="inlineStr">
        <is>
          <t>SKÅNE LÄN</t>
        </is>
      </c>
      <c r="E2643" t="inlineStr">
        <is>
          <t>HÄSSLEHOLM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9270-2022</t>
        </is>
      </c>
      <c r="B2644" s="1" t="n">
        <v>44616</v>
      </c>
      <c r="C2644" s="1" t="n">
        <v>45190</v>
      </c>
      <c r="D2644" t="inlineStr">
        <is>
          <t>SKÅNE LÄN</t>
        </is>
      </c>
      <c r="E2644" t="inlineStr">
        <is>
          <t>KLIPPAN</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9655-2022</t>
        </is>
      </c>
      <c r="B2645" s="1" t="n">
        <v>44617</v>
      </c>
      <c r="C2645" s="1" t="n">
        <v>45190</v>
      </c>
      <c r="D2645" t="inlineStr">
        <is>
          <t>SKÅNE LÄN</t>
        </is>
      </c>
      <c r="E2645" t="inlineStr">
        <is>
          <t>YSTAD</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9716-2022</t>
        </is>
      </c>
      <c r="B2646" s="1" t="n">
        <v>44617</v>
      </c>
      <c r="C2646" s="1" t="n">
        <v>45190</v>
      </c>
      <c r="D2646" t="inlineStr">
        <is>
          <t>SKÅNE LÄN</t>
        </is>
      </c>
      <c r="E2646" t="inlineStr">
        <is>
          <t>SVALÖV</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9808-2022</t>
        </is>
      </c>
      <c r="B2647" s="1" t="n">
        <v>44620</v>
      </c>
      <c r="C2647" s="1" t="n">
        <v>45190</v>
      </c>
      <c r="D2647" t="inlineStr">
        <is>
          <t>SKÅNE LÄN</t>
        </is>
      </c>
      <c r="E2647" t="inlineStr">
        <is>
          <t>ÖSTRA GÖINGE</t>
        </is>
      </c>
      <c r="G2647" t="n">
        <v>0.2</v>
      </c>
      <c r="H2647" t="n">
        <v>0</v>
      </c>
      <c r="I2647" t="n">
        <v>0</v>
      </c>
      <c r="J2647" t="n">
        <v>0</v>
      </c>
      <c r="K2647" t="n">
        <v>0</v>
      </c>
      <c r="L2647" t="n">
        <v>0</v>
      </c>
      <c r="M2647" t="n">
        <v>0</v>
      </c>
      <c r="N2647" t="n">
        <v>0</v>
      </c>
      <c r="O2647" t="n">
        <v>0</v>
      </c>
      <c r="P2647" t="n">
        <v>0</v>
      </c>
      <c r="Q2647" t="n">
        <v>0</v>
      </c>
      <c r="R2647" s="2" t="inlineStr"/>
    </row>
    <row r="2648" ht="15" customHeight="1">
      <c r="A2648" t="inlineStr">
        <is>
          <t>A 9840-2022</t>
        </is>
      </c>
      <c r="B2648" s="1" t="n">
        <v>44620</v>
      </c>
      <c r="C2648" s="1" t="n">
        <v>45190</v>
      </c>
      <c r="D2648" t="inlineStr">
        <is>
          <t>SKÅNE LÄN</t>
        </is>
      </c>
      <c r="E2648" t="inlineStr">
        <is>
          <t>OSBY</t>
        </is>
      </c>
      <c r="F2648" t="inlineStr">
        <is>
          <t>Kommuner</t>
        </is>
      </c>
      <c r="G2648" t="n">
        <v>5.9</v>
      </c>
      <c r="H2648" t="n">
        <v>0</v>
      </c>
      <c r="I2648" t="n">
        <v>0</v>
      </c>
      <c r="J2648" t="n">
        <v>0</v>
      </c>
      <c r="K2648" t="n">
        <v>0</v>
      </c>
      <c r="L2648" t="n">
        <v>0</v>
      </c>
      <c r="M2648" t="n">
        <v>0</v>
      </c>
      <c r="N2648" t="n">
        <v>0</v>
      </c>
      <c r="O2648" t="n">
        <v>0</v>
      </c>
      <c r="P2648" t="n">
        <v>0</v>
      </c>
      <c r="Q2648" t="n">
        <v>0</v>
      </c>
      <c r="R2648" s="2" t="inlineStr"/>
    </row>
    <row r="2649" ht="15" customHeight="1">
      <c r="A2649" t="inlineStr">
        <is>
          <t>A 10007-2022</t>
        </is>
      </c>
      <c r="B2649" s="1" t="n">
        <v>44621</v>
      </c>
      <c r="C2649" s="1" t="n">
        <v>45190</v>
      </c>
      <c r="D2649" t="inlineStr">
        <is>
          <t>SKÅNE LÄN</t>
        </is>
      </c>
      <c r="E2649" t="inlineStr">
        <is>
          <t>HÖÖR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10194-2022</t>
        </is>
      </c>
      <c r="B2650" s="1" t="n">
        <v>44622</v>
      </c>
      <c r="C2650" s="1" t="n">
        <v>45190</v>
      </c>
      <c r="D2650" t="inlineStr">
        <is>
          <t>SKÅNE LÄN</t>
        </is>
      </c>
      <c r="E2650" t="inlineStr">
        <is>
          <t>KRISTIANSTAD</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10454-2022</t>
        </is>
      </c>
      <c r="B2651" s="1" t="n">
        <v>44623</v>
      </c>
      <c r="C2651" s="1" t="n">
        <v>45190</v>
      </c>
      <c r="D2651" t="inlineStr">
        <is>
          <t>SKÅNE LÄN</t>
        </is>
      </c>
      <c r="E2651" t="inlineStr">
        <is>
          <t>SJÖBO</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10939-2022</t>
        </is>
      </c>
      <c r="B2652" s="1" t="n">
        <v>44627</v>
      </c>
      <c r="C2652" s="1" t="n">
        <v>45190</v>
      </c>
      <c r="D2652" t="inlineStr">
        <is>
          <t>SKÅNE LÄN</t>
        </is>
      </c>
      <c r="E2652" t="inlineStr">
        <is>
          <t>ÖSTRA GÖINGE</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10781-2022</t>
        </is>
      </c>
      <c r="B2653" s="1" t="n">
        <v>44627</v>
      </c>
      <c r="C2653" s="1" t="n">
        <v>45190</v>
      </c>
      <c r="D2653" t="inlineStr">
        <is>
          <t>SKÅNE LÄN</t>
        </is>
      </c>
      <c r="E2653" t="inlineStr">
        <is>
          <t>KRISTIANSTAD</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10805-2022</t>
        </is>
      </c>
      <c r="B2654" s="1" t="n">
        <v>44627</v>
      </c>
      <c r="C2654" s="1" t="n">
        <v>45190</v>
      </c>
      <c r="D2654" t="inlineStr">
        <is>
          <t>SKÅNE LÄN</t>
        </is>
      </c>
      <c r="E2654" t="inlineStr">
        <is>
          <t>KRISTIANSTAD</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10937-2022</t>
        </is>
      </c>
      <c r="B2655" s="1" t="n">
        <v>44627</v>
      </c>
      <c r="C2655" s="1" t="n">
        <v>45190</v>
      </c>
      <c r="D2655" t="inlineStr">
        <is>
          <t>SKÅNE LÄN</t>
        </is>
      </c>
      <c r="E2655" t="inlineStr">
        <is>
          <t>ÖSTRA GÖINGE</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10971-2022</t>
        </is>
      </c>
      <c r="B2656" s="1" t="n">
        <v>44628</v>
      </c>
      <c r="C2656" s="1" t="n">
        <v>45190</v>
      </c>
      <c r="D2656" t="inlineStr">
        <is>
          <t>SKÅNE LÄN</t>
        </is>
      </c>
      <c r="E2656" t="inlineStr">
        <is>
          <t>HÖRBY</t>
        </is>
      </c>
      <c r="G2656" t="n">
        <v>2.7</v>
      </c>
      <c r="H2656" t="n">
        <v>0</v>
      </c>
      <c r="I2656" t="n">
        <v>0</v>
      </c>
      <c r="J2656" t="n">
        <v>0</v>
      </c>
      <c r="K2656" t="n">
        <v>0</v>
      </c>
      <c r="L2656" t="n">
        <v>0</v>
      </c>
      <c r="M2656" t="n">
        <v>0</v>
      </c>
      <c r="N2656" t="n">
        <v>0</v>
      </c>
      <c r="O2656" t="n">
        <v>0</v>
      </c>
      <c r="P2656" t="n">
        <v>0</v>
      </c>
      <c r="Q2656" t="n">
        <v>0</v>
      </c>
      <c r="R2656" s="2" t="inlineStr"/>
    </row>
    <row r="2657" ht="15" customHeight="1">
      <c r="A2657" t="inlineStr">
        <is>
          <t>A 11054-2022</t>
        </is>
      </c>
      <c r="B2657" s="1" t="n">
        <v>44628</v>
      </c>
      <c r="C2657" s="1" t="n">
        <v>45190</v>
      </c>
      <c r="D2657" t="inlineStr">
        <is>
          <t>SKÅNE LÄN</t>
        </is>
      </c>
      <c r="E2657" t="inlineStr">
        <is>
          <t>KRISTIANSTAD</t>
        </is>
      </c>
      <c r="G2657" t="n">
        <v>14.5</v>
      </c>
      <c r="H2657" t="n">
        <v>0</v>
      </c>
      <c r="I2657" t="n">
        <v>0</v>
      </c>
      <c r="J2657" t="n">
        <v>0</v>
      </c>
      <c r="K2657" t="n">
        <v>0</v>
      </c>
      <c r="L2657" t="n">
        <v>0</v>
      </c>
      <c r="M2657" t="n">
        <v>0</v>
      </c>
      <c r="N2657" t="n">
        <v>0</v>
      </c>
      <c r="O2657" t="n">
        <v>0</v>
      </c>
      <c r="P2657" t="n">
        <v>0</v>
      </c>
      <c r="Q2657" t="n">
        <v>0</v>
      </c>
      <c r="R2657" s="2" t="inlineStr"/>
    </row>
    <row r="2658" ht="15" customHeight="1">
      <c r="A2658" t="inlineStr">
        <is>
          <t>A 10970-2022</t>
        </is>
      </c>
      <c r="B2658" s="1" t="n">
        <v>44628</v>
      </c>
      <c r="C2658" s="1" t="n">
        <v>45190</v>
      </c>
      <c r="D2658" t="inlineStr">
        <is>
          <t>SKÅNE LÄN</t>
        </is>
      </c>
      <c r="E2658" t="inlineStr">
        <is>
          <t>KRISTIANSTAD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11067-2022</t>
        </is>
      </c>
      <c r="B2659" s="1" t="n">
        <v>44628</v>
      </c>
      <c r="C2659" s="1" t="n">
        <v>45190</v>
      </c>
      <c r="D2659" t="inlineStr">
        <is>
          <t>SKÅNE LÄN</t>
        </is>
      </c>
      <c r="E2659" t="inlineStr">
        <is>
          <t>KRISTIANSTAD</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11207-2022</t>
        </is>
      </c>
      <c r="B2660" s="1" t="n">
        <v>44629</v>
      </c>
      <c r="C2660" s="1" t="n">
        <v>45190</v>
      </c>
      <c r="D2660" t="inlineStr">
        <is>
          <t>SKÅNE LÄN</t>
        </is>
      </c>
      <c r="E2660" t="inlineStr">
        <is>
          <t>KRISTIANSTAD</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11186-2022</t>
        </is>
      </c>
      <c r="B2661" s="1" t="n">
        <v>44629</v>
      </c>
      <c r="C2661" s="1" t="n">
        <v>45190</v>
      </c>
      <c r="D2661" t="inlineStr">
        <is>
          <t>SKÅNE LÄN</t>
        </is>
      </c>
      <c r="E2661" t="inlineStr">
        <is>
          <t>HÖÖR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11673-2022</t>
        </is>
      </c>
      <c r="B2662" s="1" t="n">
        <v>44633</v>
      </c>
      <c r="C2662" s="1" t="n">
        <v>45190</v>
      </c>
      <c r="D2662" t="inlineStr">
        <is>
          <t>SKÅNE LÄN</t>
        </is>
      </c>
      <c r="E2662" t="inlineStr">
        <is>
          <t>KLIPPAN</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11795-2022</t>
        </is>
      </c>
      <c r="B2663" s="1" t="n">
        <v>44634</v>
      </c>
      <c r="C2663" s="1" t="n">
        <v>45190</v>
      </c>
      <c r="D2663" t="inlineStr">
        <is>
          <t>SKÅNE LÄN</t>
        </is>
      </c>
      <c r="E2663" t="inlineStr">
        <is>
          <t>KRISTIANSTAD</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11786-2022</t>
        </is>
      </c>
      <c r="B2664" s="1" t="n">
        <v>44634</v>
      </c>
      <c r="C2664" s="1" t="n">
        <v>45190</v>
      </c>
      <c r="D2664" t="inlineStr">
        <is>
          <t>SKÅNE LÄN</t>
        </is>
      </c>
      <c r="E2664" t="inlineStr">
        <is>
          <t>KRISTIANSTAD</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11970-2022</t>
        </is>
      </c>
      <c r="B2665" s="1" t="n">
        <v>44635</v>
      </c>
      <c r="C2665" s="1" t="n">
        <v>45190</v>
      </c>
      <c r="D2665" t="inlineStr">
        <is>
          <t>SKÅNE LÄN</t>
        </is>
      </c>
      <c r="E2665" t="inlineStr">
        <is>
          <t>ÖRKELLJUNGA</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11947-2022</t>
        </is>
      </c>
      <c r="B2666" s="1" t="n">
        <v>44635</v>
      </c>
      <c r="C2666" s="1" t="n">
        <v>45190</v>
      </c>
      <c r="D2666" t="inlineStr">
        <is>
          <t>SKÅNE LÄN</t>
        </is>
      </c>
      <c r="E2666" t="inlineStr">
        <is>
          <t>ÖSTRA GÖINGE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12141-2022</t>
        </is>
      </c>
      <c r="B2667" s="1" t="n">
        <v>44636</v>
      </c>
      <c r="C2667" s="1" t="n">
        <v>45190</v>
      </c>
      <c r="D2667" t="inlineStr">
        <is>
          <t>SKÅNE LÄN</t>
        </is>
      </c>
      <c r="E2667" t="inlineStr">
        <is>
          <t>ÖRKELLJUNGA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12036-2022</t>
        </is>
      </c>
      <c r="B2668" s="1" t="n">
        <v>44636</v>
      </c>
      <c r="C2668" s="1" t="n">
        <v>45190</v>
      </c>
      <c r="D2668" t="inlineStr">
        <is>
          <t>SKÅNE LÄN</t>
        </is>
      </c>
      <c r="E2668" t="inlineStr">
        <is>
          <t>HÄSSLEHOLM</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12503-2022</t>
        </is>
      </c>
      <c r="B2669" s="1" t="n">
        <v>44638</v>
      </c>
      <c r="C2669" s="1" t="n">
        <v>45190</v>
      </c>
      <c r="D2669" t="inlineStr">
        <is>
          <t>SKÅNE LÄN</t>
        </is>
      </c>
      <c r="E2669" t="inlineStr">
        <is>
          <t>HÄSSLEHOLM</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12500-2022</t>
        </is>
      </c>
      <c r="B2670" s="1" t="n">
        <v>44638</v>
      </c>
      <c r="C2670" s="1" t="n">
        <v>45190</v>
      </c>
      <c r="D2670" t="inlineStr">
        <is>
          <t>SKÅNE LÄN</t>
        </is>
      </c>
      <c r="E2670" t="inlineStr">
        <is>
          <t>KRISTIANSTAD</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12507-2022</t>
        </is>
      </c>
      <c r="B2671" s="1" t="n">
        <v>44638</v>
      </c>
      <c r="C2671" s="1" t="n">
        <v>45190</v>
      </c>
      <c r="D2671" t="inlineStr">
        <is>
          <t>SKÅNE LÄN</t>
        </is>
      </c>
      <c r="E2671" t="inlineStr">
        <is>
          <t>HÄSSLEHOLM</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12651-2022</t>
        </is>
      </c>
      <c r="B2672" s="1" t="n">
        <v>44641</v>
      </c>
      <c r="C2672" s="1" t="n">
        <v>45190</v>
      </c>
      <c r="D2672" t="inlineStr">
        <is>
          <t>SKÅNE LÄN</t>
        </is>
      </c>
      <c r="E2672" t="inlineStr">
        <is>
          <t>HELSINGBORG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12639-2022</t>
        </is>
      </c>
      <c r="B2673" s="1" t="n">
        <v>44641</v>
      </c>
      <c r="C2673" s="1" t="n">
        <v>45190</v>
      </c>
      <c r="D2673" t="inlineStr">
        <is>
          <t>SKÅNE LÄN</t>
        </is>
      </c>
      <c r="E2673" t="inlineStr">
        <is>
          <t>HÖGANÄS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12919-2022</t>
        </is>
      </c>
      <c r="B2674" s="1" t="n">
        <v>44642</v>
      </c>
      <c r="C2674" s="1" t="n">
        <v>45190</v>
      </c>
      <c r="D2674" t="inlineStr">
        <is>
          <t>SKÅNE LÄN</t>
        </is>
      </c>
      <c r="E2674" t="inlineStr">
        <is>
          <t>TOMELILLA</t>
        </is>
      </c>
      <c r="F2674" t="inlineStr">
        <is>
          <t>Övriga Aktiebolag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13055-2022</t>
        </is>
      </c>
      <c r="B2675" s="1" t="n">
        <v>44643</v>
      </c>
      <c r="C2675" s="1" t="n">
        <v>45190</v>
      </c>
      <c r="D2675" t="inlineStr">
        <is>
          <t>SKÅNE LÄN</t>
        </is>
      </c>
      <c r="E2675" t="inlineStr">
        <is>
          <t>SJÖBO</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13242-2022</t>
        </is>
      </c>
      <c r="B2676" s="1" t="n">
        <v>44644</v>
      </c>
      <c r="C2676" s="1" t="n">
        <v>45190</v>
      </c>
      <c r="D2676" t="inlineStr">
        <is>
          <t>SKÅNE LÄN</t>
        </is>
      </c>
      <c r="E2676" t="inlineStr">
        <is>
          <t>HÖRBY</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13192-2022</t>
        </is>
      </c>
      <c r="B2677" s="1" t="n">
        <v>44644</v>
      </c>
      <c r="C2677" s="1" t="n">
        <v>45190</v>
      </c>
      <c r="D2677" t="inlineStr">
        <is>
          <t>SKÅNE LÄN</t>
        </is>
      </c>
      <c r="E2677" t="inlineStr">
        <is>
          <t>HÖÖR</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13337-2022</t>
        </is>
      </c>
      <c r="B2678" s="1" t="n">
        <v>44645</v>
      </c>
      <c r="C2678" s="1" t="n">
        <v>45190</v>
      </c>
      <c r="D2678" t="inlineStr">
        <is>
          <t>SKÅNE LÄN</t>
        </is>
      </c>
      <c r="E2678" t="inlineStr">
        <is>
          <t>ESLÖV</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13754-2022</t>
        </is>
      </c>
      <c r="B2679" s="1" t="n">
        <v>44649</v>
      </c>
      <c r="C2679" s="1" t="n">
        <v>45190</v>
      </c>
      <c r="D2679" t="inlineStr">
        <is>
          <t>SKÅNE LÄN</t>
        </is>
      </c>
      <c r="E2679" t="inlineStr">
        <is>
          <t>LUND</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13903-2022</t>
        </is>
      </c>
      <c r="B2680" s="1" t="n">
        <v>44650</v>
      </c>
      <c r="C2680" s="1" t="n">
        <v>45190</v>
      </c>
      <c r="D2680" t="inlineStr">
        <is>
          <t>SKÅNE LÄN</t>
        </is>
      </c>
      <c r="E2680" t="inlineStr">
        <is>
          <t>OSBY</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13990-2022</t>
        </is>
      </c>
      <c r="B2681" s="1" t="n">
        <v>44650</v>
      </c>
      <c r="C2681" s="1" t="n">
        <v>45190</v>
      </c>
      <c r="D2681" t="inlineStr">
        <is>
          <t>SKÅNE LÄN</t>
        </is>
      </c>
      <c r="E2681" t="inlineStr">
        <is>
          <t>HÄSSLEHOLM</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14402-2022</t>
        </is>
      </c>
      <c r="B2682" s="1" t="n">
        <v>44652</v>
      </c>
      <c r="C2682" s="1" t="n">
        <v>45190</v>
      </c>
      <c r="D2682" t="inlineStr">
        <is>
          <t>SKÅNE LÄN</t>
        </is>
      </c>
      <c r="E2682" t="inlineStr">
        <is>
          <t>HÄSSLEHOLM</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14524-2022</t>
        </is>
      </c>
      <c r="B2683" s="1" t="n">
        <v>44655</v>
      </c>
      <c r="C2683" s="1" t="n">
        <v>45190</v>
      </c>
      <c r="D2683" t="inlineStr">
        <is>
          <t>SKÅNE LÄN</t>
        </is>
      </c>
      <c r="E2683" t="inlineStr">
        <is>
          <t>KRISTIANSTAD</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14913-2022</t>
        </is>
      </c>
      <c r="B2684" s="1" t="n">
        <v>44656</v>
      </c>
      <c r="C2684" s="1" t="n">
        <v>45190</v>
      </c>
      <c r="D2684" t="inlineStr">
        <is>
          <t>SKÅNE LÄN</t>
        </is>
      </c>
      <c r="E2684" t="inlineStr">
        <is>
          <t>KRISTIANSTAD</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14709-2022</t>
        </is>
      </c>
      <c r="B2685" s="1" t="n">
        <v>44656</v>
      </c>
      <c r="C2685" s="1" t="n">
        <v>45190</v>
      </c>
      <c r="D2685" t="inlineStr">
        <is>
          <t>SKÅNE LÄN</t>
        </is>
      </c>
      <c r="E2685" t="inlineStr">
        <is>
          <t>SJÖBO</t>
        </is>
      </c>
      <c r="F2685" t="inlineStr">
        <is>
          <t>Övriga Aktiebolag</t>
        </is>
      </c>
      <c r="G2685" t="n">
        <v>5.1</v>
      </c>
      <c r="H2685" t="n">
        <v>0</v>
      </c>
      <c r="I2685" t="n">
        <v>0</v>
      </c>
      <c r="J2685" t="n">
        <v>0</v>
      </c>
      <c r="K2685" t="n">
        <v>0</v>
      </c>
      <c r="L2685" t="n">
        <v>0</v>
      </c>
      <c r="M2685" t="n">
        <v>0</v>
      </c>
      <c r="N2685" t="n">
        <v>0</v>
      </c>
      <c r="O2685" t="n">
        <v>0</v>
      </c>
      <c r="P2685" t="n">
        <v>0</v>
      </c>
      <c r="Q2685" t="n">
        <v>0</v>
      </c>
      <c r="R2685" s="2" t="inlineStr"/>
    </row>
    <row r="2686" ht="15" customHeight="1">
      <c r="A2686" t="inlineStr">
        <is>
          <t>A 14920-2022</t>
        </is>
      </c>
      <c r="B2686" s="1" t="n">
        <v>44657</v>
      </c>
      <c r="C2686" s="1" t="n">
        <v>45190</v>
      </c>
      <c r="D2686" t="inlineStr">
        <is>
          <t>SKÅNE LÄN</t>
        </is>
      </c>
      <c r="E2686" t="inlineStr">
        <is>
          <t>BÅSTAD</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15197-2022</t>
        </is>
      </c>
      <c r="B2687" s="1" t="n">
        <v>44658</v>
      </c>
      <c r="C2687" s="1" t="n">
        <v>45190</v>
      </c>
      <c r="D2687" t="inlineStr">
        <is>
          <t>SKÅNE LÄN</t>
        </is>
      </c>
      <c r="E2687" t="inlineStr">
        <is>
          <t>TOMELILLA</t>
        </is>
      </c>
      <c r="F2687" t="inlineStr">
        <is>
          <t>Övriga Aktiebolag</t>
        </is>
      </c>
      <c r="G2687" t="n">
        <v>4.9</v>
      </c>
      <c r="H2687" t="n">
        <v>0</v>
      </c>
      <c r="I2687" t="n">
        <v>0</v>
      </c>
      <c r="J2687" t="n">
        <v>0</v>
      </c>
      <c r="K2687" t="n">
        <v>0</v>
      </c>
      <c r="L2687" t="n">
        <v>0</v>
      </c>
      <c r="M2687" t="n">
        <v>0</v>
      </c>
      <c r="N2687" t="n">
        <v>0</v>
      </c>
      <c r="O2687" t="n">
        <v>0</v>
      </c>
      <c r="P2687" t="n">
        <v>0</v>
      </c>
      <c r="Q2687" t="n">
        <v>0</v>
      </c>
      <c r="R2687" s="2" t="inlineStr"/>
    </row>
    <row r="2688" ht="15" customHeight="1">
      <c r="A2688" t="inlineStr">
        <is>
          <t>A 15118-2022</t>
        </is>
      </c>
      <c r="B2688" s="1" t="n">
        <v>44659</v>
      </c>
      <c r="C2688" s="1" t="n">
        <v>45190</v>
      </c>
      <c r="D2688" t="inlineStr">
        <is>
          <t>SKÅNE LÄN</t>
        </is>
      </c>
      <c r="E2688" t="inlineStr">
        <is>
          <t>HÄSSLEHOLM</t>
        </is>
      </c>
      <c r="F2688" t="inlineStr">
        <is>
          <t>Kyrkan</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15417-2022</t>
        </is>
      </c>
      <c r="B2689" s="1" t="n">
        <v>44659</v>
      </c>
      <c r="C2689" s="1" t="n">
        <v>45190</v>
      </c>
      <c r="D2689" t="inlineStr">
        <is>
          <t>SKÅNE LÄN</t>
        </is>
      </c>
      <c r="E2689" t="inlineStr">
        <is>
          <t>HÄSSLEHOLM</t>
        </is>
      </c>
      <c r="F2689" t="inlineStr">
        <is>
          <t>Kyrkan</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15320-2022</t>
        </is>
      </c>
      <c r="B2690" s="1" t="n">
        <v>44659</v>
      </c>
      <c r="C2690" s="1" t="n">
        <v>45190</v>
      </c>
      <c r="D2690" t="inlineStr">
        <is>
          <t>SKÅNE LÄN</t>
        </is>
      </c>
      <c r="E2690" t="inlineStr">
        <is>
          <t>SJÖBO</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15423-2022</t>
        </is>
      </c>
      <c r="B2691" s="1" t="n">
        <v>44659</v>
      </c>
      <c r="C2691" s="1" t="n">
        <v>45190</v>
      </c>
      <c r="D2691" t="inlineStr">
        <is>
          <t>SKÅNE LÄN</t>
        </is>
      </c>
      <c r="E2691" t="inlineStr">
        <is>
          <t>HÄSSLEHOLM</t>
        </is>
      </c>
      <c r="F2691" t="inlineStr">
        <is>
          <t>Kyrkan</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15570-2022</t>
        </is>
      </c>
      <c r="B2692" s="1" t="n">
        <v>44662</v>
      </c>
      <c r="C2692" s="1" t="n">
        <v>45190</v>
      </c>
      <c r="D2692" t="inlineStr">
        <is>
          <t>SKÅNE LÄN</t>
        </is>
      </c>
      <c r="E2692" t="inlineStr">
        <is>
          <t>OSBY</t>
        </is>
      </c>
      <c r="G2692" t="n">
        <v>4.6</v>
      </c>
      <c r="H2692" t="n">
        <v>0</v>
      </c>
      <c r="I2692" t="n">
        <v>0</v>
      </c>
      <c r="J2692" t="n">
        <v>0</v>
      </c>
      <c r="K2692" t="n">
        <v>0</v>
      </c>
      <c r="L2692" t="n">
        <v>0</v>
      </c>
      <c r="M2692" t="n">
        <v>0</v>
      </c>
      <c r="N2692" t="n">
        <v>0</v>
      </c>
      <c r="O2692" t="n">
        <v>0</v>
      </c>
      <c r="P2692" t="n">
        <v>0</v>
      </c>
      <c r="Q2692" t="n">
        <v>0</v>
      </c>
      <c r="R2692" s="2" t="inlineStr"/>
    </row>
    <row r="2693" ht="15" customHeight="1">
      <c r="A2693" t="inlineStr">
        <is>
          <t>A 15568-2022</t>
        </is>
      </c>
      <c r="B2693" s="1" t="n">
        <v>44662</v>
      </c>
      <c r="C2693" s="1" t="n">
        <v>45190</v>
      </c>
      <c r="D2693" t="inlineStr">
        <is>
          <t>SKÅNE LÄN</t>
        </is>
      </c>
      <c r="E2693" t="inlineStr">
        <is>
          <t>OSBY</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15794-2022</t>
        </is>
      </c>
      <c r="B2694" s="1" t="n">
        <v>44663</v>
      </c>
      <c r="C2694" s="1" t="n">
        <v>45190</v>
      </c>
      <c r="D2694" t="inlineStr">
        <is>
          <t>SKÅNE LÄN</t>
        </is>
      </c>
      <c r="E2694" t="inlineStr">
        <is>
          <t>HÖRBY</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15703-2022</t>
        </is>
      </c>
      <c r="B2695" s="1" t="n">
        <v>44663</v>
      </c>
      <c r="C2695" s="1" t="n">
        <v>45190</v>
      </c>
      <c r="D2695" t="inlineStr">
        <is>
          <t>SKÅNE LÄN</t>
        </is>
      </c>
      <c r="E2695" t="inlineStr">
        <is>
          <t>HÄSSLEHOLM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15986-2022</t>
        </is>
      </c>
      <c r="B2696" s="1" t="n">
        <v>44664</v>
      </c>
      <c r="C2696" s="1" t="n">
        <v>45190</v>
      </c>
      <c r="D2696" t="inlineStr">
        <is>
          <t>SKÅNE LÄN</t>
        </is>
      </c>
      <c r="E2696" t="inlineStr">
        <is>
          <t>HÄSSLEHOLM</t>
        </is>
      </c>
      <c r="F2696" t="inlineStr">
        <is>
          <t>Kyrkan</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15856-2022</t>
        </is>
      </c>
      <c r="B2697" s="1" t="n">
        <v>44664</v>
      </c>
      <c r="C2697" s="1" t="n">
        <v>45190</v>
      </c>
      <c r="D2697" t="inlineStr">
        <is>
          <t>SKÅNE LÄN</t>
        </is>
      </c>
      <c r="E2697" t="inlineStr">
        <is>
          <t>SJÖBO</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15951-2022</t>
        </is>
      </c>
      <c r="B2698" s="1" t="n">
        <v>44664</v>
      </c>
      <c r="C2698" s="1" t="n">
        <v>45190</v>
      </c>
      <c r="D2698" t="inlineStr">
        <is>
          <t>SKÅNE LÄN</t>
        </is>
      </c>
      <c r="E2698" t="inlineStr">
        <is>
          <t>KLIPPAN</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16027-2022</t>
        </is>
      </c>
      <c r="B2699" s="1" t="n">
        <v>44665</v>
      </c>
      <c r="C2699" s="1" t="n">
        <v>45190</v>
      </c>
      <c r="D2699" t="inlineStr">
        <is>
          <t>SKÅNE LÄN</t>
        </is>
      </c>
      <c r="E2699" t="inlineStr">
        <is>
          <t>TOMELILLA</t>
        </is>
      </c>
      <c r="F2699" t="inlineStr">
        <is>
          <t>Övriga Aktiebolag</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16204-2022</t>
        </is>
      </c>
      <c r="B2700" s="1" t="n">
        <v>44669</v>
      </c>
      <c r="C2700" s="1" t="n">
        <v>45190</v>
      </c>
      <c r="D2700" t="inlineStr">
        <is>
          <t>SKÅNE LÄN</t>
        </is>
      </c>
      <c r="E2700" t="inlineStr">
        <is>
          <t>KRISTIANSTAD</t>
        </is>
      </c>
      <c r="G2700" t="n">
        <v>4.9</v>
      </c>
      <c r="H2700" t="n">
        <v>0</v>
      </c>
      <c r="I2700" t="n">
        <v>0</v>
      </c>
      <c r="J2700" t="n">
        <v>0</v>
      </c>
      <c r="K2700" t="n">
        <v>0</v>
      </c>
      <c r="L2700" t="n">
        <v>0</v>
      </c>
      <c r="M2700" t="n">
        <v>0</v>
      </c>
      <c r="N2700" t="n">
        <v>0</v>
      </c>
      <c r="O2700" t="n">
        <v>0</v>
      </c>
      <c r="P2700" t="n">
        <v>0</v>
      </c>
      <c r="Q2700" t="n">
        <v>0</v>
      </c>
      <c r="R2700" s="2" t="inlineStr"/>
    </row>
    <row r="2701" ht="15" customHeight="1">
      <c r="A2701" t="inlineStr">
        <is>
          <t>A 16215-2022</t>
        </is>
      </c>
      <c r="B2701" s="1" t="n">
        <v>44670</v>
      </c>
      <c r="C2701" s="1" t="n">
        <v>45190</v>
      </c>
      <c r="D2701" t="inlineStr">
        <is>
          <t>SKÅNE LÄN</t>
        </is>
      </c>
      <c r="E2701" t="inlineStr">
        <is>
          <t>SVALÖV</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16273-2022</t>
        </is>
      </c>
      <c r="B2702" s="1" t="n">
        <v>44670</v>
      </c>
      <c r="C2702" s="1" t="n">
        <v>45190</v>
      </c>
      <c r="D2702" t="inlineStr">
        <is>
          <t>SKÅNE LÄN</t>
        </is>
      </c>
      <c r="E2702" t="inlineStr">
        <is>
          <t>HÄSSLEHOLM</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16326-2022</t>
        </is>
      </c>
      <c r="B2703" s="1" t="n">
        <v>44670</v>
      </c>
      <c r="C2703" s="1" t="n">
        <v>45190</v>
      </c>
      <c r="D2703" t="inlineStr">
        <is>
          <t>SKÅNE LÄN</t>
        </is>
      </c>
      <c r="E2703" t="inlineStr">
        <is>
          <t>KRISTIANSTAD</t>
        </is>
      </c>
      <c r="G2703" t="n">
        <v>15.3</v>
      </c>
      <c r="H2703" t="n">
        <v>0</v>
      </c>
      <c r="I2703" t="n">
        <v>0</v>
      </c>
      <c r="J2703" t="n">
        <v>0</v>
      </c>
      <c r="K2703" t="n">
        <v>0</v>
      </c>
      <c r="L2703" t="n">
        <v>0</v>
      </c>
      <c r="M2703" t="n">
        <v>0</v>
      </c>
      <c r="N2703" t="n">
        <v>0</v>
      </c>
      <c r="O2703" t="n">
        <v>0</v>
      </c>
      <c r="P2703" t="n">
        <v>0</v>
      </c>
      <c r="Q2703" t="n">
        <v>0</v>
      </c>
      <c r="R2703" s="2" t="inlineStr"/>
    </row>
    <row r="2704" ht="15" customHeight="1">
      <c r="A2704" t="inlineStr">
        <is>
          <t>A 16398-2022</t>
        </is>
      </c>
      <c r="B2704" s="1" t="n">
        <v>44671</v>
      </c>
      <c r="C2704" s="1" t="n">
        <v>45190</v>
      </c>
      <c r="D2704" t="inlineStr">
        <is>
          <t>SKÅNE LÄN</t>
        </is>
      </c>
      <c r="E2704" t="inlineStr">
        <is>
          <t>HÄSSLEHOLM</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16397-2022</t>
        </is>
      </c>
      <c r="B2705" s="1" t="n">
        <v>44671</v>
      </c>
      <c r="C2705" s="1" t="n">
        <v>45190</v>
      </c>
      <c r="D2705" t="inlineStr">
        <is>
          <t>SKÅNE LÄN</t>
        </is>
      </c>
      <c r="E2705" t="inlineStr">
        <is>
          <t>HÄSSLEHOLM</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16431-2022</t>
        </is>
      </c>
      <c r="B2706" s="1" t="n">
        <v>44671</v>
      </c>
      <c r="C2706" s="1" t="n">
        <v>45190</v>
      </c>
      <c r="D2706" t="inlineStr">
        <is>
          <t>SKÅNE LÄN</t>
        </is>
      </c>
      <c r="E2706" t="inlineStr">
        <is>
          <t>ÖRKELLJUNGA</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16665-2022</t>
        </is>
      </c>
      <c r="B2707" s="1" t="n">
        <v>44672</v>
      </c>
      <c r="C2707" s="1" t="n">
        <v>45190</v>
      </c>
      <c r="D2707" t="inlineStr">
        <is>
          <t>SKÅNE LÄN</t>
        </is>
      </c>
      <c r="E2707" t="inlineStr">
        <is>
          <t>HÖÖR</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16663-2022</t>
        </is>
      </c>
      <c r="B2708" s="1" t="n">
        <v>44672</v>
      </c>
      <c r="C2708" s="1" t="n">
        <v>45190</v>
      </c>
      <c r="D2708" t="inlineStr">
        <is>
          <t>SKÅNE LÄN</t>
        </is>
      </c>
      <c r="E2708" t="inlineStr">
        <is>
          <t>HÖÖR</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17530-2022</t>
        </is>
      </c>
      <c r="B2709" s="1" t="n">
        <v>44679</v>
      </c>
      <c r="C2709" s="1" t="n">
        <v>45190</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17476-2022</t>
        </is>
      </c>
      <c r="B2710" s="1" t="n">
        <v>44679</v>
      </c>
      <c r="C2710" s="1" t="n">
        <v>45190</v>
      </c>
      <c r="D2710" t="inlineStr">
        <is>
          <t>SKÅNE LÄN</t>
        </is>
      </c>
      <c r="E2710" t="inlineStr">
        <is>
          <t>ÖRKELLJUNGA</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18084-2022</t>
        </is>
      </c>
      <c r="B2711" s="1" t="n">
        <v>44684</v>
      </c>
      <c r="C2711" s="1" t="n">
        <v>45190</v>
      </c>
      <c r="D2711" t="inlineStr">
        <is>
          <t>SKÅNE LÄN</t>
        </is>
      </c>
      <c r="E2711" t="inlineStr">
        <is>
          <t>BJUV</t>
        </is>
      </c>
      <c r="G2711" t="n">
        <v>3.4</v>
      </c>
      <c r="H2711" t="n">
        <v>0</v>
      </c>
      <c r="I2711" t="n">
        <v>0</v>
      </c>
      <c r="J2711" t="n">
        <v>0</v>
      </c>
      <c r="K2711" t="n">
        <v>0</v>
      </c>
      <c r="L2711" t="n">
        <v>0</v>
      </c>
      <c r="M2711" t="n">
        <v>0</v>
      </c>
      <c r="N2711" t="n">
        <v>0</v>
      </c>
      <c r="O2711" t="n">
        <v>0</v>
      </c>
      <c r="P2711" t="n">
        <v>0</v>
      </c>
      <c r="Q2711" t="n">
        <v>0</v>
      </c>
      <c r="R2711" s="2" t="inlineStr"/>
    </row>
    <row r="2712" ht="15" customHeight="1">
      <c r="A2712" t="inlineStr">
        <is>
          <t>A 18118-2022</t>
        </is>
      </c>
      <c r="B2712" s="1" t="n">
        <v>44684</v>
      </c>
      <c r="C2712" s="1" t="n">
        <v>45190</v>
      </c>
      <c r="D2712" t="inlineStr">
        <is>
          <t>SKÅNE LÄN</t>
        </is>
      </c>
      <c r="E2712" t="inlineStr">
        <is>
          <t>BJUV</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18107-2022</t>
        </is>
      </c>
      <c r="B2713" s="1" t="n">
        <v>44684</v>
      </c>
      <c r="C2713" s="1" t="n">
        <v>45190</v>
      </c>
      <c r="D2713" t="inlineStr">
        <is>
          <t>SKÅNE LÄN</t>
        </is>
      </c>
      <c r="E2713" t="inlineStr">
        <is>
          <t>SIMRISHAMN</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18090-2022</t>
        </is>
      </c>
      <c r="B2714" s="1" t="n">
        <v>44684</v>
      </c>
      <c r="C2714" s="1" t="n">
        <v>45190</v>
      </c>
      <c r="D2714" t="inlineStr">
        <is>
          <t>SKÅNE LÄN</t>
        </is>
      </c>
      <c r="E2714" t="inlineStr">
        <is>
          <t>YSTAD</t>
        </is>
      </c>
      <c r="G2714" t="n">
        <v>4.9</v>
      </c>
      <c r="H2714" t="n">
        <v>0</v>
      </c>
      <c r="I2714" t="n">
        <v>0</v>
      </c>
      <c r="J2714" t="n">
        <v>0</v>
      </c>
      <c r="K2714" t="n">
        <v>0</v>
      </c>
      <c r="L2714" t="n">
        <v>0</v>
      </c>
      <c r="M2714" t="n">
        <v>0</v>
      </c>
      <c r="N2714" t="n">
        <v>0</v>
      </c>
      <c r="O2714" t="n">
        <v>0</v>
      </c>
      <c r="P2714" t="n">
        <v>0</v>
      </c>
      <c r="Q2714" t="n">
        <v>0</v>
      </c>
      <c r="R2714" s="2" t="inlineStr"/>
    </row>
    <row r="2715" ht="15" customHeight="1">
      <c r="A2715" t="inlineStr">
        <is>
          <t>A 18158-2022</t>
        </is>
      </c>
      <c r="B2715" s="1" t="n">
        <v>44684</v>
      </c>
      <c r="C2715" s="1" t="n">
        <v>45190</v>
      </c>
      <c r="D2715" t="inlineStr">
        <is>
          <t>SKÅNE LÄN</t>
        </is>
      </c>
      <c r="E2715" t="inlineStr">
        <is>
          <t>TOMELILLA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18322-2022</t>
        </is>
      </c>
      <c r="B2716" s="1" t="n">
        <v>44685</v>
      </c>
      <c r="C2716" s="1" t="n">
        <v>45190</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18345-2022</t>
        </is>
      </c>
      <c r="B2717" s="1" t="n">
        <v>44685</v>
      </c>
      <c r="C2717" s="1" t="n">
        <v>45190</v>
      </c>
      <c r="D2717" t="inlineStr">
        <is>
          <t>SKÅNE LÄN</t>
        </is>
      </c>
      <c r="E2717" t="inlineStr">
        <is>
          <t>HÖÖR</t>
        </is>
      </c>
      <c r="F2717" t="inlineStr">
        <is>
          <t>Sveaskog</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18449-2022</t>
        </is>
      </c>
      <c r="B2718" s="1" t="n">
        <v>44686</v>
      </c>
      <c r="C2718" s="1" t="n">
        <v>45190</v>
      </c>
      <c r="D2718" t="inlineStr">
        <is>
          <t>SKÅNE LÄN</t>
        </is>
      </c>
      <c r="E2718" t="inlineStr">
        <is>
          <t>KRISTIANSTAD</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18590-2022</t>
        </is>
      </c>
      <c r="B2719" s="1" t="n">
        <v>44687</v>
      </c>
      <c r="C2719" s="1" t="n">
        <v>45190</v>
      </c>
      <c r="D2719" t="inlineStr">
        <is>
          <t>SKÅNE LÄN</t>
        </is>
      </c>
      <c r="E2719" t="inlineStr">
        <is>
          <t>OSBY</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18873-2022</t>
        </is>
      </c>
      <c r="B2720" s="1" t="n">
        <v>44690</v>
      </c>
      <c r="C2720" s="1" t="n">
        <v>45190</v>
      </c>
      <c r="D2720" t="inlineStr">
        <is>
          <t>SKÅNE LÄN</t>
        </is>
      </c>
      <c r="E2720" t="inlineStr">
        <is>
          <t>LUND</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18872-2022</t>
        </is>
      </c>
      <c r="B2721" s="1" t="n">
        <v>44690</v>
      </c>
      <c r="C2721" s="1" t="n">
        <v>45190</v>
      </c>
      <c r="D2721" t="inlineStr">
        <is>
          <t>SKÅNE LÄN</t>
        </is>
      </c>
      <c r="E2721" t="inlineStr">
        <is>
          <t>ESLÖV</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18939-2022</t>
        </is>
      </c>
      <c r="B2722" s="1" t="n">
        <v>44690</v>
      </c>
      <c r="C2722" s="1" t="n">
        <v>45190</v>
      </c>
      <c r="D2722" t="inlineStr">
        <is>
          <t>SKÅNE LÄN</t>
        </is>
      </c>
      <c r="E2722" t="inlineStr">
        <is>
          <t>HÖÖR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19094-2022</t>
        </is>
      </c>
      <c r="B2723" s="1" t="n">
        <v>44691</v>
      </c>
      <c r="C2723" s="1" t="n">
        <v>45190</v>
      </c>
      <c r="D2723" t="inlineStr">
        <is>
          <t>SKÅNE LÄN</t>
        </is>
      </c>
      <c r="E2723" t="inlineStr">
        <is>
          <t>KLIPPAN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19420-2022</t>
        </is>
      </c>
      <c r="B2724" s="1" t="n">
        <v>44693</v>
      </c>
      <c r="C2724" s="1" t="n">
        <v>45190</v>
      </c>
      <c r="D2724" t="inlineStr">
        <is>
          <t>SKÅNE LÄN</t>
        </is>
      </c>
      <c r="E2724" t="inlineStr">
        <is>
          <t>HÖRBY</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19503-2022</t>
        </is>
      </c>
      <c r="B2725" s="1" t="n">
        <v>44693</v>
      </c>
      <c r="C2725" s="1" t="n">
        <v>45190</v>
      </c>
      <c r="D2725" t="inlineStr">
        <is>
          <t>SKÅNE LÄN</t>
        </is>
      </c>
      <c r="E2725" t="inlineStr">
        <is>
          <t>ÄNGELHOLM</t>
        </is>
      </c>
      <c r="G2725" t="n">
        <v>5.1</v>
      </c>
      <c r="H2725" t="n">
        <v>0</v>
      </c>
      <c r="I2725" t="n">
        <v>0</v>
      </c>
      <c r="J2725" t="n">
        <v>0</v>
      </c>
      <c r="K2725" t="n">
        <v>0</v>
      </c>
      <c r="L2725" t="n">
        <v>0</v>
      </c>
      <c r="M2725" t="n">
        <v>0</v>
      </c>
      <c r="N2725" t="n">
        <v>0</v>
      </c>
      <c r="O2725" t="n">
        <v>0</v>
      </c>
      <c r="P2725" t="n">
        <v>0</v>
      </c>
      <c r="Q2725" t="n">
        <v>0</v>
      </c>
      <c r="R2725" s="2" t="inlineStr"/>
    </row>
    <row r="2726" ht="15" customHeight="1">
      <c r="A2726" t="inlineStr">
        <is>
          <t>A 19642-2022</t>
        </is>
      </c>
      <c r="B2726" s="1" t="n">
        <v>44694</v>
      </c>
      <c r="C2726" s="1" t="n">
        <v>45190</v>
      </c>
      <c r="D2726" t="inlineStr">
        <is>
          <t>SKÅNE LÄN</t>
        </is>
      </c>
      <c r="E2726" t="inlineStr">
        <is>
          <t>KRISTIANSTAD</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19750-2022</t>
        </is>
      </c>
      <c r="B2727" s="1" t="n">
        <v>44694</v>
      </c>
      <c r="C2727" s="1" t="n">
        <v>45190</v>
      </c>
      <c r="D2727" t="inlineStr">
        <is>
          <t>SKÅNE LÄN</t>
        </is>
      </c>
      <c r="E2727" t="inlineStr">
        <is>
          <t>OSBY</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19999-2022</t>
        </is>
      </c>
      <c r="B2728" s="1" t="n">
        <v>44697</v>
      </c>
      <c r="C2728" s="1" t="n">
        <v>45190</v>
      </c>
      <c r="D2728" t="inlineStr">
        <is>
          <t>SKÅNE LÄN</t>
        </is>
      </c>
      <c r="E2728" t="inlineStr">
        <is>
          <t>KLIPPAN</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19910-2022</t>
        </is>
      </c>
      <c r="B2729" s="1" t="n">
        <v>44697</v>
      </c>
      <c r="C2729" s="1" t="n">
        <v>45190</v>
      </c>
      <c r="D2729" t="inlineStr">
        <is>
          <t>SKÅNE LÄN</t>
        </is>
      </c>
      <c r="E2729" t="inlineStr">
        <is>
          <t>KRISTIANSTAD</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19981-2022</t>
        </is>
      </c>
      <c r="B2730" s="1" t="n">
        <v>44697</v>
      </c>
      <c r="C2730" s="1" t="n">
        <v>45190</v>
      </c>
      <c r="D2730" t="inlineStr">
        <is>
          <t>SKÅNE LÄN</t>
        </is>
      </c>
      <c r="E2730" t="inlineStr">
        <is>
          <t>HÖRBY</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20012-2022</t>
        </is>
      </c>
      <c r="B2731" s="1" t="n">
        <v>44697</v>
      </c>
      <c r="C2731" s="1" t="n">
        <v>45190</v>
      </c>
      <c r="D2731" t="inlineStr">
        <is>
          <t>SKÅNE LÄN</t>
        </is>
      </c>
      <c r="E2731" t="inlineStr">
        <is>
          <t>KLIPPAN</t>
        </is>
      </c>
      <c r="G2731" t="n">
        <v>17.2</v>
      </c>
      <c r="H2731" t="n">
        <v>0</v>
      </c>
      <c r="I2731" t="n">
        <v>0</v>
      </c>
      <c r="J2731" t="n">
        <v>0</v>
      </c>
      <c r="K2731" t="n">
        <v>0</v>
      </c>
      <c r="L2731" t="n">
        <v>0</v>
      </c>
      <c r="M2731" t="n">
        <v>0</v>
      </c>
      <c r="N2731" t="n">
        <v>0</v>
      </c>
      <c r="O2731" t="n">
        <v>0</v>
      </c>
      <c r="P2731" t="n">
        <v>0</v>
      </c>
      <c r="Q2731" t="n">
        <v>0</v>
      </c>
      <c r="R2731" s="2" t="inlineStr"/>
    </row>
    <row r="2732" ht="15" customHeight="1">
      <c r="A2732" t="inlineStr">
        <is>
          <t>A 19970-2022</t>
        </is>
      </c>
      <c r="B2732" s="1" t="n">
        <v>44697</v>
      </c>
      <c r="C2732" s="1" t="n">
        <v>45190</v>
      </c>
      <c r="D2732" t="inlineStr">
        <is>
          <t>SKÅNE LÄN</t>
        </is>
      </c>
      <c r="E2732" t="inlineStr">
        <is>
          <t>HÖRBY</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20193-2022</t>
        </is>
      </c>
      <c r="B2733" s="1" t="n">
        <v>44698</v>
      </c>
      <c r="C2733" s="1" t="n">
        <v>45190</v>
      </c>
      <c r="D2733" t="inlineStr">
        <is>
          <t>SKÅNE LÄN</t>
        </is>
      </c>
      <c r="E2733" t="inlineStr">
        <is>
          <t>TOMELILLA</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20202-2022</t>
        </is>
      </c>
      <c r="B2734" s="1" t="n">
        <v>44698</v>
      </c>
      <c r="C2734" s="1" t="n">
        <v>45190</v>
      </c>
      <c r="D2734" t="inlineStr">
        <is>
          <t>SKÅNE LÄN</t>
        </is>
      </c>
      <c r="E2734" t="inlineStr">
        <is>
          <t>BJUV</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20227-2022</t>
        </is>
      </c>
      <c r="B2735" s="1" t="n">
        <v>44698</v>
      </c>
      <c r="C2735" s="1" t="n">
        <v>45190</v>
      </c>
      <c r="D2735" t="inlineStr">
        <is>
          <t>SKÅNE LÄN</t>
        </is>
      </c>
      <c r="E2735" t="inlineStr">
        <is>
          <t>OSBY</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20324-2022</t>
        </is>
      </c>
      <c r="B2736" s="1" t="n">
        <v>44699</v>
      </c>
      <c r="C2736" s="1" t="n">
        <v>45190</v>
      </c>
      <c r="D2736" t="inlineStr">
        <is>
          <t>SKÅNE LÄN</t>
        </is>
      </c>
      <c r="E2736" t="inlineStr">
        <is>
          <t>SKURUP</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20622-2022</t>
        </is>
      </c>
      <c r="B2737" s="1" t="n">
        <v>44700</v>
      </c>
      <c r="C2737" s="1" t="n">
        <v>45190</v>
      </c>
      <c r="D2737" t="inlineStr">
        <is>
          <t>SKÅNE LÄN</t>
        </is>
      </c>
      <c r="E2737" t="inlineStr">
        <is>
          <t>ÖSTRA GÖINGE</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20657-2022</t>
        </is>
      </c>
      <c r="B2738" s="1" t="n">
        <v>44700</v>
      </c>
      <c r="C2738" s="1" t="n">
        <v>45190</v>
      </c>
      <c r="D2738" t="inlineStr">
        <is>
          <t>SKÅNE LÄN</t>
        </is>
      </c>
      <c r="E2738" t="inlineStr">
        <is>
          <t>HÄSSLEHOLM</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20690-2022</t>
        </is>
      </c>
      <c r="B2739" s="1" t="n">
        <v>44700</v>
      </c>
      <c r="C2739" s="1" t="n">
        <v>45190</v>
      </c>
      <c r="D2739" t="inlineStr">
        <is>
          <t>SKÅNE LÄN</t>
        </is>
      </c>
      <c r="E2739" t="inlineStr">
        <is>
          <t>KLIPPAN</t>
        </is>
      </c>
      <c r="F2739" t="inlineStr">
        <is>
          <t>Kommuner</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21140-2022</t>
        </is>
      </c>
      <c r="B2740" s="1" t="n">
        <v>44704</v>
      </c>
      <c r="C2740" s="1" t="n">
        <v>45190</v>
      </c>
      <c r="D2740" t="inlineStr">
        <is>
          <t>SKÅNE LÄN</t>
        </is>
      </c>
      <c r="E2740" t="inlineStr">
        <is>
          <t>ÖRKELLJUNGA</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21152-2022</t>
        </is>
      </c>
      <c r="B2741" s="1" t="n">
        <v>44704</v>
      </c>
      <c r="C2741" s="1" t="n">
        <v>45190</v>
      </c>
      <c r="D2741" t="inlineStr">
        <is>
          <t>SKÅNE LÄN</t>
        </is>
      </c>
      <c r="E2741" t="inlineStr">
        <is>
          <t>ÖRKELLJUNGA</t>
        </is>
      </c>
      <c r="G2741" t="n">
        <v>2.8</v>
      </c>
      <c r="H2741" t="n">
        <v>0</v>
      </c>
      <c r="I2741" t="n">
        <v>0</v>
      </c>
      <c r="J2741" t="n">
        <v>0</v>
      </c>
      <c r="K2741" t="n">
        <v>0</v>
      </c>
      <c r="L2741" t="n">
        <v>0</v>
      </c>
      <c r="M2741" t="n">
        <v>0</v>
      </c>
      <c r="N2741" t="n">
        <v>0</v>
      </c>
      <c r="O2741" t="n">
        <v>0</v>
      </c>
      <c r="P2741" t="n">
        <v>0</v>
      </c>
      <c r="Q2741" t="n">
        <v>0</v>
      </c>
      <c r="R2741" s="2" t="inlineStr"/>
    </row>
    <row r="2742" ht="15" customHeight="1">
      <c r="A2742" t="inlineStr">
        <is>
          <t>A 21072-2022</t>
        </is>
      </c>
      <c r="B2742" s="1" t="n">
        <v>44704</v>
      </c>
      <c r="C2742" s="1" t="n">
        <v>45190</v>
      </c>
      <c r="D2742" t="inlineStr">
        <is>
          <t>SKÅNE LÄN</t>
        </is>
      </c>
      <c r="E2742" t="inlineStr">
        <is>
          <t>SVEDALA</t>
        </is>
      </c>
      <c r="G2742" t="n">
        <v>3.9</v>
      </c>
      <c r="H2742" t="n">
        <v>0</v>
      </c>
      <c r="I2742" t="n">
        <v>0</v>
      </c>
      <c r="J2742" t="n">
        <v>0</v>
      </c>
      <c r="K2742" t="n">
        <v>0</v>
      </c>
      <c r="L2742" t="n">
        <v>0</v>
      </c>
      <c r="M2742" t="n">
        <v>0</v>
      </c>
      <c r="N2742" t="n">
        <v>0</v>
      </c>
      <c r="O2742" t="n">
        <v>0</v>
      </c>
      <c r="P2742" t="n">
        <v>0</v>
      </c>
      <c r="Q2742" t="n">
        <v>0</v>
      </c>
      <c r="R2742" s="2" t="inlineStr"/>
    </row>
    <row r="2743" ht="15" customHeight="1">
      <c r="A2743" t="inlineStr">
        <is>
          <t>A 21146-2022</t>
        </is>
      </c>
      <c r="B2743" s="1" t="n">
        <v>44704</v>
      </c>
      <c r="C2743" s="1" t="n">
        <v>45190</v>
      </c>
      <c r="D2743" t="inlineStr">
        <is>
          <t>SKÅNE LÄN</t>
        </is>
      </c>
      <c r="E2743" t="inlineStr">
        <is>
          <t>ÖRKELLJUNGA</t>
        </is>
      </c>
      <c r="G2743" t="n">
        <v>7.4</v>
      </c>
      <c r="H2743" t="n">
        <v>0</v>
      </c>
      <c r="I2743" t="n">
        <v>0</v>
      </c>
      <c r="J2743" t="n">
        <v>0</v>
      </c>
      <c r="K2743" t="n">
        <v>0</v>
      </c>
      <c r="L2743" t="n">
        <v>0</v>
      </c>
      <c r="M2743" t="n">
        <v>0</v>
      </c>
      <c r="N2743" t="n">
        <v>0</v>
      </c>
      <c r="O2743" t="n">
        <v>0</v>
      </c>
      <c r="P2743" t="n">
        <v>0</v>
      </c>
      <c r="Q2743" t="n">
        <v>0</v>
      </c>
      <c r="R2743" s="2" t="inlineStr"/>
    </row>
    <row r="2744" ht="15" customHeight="1">
      <c r="A2744" t="inlineStr">
        <is>
          <t>A 21393-2022</t>
        </is>
      </c>
      <c r="B2744" s="1" t="n">
        <v>44705</v>
      </c>
      <c r="C2744" s="1" t="n">
        <v>45190</v>
      </c>
      <c r="D2744" t="inlineStr">
        <is>
          <t>SKÅNE LÄN</t>
        </is>
      </c>
      <c r="E2744" t="inlineStr">
        <is>
          <t>KRISTIANSTAD</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21390-2022</t>
        </is>
      </c>
      <c r="B2745" s="1" t="n">
        <v>44705</v>
      </c>
      <c r="C2745" s="1" t="n">
        <v>45190</v>
      </c>
      <c r="D2745" t="inlineStr">
        <is>
          <t>SKÅNE LÄN</t>
        </is>
      </c>
      <c r="E2745" t="inlineStr">
        <is>
          <t>KRISTIANSTAD</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21310-2022</t>
        </is>
      </c>
      <c r="B2746" s="1" t="n">
        <v>44705</v>
      </c>
      <c r="C2746" s="1" t="n">
        <v>45190</v>
      </c>
      <c r="D2746" t="inlineStr">
        <is>
          <t>SKÅNE LÄN</t>
        </is>
      </c>
      <c r="E2746" t="inlineStr">
        <is>
          <t>HÄSSLEHOLM</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21356-2022</t>
        </is>
      </c>
      <c r="B2747" s="1" t="n">
        <v>44705</v>
      </c>
      <c r="C2747" s="1" t="n">
        <v>45190</v>
      </c>
      <c r="D2747" t="inlineStr">
        <is>
          <t>SKÅNE LÄN</t>
        </is>
      </c>
      <c r="E2747" t="inlineStr">
        <is>
          <t>HÄSSLEHOLM</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21423-2022</t>
        </is>
      </c>
      <c r="B2748" s="1" t="n">
        <v>44706</v>
      </c>
      <c r="C2748" s="1" t="n">
        <v>45190</v>
      </c>
      <c r="D2748" t="inlineStr">
        <is>
          <t>SKÅNE LÄN</t>
        </is>
      </c>
      <c r="E2748" t="inlineStr">
        <is>
          <t>SJÖBO</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21417-2022</t>
        </is>
      </c>
      <c r="B2749" s="1" t="n">
        <v>44706</v>
      </c>
      <c r="C2749" s="1" t="n">
        <v>45190</v>
      </c>
      <c r="D2749" t="inlineStr">
        <is>
          <t>SKÅNE LÄN</t>
        </is>
      </c>
      <c r="E2749" t="inlineStr">
        <is>
          <t>KRISTIANSTAD</t>
        </is>
      </c>
      <c r="G2749" t="n">
        <v>5.5</v>
      </c>
      <c r="H2749" t="n">
        <v>0</v>
      </c>
      <c r="I2749" t="n">
        <v>0</v>
      </c>
      <c r="J2749" t="n">
        <v>0</v>
      </c>
      <c r="K2749" t="n">
        <v>0</v>
      </c>
      <c r="L2749" t="n">
        <v>0</v>
      </c>
      <c r="M2749" t="n">
        <v>0</v>
      </c>
      <c r="N2749" t="n">
        <v>0</v>
      </c>
      <c r="O2749" t="n">
        <v>0</v>
      </c>
      <c r="P2749" t="n">
        <v>0</v>
      </c>
      <c r="Q2749" t="n">
        <v>0</v>
      </c>
      <c r="R2749" s="2" t="inlineStr"/>
    </row>
    <row r="2750" ht="15" customHeight="1">
      <c r="A2750" t="inlineStr">
        <is>
          <t>A 21425-2022</t>
        </is>
      </c>
      <c r="B2750" s="1" t="n">
        <v>44706</v>
      </c>
      <c r="C2750" s="1" t="n">
        <v>45190</v>
      </c>
      <c r="D2750" t="inlineStr">
        <is>
          <t>SKÅNE LÄN</t>
        </is>
      </c>
      <c r="E2750" t="inlineStr">
        <is>
          <t>SJÖBO</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21426-2022</t>
        </is>
      </c>
      <c r="B2751" s="1" t="n">
        <v>44706</v>
      </c>
      <c r="C2751" s="1" t="n">
        <v>45190</v>
      </c>
      <c r="D2751" t="inlineStr">
        <is>
          <t>SKÅNE LÄN</t>
        </is>
      </c>
      <c r="E2751" t="inlineStr">
        <is>
          <t>SJÖBO</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21424-2022</t>
        </is>
      </c>
      <c r="B2752" s="1" t="n">
        <v>44706</v>
      </c>
      <c r="C2752" s="1" t="n">
        <v>45190</v>
      </c>
      <c r="D2752" t="inlineStr">
        <is>
          <t>SKÅNE LÄN</t>
        </is>
      </c>
      <c r="E2752" t="inlineStr">
        <is>
          <t>SJÖBO</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22256-2022</t>
        </is>
      </c>
      <c r="B2753" s="1" t="n">
        <v>44712</v>
      </c>
      <c r="C2753" s="1" t="n">
        <v>45190</v>
      </c>
      <c r="D2753" t="inlineStr">
        <is>
          <t>SKÅNE LÄN</t>
        </is>
      </c>
      <c r="E2753" t="inlineStr">
        <is>
          <t>BJUV</t>
        </is>
      </c>
      <c r="G2753" t="n">
        <v>11.2</v>
      </c>
      <c r="H2753" t="n">
        <v>0</v>
      </c>
      <c r="I2753" t="n">
        <v>0</v>
      </c>
      <c r="J2753" t="n">
        <v>0</v>
      </c>
      <c r="K2753" t="n">
        <v>0</v>
      </c>
      <c r="L2753" t="n">
        <v>0</v>
      </c>
      <c r="M2753" t="n">
        <v>0</v>
      </c>
      <c r="N2753" t="n">
        <v>0</v>
      </c>
      <c r="O2753" t="n">
        <v>0</v>
      </c>
      <c r="P2753" t="n">
        <v>0</v>
      </c>
      <c r="Q2753" t="n">
        <v>0</v>
      </c>
      <c r="R2753" s="2" t="inlineStr"/>
    </row>
    <row r="2754" ht="15" customHeight="1">
      <c r="A2754" t="inlineStr">
        <is>
          <t>A 22292-2022</t>
        </is>
      </c>
      <c r="B2754" s="1" t="n">
        <v>44712</v>
      </c>
      <c r="C2754" s="1" t="n">
        <v>45190</v>
      </c>
      <c r="D2754" t="inlineStr">
        <is>
          <t>SKÅNE LÄN</t>
        </is>
      </c>
      <c r="E2754" t="inlineStr">
        <is>
          <t>KRISTIANSTAD</t>
        </is>
      </c>
      <c r="F2754" t="inlineStr">
        <is>
          <t>Övriga Aktiebolag</t>
        </is>
      </c>
      <c r="G2754" t="n">
        <v>19.5</v>
      </c>
      <c r="H2754" t="n">
        <v>0</v>
      </c>
      <c r="I2754" t="n">
        <v>0</v>
      </c>
      <c r="J2754" t="n">
        <v>0</v>
      </c>
      <c r="K2754" t="n">
        <v>0</v>
      </c>
      <c r="L2754" t="n">
        <v>0</v>
      </c>
      <c r="M2754" t="n">
        <v>0</v>
      </c>
      <c r="N2754" t="n">
        <v>0</v>
      </c>
      <c r="O2754" t="n">
        <v>0</v>
      </c>
      <c r="P2754" t="n">
        <v>0</v>
      </c>
      <c r="Q2754" t="n">
        <v>0</v>
      </c>
      <c r="R2754" s="2" t="inlineStr"/>
    </row>
    <row r="2755" ht="15" customHeight="1">
      <c r="A2755" t="inlineStr">
        <is>
          <t>A 22293-2022</t>
        </is>
      </c>
      <c r="B2755" s="1" t="n">
        <v>44712</v>
      </c>
      <c r="C2755" s="1" t="n">
        <v>45190</v>
      </c>
      <c r="D2755" t="inlineStr">
        <is>
          <t>SKÅNE LÄN</t>
        </is>
      </c>
      <c r="E2755" t="inlineStr">
        <is>
          <t>BJUV</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22392-2022</t>
        </is>
      </c>
      <c r="B2756" s="1" t="n">
        <v>44713</v>
      </c>
      <c r="C2756" s="1" t="n">
        <v>45190</v>
      </c>
      <c r="D2756" t="inlineStr">
        <is>
          <t>SKÅNE LÄN</t>
        </is>
      </c>
      <c r="E2756" t="inlineStr">
        <is>
          <t>HÖÖR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22406-2022</t>
        </is>
      </c>
      <c r="B2757" s="1" t="n">
        <v>44713</v>
      </c>
      <c r="C2757" s="1" t="n">
        <v>45190</v>
      </c>
      <c r="D2757" t="inlineStr">
        <is>
          <t>SKÅNE LÄN</t>
        </is>
      </c>
      <c r="E2757" t="inlineStr">
        <is>
          <t>SJÖBO</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22504-2022</t>
        </is>
      </c>
      <c r="B2758" s="1" t="n">
        <v>44713</v>
      </c>
      <c r="C2758" s="1" t="n">
        <v>45190</v>
      </c>
      <c r="D2758" t="inlineStr">
        <is>
          <t>SKÅNE LÄN</t>
        </is>
      </c>
      <c r="E2758" t="inlineStr">
        <is>
          <t>KRISTIANSTAD</t>
        </is>
      </c>
      <c r="F2758" t="inlineStr">
        <is>
          <t>Övriga Aktiebolag</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23172-2022</t>
        </is>
      </c>
      <c r="B2759" s="1" t="n">
        <v>44719</v>
      </c>
      <c r="C2759" s="1" t="n">
        <v>45190</v>
      </c>
      <c r="D2759" t="inlineStr">
        <is>
          <t>SKÅNE LÄN</t>
        </is>
      </c>
      <c r="E2759" t="inlineStr">
        <is>
          <t>HÄSSLEHOLM</t>
        </is>
      </c>
      <c r="F2759" t="inlineStr">
        <is>
          <t>Övriga Aktiebolag</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23288-2022</t>
        </is>
      </c>
      <c r="B2760" s="1" t="n">
        <v>44720</v>
      </c>
      <c r="C2760" s="1" t="n">
        <v>45190</v>
      </c>
      <c r="D2760" t="inlineStr">
        <is>
          <t>SKÅNE LÄN</t>
        </is>
      </c>
      <c r="E2760" t="inlineStr">
        <is>
          <t>SIMRISHAMN</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23412-2022</t>
        </is>
      </c>
      <c r="B2761" s="1" t="n">
        <v>44720</v>
      </c>
      <c r="C2761" s="1" t="n">
        <v>45190</v>
      </c>
      <c r="D2761" t="inlineStr">
        <is>
          <t>SKÅNE LÄN</t>
        </is>
      </c>
      <c r="E2761" t="inlineStr">
        <is>
          <t>KRISTIANSTAD</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23287-2022</t>
        </is>
      </c>
      <c r="B2762" s="1" t="n">
        <v>44720</v>
      </c>
      <c r="C2762" s="1" t="n">
        <v>45190</v>
      </c>
      <c r="D2762" t="inlineStr">
        <is>
          <t>SKÅNE LÄN</t>
        </is>
      </c>
      <c r="E2762" t="inlineStr">
        <is>
          <t>SIMRISHAMN</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23621-2022</t>
        </is>
      </c>
      <c r="B2763" s="1" t="n">
        <v>44721</v>
      </c>
      <c r="C2763" s="1" t="n">
        <v>45190</v>
      </c>
      <c r="D2763" t="inlineStr">
        <is>
          <t>SKÅNE LÄN</t>
        </is>
      </c>
      <c r="E2763" t="inlineStr">
        <is>
          <t>ÖRKELLJUNGA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23457-2022</t>
        </is>
      </c>
      <c r="B2764" s="1" t="n">
        <v>44721</v>
      </c>
      <c r="C2764" s="1" t="n">
        <v>45190</v>
      </c>
      <c r="D2764" t="inlineStr">
        <is>
          <t>SKÅNE LÄN</t>
        </is>
      </c>
      <c r="E2764" t="inlineStr">
        <is>
          <t>KRISTIANSTAD</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23461-2022</t>
        </is>
      </c>
      <c r="B2765" s="1" t="n">
        <v>44721</v>
      </c>
      <c r="C2765" s="1" t="n">
        <v>45190</v>
      </c>
      <c r="D2765" t="inlineStr">
        <is>
          <t>SKÅNE LÄN</t>
        </is>
      </c>
      <c r="E2765" t="inlineStr">
        <is>
          <t>TOMELILLA</t>
        </is>
      </c>
      <c r="F2765" t="inlineStr">
        <is>
          <t>Övriga Aktiebolag</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23874-2022</t>
        </is>
      </c>
      <c r="B2766" s="1" t="n">
        <v>44722</v>
      </c>
      <c r="C2766" s="1" t="n">
        <v>45190</v>
      </c>
      <c r="D2766" t="inlineStr">
        <is>
          <t>SKÅNE LÄN</t>
        </is>
      </c>
      <c r="E2766" t="inlineStr">
        <is>
          <t>KLIPPAN</t>
        </is>
      </c>
      <c r="G2766" t="n">
        <v>7.8</v>
      </c>
      <c r="H2766" t="n">
        <v>0</v>
      </c>
      <c r="I2766" t="n">
        <v>0</v>
      </c>
      <c r="J2766" t="n">
        <v>0</v>
      </c>
      <c r="K2766" t="n">
        <v>0</v>
      </c>
      <c r="L2766" t="n">
        <v>0</v>
      </c>
      <c r="M2766" t="n">
        <v>0</v>
      </c>
      <c r="N2766" t="n">
        <v>0</v>
      </c>
      <c r="O2766" t="n">
        <v>0</v>
      </c>
      <c r="P2766" t="n">
        <v>0</v>
      </c>
      <c r="Q2766" t="n">
        <v>0</v>
      </c>
      <c r="R2766" s="2" t="inlineStr"/>
    </row>
    <row r="2767" ht="15" customHeight="1">
      <c r="A2767" t="inlineStr">
        <is>
          <t>A 23879-2022</t>
        </is>
      </c>
      <c r="B2767" s="1" t="n">
        <v>44722</v>
      </c>
      <c r="C2767" s="1" t="n">
        <v>45190</v>
      </c>
      <c r="D2767" t="inlineStr">
        <is>
          <t>SKÅNE LÄN</t>
        </is>
      </c>
      <c r="E2767" t="inlineStr">
        <is>
          <t>HÄSSLEHOLM</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23963-2022</t>
        </is>
      </c>
      <c r="B2768" s="1" t="n">
        <v>44722</v>
      </c>
      <c r="C2768" s="1" t="n">
        <v>45190</v>
      </c>
      <c r="D2768" t="inlineStr">
        <is>
          <t>SKÅNE LÄN</t>
        </is>
      </c>
      <c r="E2768" t="inlineStr">
        <is>
          <t>OSBY</t>
        </is>
      </c>
      <c r="F2768" t="inlineStr">
        <is>
          <t>Kyrkan</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23978-2022</t>
        </is>
      </c>
      <c r="B2769" s="1" t="n">
        <v>44722</v>
      </c>
      <c r="C2769" s="1" t="n">
        <v>45190</v>
      </c>
      <c r="D2769" t="inlineStr">
        <is>
          <t>SKÅNE LÄN</t>
        </is>
      </c>
      <c r="E2769" t="inlineStr">
        <is>
          <t>KLIPPAN</t>
        </is>
      </c>
      <c r="G2769" t="n">
        <v>9.699999999999999</v>
      </c>
      <c r="H2769" t="n">
        <v>0</v>
      </c>
      <c r="I2769" t="n">
        <v>0</v>
      </c>
      <c r="J2769" t="n">
        <v>0</v>
      </c>
      <c r="K2769" t="n">
        <v>0</v>
      </c>
      <c r="L2769" t="n">
        <v>0</v>
      </c>
      <c r="M2769" t="n">
        <v>0</v>
      </c>
      <c r="N2769" t="n">
        <v>0</v>
      </c>
      <c r="O2769" t="n">
        <v>0</v>
      </c>
      <c r="P2769" t="n">
        <v>0</v>
      </c>
      <c r="Q2769" t="n">
        <v>0</v>
      </c>
      <c r="R2769" s="2" t="inlineStr"/>
    </row>
    <row r="2770" ht="15" customHeight="1">
      <c r="A2770" t="inlineStr">
        <is>
          <t>A 24027-2022</t>
        </is>
      </c>
      <c r="B2770" s="1" t="n">
        <v>44723</v>
      </c>
      <c r="C2770" s="1" t="n">
        <v>45190</v>
      </c>
      <c r="D2770" t="inlineStr">
        <is>
          <t>SKÅNE LÄN</t>
        </is>
      </c>
      <c r="E2770" t="inlineStr">
        <is>
          <t>ÖSTRA GÖINGE</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24115-2022</t>
        </is>
      </c>
      <c r="B2771" s="1" t="n">
        <v>44725</v>
      </c>
      <c r="C2771" s="1" t="n">
        <v>45190</v>
      </c>
      <c r="D2771" t="inlineStr">
        <is>
          <t>SKÅNE LÄN</t>
        </is>
      </c>
      <c r="E2771" t="inlineStr">
        <is>
          <t>ESLÖV</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24415-2022</t>
        </is>
      </c>
      <c r="B2772" s="1" t="n">
        <v>44725</v>
      </c>
      <c r="C2772" s="1" t="n">
        <v>45190</v>
      </c>
      <c r="D2772" t="inlineStr">
        <is>
          <t>SKÅNE LÄN</t>
        </is>
      </c>
      <c r="E2772" t="inlineStr">
        <is>
          <t>KRISTIANSTAD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24547-2022</t>
        </is>
      </c>
      <c r="B2773" s="1" t="n">
        <v>44727</v>
      </c>
      <c r="C2773" s="1" t="n">
        <v>45190</v>
      </c>
      <c r="D2773" t="inlineStr">
        <is>
          <t>SKÅNE LÄN</t>
        </is>
      </c>
      <c r="E2773" t="inlineStr">
        <is>
          <t>ÖSTRA GÖINGE</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24896-2022</t>
        </is>
      </c>
      <c r="B2774" s="1" t="n">
        <v>44728</v>
      </c>
      <c r="C2774" s="1" t="n">
        <v>45190</v>
      </c>
      <c r="D2774" t="inlineStr">
        <is>
          <t>SKÅNE LÄN</t>
        </is>
      </c>
      <c r="E2774" t="inlineStr">
        <is>
          <t>HÄSSLEHOLM</t>
        </is>
      </c>
      <c r="G2774" t="n">
        <v>5</v>
      </c>
      <c r="H2774" t="n">
        <v>0</v>
      </c>
      <c r="I2774" t="n">
        <v>0</v>
      </c>
      <c r="J2774" t="n">
        <v>0</v>
      </c>
      <c r="K2774" t="n">
        <v>0</v>
      </c>
      <c r="L2774" t="n">
        <v>0</v>
      </c>
      <c r="M2774" t="n">
        <v>0</v>
      </c>
      <c r="N2774" t="n">
        <v>0</v>
      </c>
      <c r="O2774" t="n">
        <v>0</v>
      </c>
      <c r="P2774" t="n">
        <v>0</v>
      </c>
      <c r="Q2774" t="n">
        <v>0</v>
      </c>
      <c r="R2774" s="2" t="inlineStr"/>
    </row>
    <row r="2775" ht="15" customHeight="1">
      <c r="A2775" t="inlineStr">
        <is>
          <t>A 24906-2022</t>
        </is>
      </c>
      <c r="B2775" s="1" t="n">
        <v>44728</v>
      </c>
      <c r="C2775" s="1" t="n">
        <v>45190</v>
      </c>
      <c r="D2775" t="inlineStr">
        <is>
          <t>SKÅNE LÄN</t>
        </is>
      </c>
      <c r="E2775" t="inlineStr">
        <is>
          <t>HÄSSLEHOLM</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25046-2022</t>
        </is>
      </c>
      <c r="B2776" s="1" t="n">
        <v>44728</v>
      </c>
      <c r="C2776" s="1" t="n">
        <v>45190</v>
      </c>
      <c r="D2776" t="inlineStr">
        <is>
          <t>SKÅNE LÄN</t>
        </is>
      </c>
      <c r="E2776" t="inlineStr">
        <is>
          <t>HÄSSLEHOLM</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25191-2022</t>
        </is>
      </c>
      <c r="B2777" s="1" t="n">
        <v>44729</v>
      </c>
      <c r="C2777" s="1" t="n">
        <v>45190</v>
      </c>
      <c r="D2777" t="inlineStr">
        <is>
          <t>SKÅNE LÄN</t>
        </is>
      </c>
      <c r="E2777" t="inlineStr">
        <is>
          <t>KRISTIANSTAD</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25249-2022</t>
        </is>
      </c>
      <c r="B2778" s="1" t="n">
        <v>44729</v>
      </c>
      <c r="C2778" s="1" t="n">
        <v>45190</v>
      </c>
      <c r="D2778" t="inlineStr">
        <is>
          <t>SKÅNE LÄN</t>
        </is>
      </c>
      <c r="E2778" t="inlineStr">
        <is>
          <t>KRISTIANSTAD</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25464-2022</t>
        </is>
      </c>
      <c r="B2779" s="1" t="n">
        <v>44729</v>
      </c>
      <c r="C2779" s="1" t="n">
        <v>45190</v>
      </c>
      <c r="D2779" t="inlineStr">
        <is>
          <t>SKÅNE LÄN</t>
        </is>
      </c>
      <c r="E2779" t="inlineStr">
        <is>
          <t>HÄSSLEHOLM</t>
        </is>
      </c>
      <c r="G2779" t="n">
        <v>21</v>
      </c>
      <c r="H2779" t="n">
        <v>0</v>
      </c>
      <c r="I2779" t="n">
        <v>0</v>
      </c>
      <c r="J2779" t="n">
        <v>0</v>
      </c>
      <c r="K2779" t="n">
        <v>0</v>
      </c>
      <c r="L2779" t="n">
        <v>0</v>
      </c>
      <c r="M2779" t="n">
        <v>0</v>
      </c>
      <c r="N2779" t="n">
        <v>0</v>
      </c>
      <c r="O2779" t="n">
        <v>0</v>
      </c>
      <c r="P2779" t="n">
        <v>0</v>
      </c>
      <c r="Q2779" t="n">
        <v>0</v>
      </c>
      <c r="R2779" s="2" t="inlineStr"/>
    </row>
    <row r="2780" ht="15" customHeight="1">
      <c r="A2780" t="inlineStr">
        <is>
          <t>A 25165-2022</t>
        </is>
      </c>
      <c r="B2780" s="1" t="n">
        <v>44729</v>
      </c>
      <c r="C2780" s="1" t="n">
        <v>45190</v>
      </c>
      <c r="D2780" t="inlineStr">
        <is>
          <t>SKÅNE LÄN</t>
        </is>
      </c>
      <c r="E2780" t="inlineStr">
        <is>
          <t>HÄSSLEHOLM</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25354-2022</t>
        </is>
      </c>
      <c r="B2781" s="1" t="n">
        <v>44732</v>
      </c>
      <c r="C2781" s="1" t="n">
        <v>45190</v>
      </c>
      <c r="D2781" t="inlineStr">
        <is>
          <t>SKÅNE LÄN</t>
        </is>
      </c>
      <c r="E2781" t="inlineStr">
        <is>
          <t>ÅSTORP</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25405-2022</t>
        </is>
      </c>
      <c r="B2782" s="1" t="n">
        <v>44732</v>
      </c>
      <c r="C2782" s="1" t="n">
        <v>45190</v>
      </c>
      <c r="D2782" t="inlineStr">
        <is>
          <t>SKÅNE LÄN</t>
        </is>
      </c>
      <c r="E2782" t="inlineStr">
        <is>
          <t>KLIPPAN</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25450-2022</t>
        </is>
      </c>
      <c r="B2783" s="1" t="n">
        <v>44732</v>
      </c>
      <c r="C2783" s="1" t="n">
        <v>45190</v>
      </c>
      <c r="D2783" t="inlineStr">
        <is>
          <t>SKÅNE LÄN</t>
        </is>
      </c>
      <c r="E2783" t="inlineStr">
        <is>
          <t>KRISTIANSTAD</t>
        </is>
      </c>
      <c r="G2783" t="n">
        <v>5.6</v>
      </c>
      <c r="H2783" t="n">
        <v>0</v>
      </c>
      <c r="I2783" t="n">
        <v>0</v>
      </c>
      <c r="J2783" t="n">
        <v>0</v>
      </c>
      <c r="K2783" t="n">
        <v>0</v>
      </c>
      <c r="L2783" t="n">
        <v>0</v>
      </c>
      <c r="M2783" t="n">
        <v>0</v>
      </c>
      <c r="N2783" t="n">
        <v>0</v>
      </c>
      <c r="O2783" t="n">
        <v>0</v>
      </c>
      <c r="P2783" t="n">
        <v>0</v>
      </c>
      <c r="Q2783" t="n">
        <v>0</v>
      </c>
      <c r="R2783" s="2" t="inlineStr"/>
    </row>
    <row r="2784" ht="15" customHeight="1">
      <c r="A2784" t="inlineStr">
        <is>
          <t>A 25469-2022</t>
        </is>
      </c>
      <c r="B2784" s="1" t="n">
        <v>44732</v>
      </c>
      <c r="C2784" s="1" t="n">
        <v>45190</v>
      </c>
      <c r="D2784" t="inlineStr">
        <is>
          <t>SKÅNE LÄN</t>
        </is>
      </c>
      <c r="E2784" t="inlineStr">
        <is>
          <t>HÄSSLEHOLM</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25353-2022</t>
        </is>
      </c>
      <c r="B2785" s="1" t="n">
        <v>44732</v>
      </c>
      <c r="C2785" s="1" t="n">
        <v>45190</v>
      </c>
      <c r="D2785" t="inlineStr">
        <is>
          <t>SKÅNE LÄN</t>
        </is>
      </c>
      <c r="E2785" t="inlineStr">
        <is>
          <t>ÅSTORP</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25351-2022</t>
        </is>
      </c>
      <c r="B2786" s="1" t="n">
        <v>44732</v>
      </c>
      <c r="C2786" s="1" t="n">
        <v>45190</v>
      </c>
      <c r="D2786" t="inlineStr">
        <is>
          <t>SKÅNE LÄN</t>
        </is>
      </c>
      <c r="E2786" t="inlineStr">
        <is>
          <t>ÅSTORP</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25350-2022</t>
        </is>
      </c>
      <c r="B2787" s="1" t="n">
        <v>44732</v>
      </c>
      <c r="C2787" s="1" t="n">
        <v>45190</v>
      </c>
      <c r="D2787" t="inlineStr">
        <is>
          <t>SKÅNE LÄN</t>
        </is>
      </c>
      <c r="E2787" t="inlineStr">
        <is>
          <t>SVALÖV</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25955-2022</t>
        </is>
      </c>
      <c r="B2788" s="1" t="n">
        <v>44734</v>
      </c>
      <c r="C2788" s="1" t="n">
        <v>45190</v>
      </c>
      <c r="D2788" t="inlineStr">
        <is>
          <t>SKÅNE LÄN</t>
        </is>
      </c>
      <c r="E2788" t="inlineStr">
        <is>
          <t>HÄSSLEHOLM</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26033-2022</t>
        </is>
      </c>
      <c r="B2789" s="1" t="n">
        <v>44734</v>
      </c>
      <c r="C2789" s="1" t="n">
        <v>45190</v>
      </c>
      <c r="D2789" t="inlineStr">
        <is>
          <t>SKÅNE LÄN</t>
        </is>
      </c>
      <c r="E2789" t="inlineStr">
        <is>
          <t>HÖÖR</t>
        </is>
      </c>
      <c r="F2789" t="inlineStr">
        <is>
          <t>Övriga statliga verk och myndigheter</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25934-2022</t>
        </is>
      </c>
      <c r="B2790" s="1" t="n">
        <v>44734</v>
      </c>
      <c r="C2790" s="1" t="n">
        <v>45190</v>
      </c>
      <c r="D2790" t="inlineStr">
        <is>
          <t>SKÅNE LÄN</t>
        </is>
      </c>
      <c r="E2790" t="inlineStr">
        <is>
          <t>HÖÖR</t>
        </is>
      </c>
      <c r="F2790" t="inlineStr">
        <is>
          <t>Övriga statliga verk och myndigheter</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26551-2022</t>
        </is>
      </c>
      <c r="B2791" s="1" t="n">
        <v>44739</v>
      </c>
      <c r="C2791" s="1" t="n">
        <v>45190</v>
      </c>
      <c r="D2791" t="inlineStr">
        <is>
          <t>SKÅNE LÄN</t>
        </is>
      </c>
      <c r="E2791" t="inlineStr">
        <is>
          <t>KRISTIANSTAD</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26501-2022</t>
        </is>
      </c>
      <c r="B2792" s="1" t="n">
        <v>44739</v>
      </c>
      <c r="C2792" s="1" t="n">
        <v>45190</v>
      </c>
      <c r="D2792" t="inlineStr">
        <is>
          <t>SKÅNE LÄN</t>
        </is>
      </c>
      <c r="E2792" t="inlineStr">
        <is>
          <t>PERSTORP</t>
        </is>
      </c>
      <c r="G2792" t="n">
        <v>7</v>
      </c>
      <c r="H2792" t="n">
        <v>0</v>
      </c>
      <c r="I2792" t="n">
        <v>0</v>
      </c>
      <c r="J2792" t="n">
        <v>0</v>
      </c>
      <c r="K2792" t="n">
        <v>0</v>
      </c>
      <c r="L2792" t="n">
        <v>0</v>
      </c>
      <c r="M2792" t="n">
        <v>0</v>
      </c>
      <c r="N2792" t="n">
        <v>0</v>
      </c>
      <c r="O2792" t="n">
        <v>0</v>
      </c>
      <c r="P2792" t="n">
        <v>0</v>
      </c>
      <c r="Q2792" t="n">
        <v>0</v>
      </c>
      <c r="R2792" s="2" t="inlineStr"/>
    </row>
    <row r="2793" ht="15" customHeight="1">
      <c r="A2793" t="inlineStr">
        <is>
          <t>A 26845-2022</t>
        </is>
      </c>
      <c r="B2793" s="1" t="n">
        <v>44740</v>
      </c>
      <c r="C2793" s="1" t="n">
        <v>45190</v>
      </c>
      <c r="D2793" t="inlineStr">
        <is>
          <t>SKÅNE LÄN</t>
        </is>
      </c>
      <c r="E2793" t="inlineStr">
        <is>
          <t>OSBY</t>
        </is>
      </c>
      <c r="G2793" t="n">
        <v>8</v>
      </c>
      <c r="H2793" t="n">
        <v>0</v>
      </c>
      <c r="I2793" t="n">
        <v>0</v>
      </c>
      <c r="J2793" t="n">
        <v>0</v>
      </c>
      <c r="K2793" t="n">
        <v>0</v>
      </c>
      <c r="L2793" t="n">
        <v>0</v>
      </c>
      <c r="M2793" t="n">
        <v>0</v>
      </c>
      <c r="N2793" t="n">
        <v>0</v>
      </c>
      <c r="O2793" t="n">
        <v>0</v>
      </c>
      <c r="P2793" t="n">
        <v>0</v>
      </c>
      <c r="Q2793" t="n">
        <v>0</v>
      </c>
      <c r="R2793" s="2" t="inlineStr"/>
    </row>
    <row r="2794" ht="15" customHeight="1">
      <c r="A2794" t="inlineStr">
        <is>
          <t>A 26857-2022</t>
        </is>
      </c>
      <c r="B2794" s="1" t="n">
        <v>44740</v>
      </c>
      <c r="C2794" s="1" t="n">
        <v>45190</v>
      </c>
      <c r="D2794" t="inlineStr">
        <is>
          <t>SKÅNE LÄN</t>
        </is>
      </c>
      <c r="E2794" t="inlineStr">
        <is>
          <t>KRISTIANSTAD</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27112-2022</t>
        </is>
      </c>
      <c r="B2795" s="1" t="n">
        <v>44741</v>
      </c>
      <c r="C2795" s="1" t="n">
        <v>45190</v>
      </c>
      <c r="D2795" t="inlineStr">
        <is>
          <t>SKÅNE LÄN</t>
        </is>
      </c>
      <c r="E2795" t="inlineStr">
        <is>
          <t>SVEDALA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27154-2022</t>
        </is>
      </c>
      <c r="B2796" s="1" t="n">
        <v>44741</v>
      </c>
      <c r="C2796" s="1" t="n">
        <v>45190</v>
      </c>
      <c r="D2796" t="inlineStr">
        <is>
          <t>SKÅNE LÄN</t>
        </is>
      </c>
      <c r="E2796" t="inlineStr">
        <is>
          <t>ESLÖV</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27242-2022</t>
        </is>
      </c>
      <c r="B2797" s="1" t="n">
        <v>44741</v>
      </c>
      <c r="C2797" s="1" t="n">
        <v>45190</v>
      </c>
      <c r="D2797" t="inlineStr">
        <is>
          <t>SKÅNE LÄN</t>
        </is>
      </c>
      <c r="E2797" t="inlineStr">
        <is>
          <t>HÄSSLEHOLM</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27107-2022</t>
        </is>
      </c>
      <c r="B2798" s="1" t="n">
        <v>44741</v>
      </c>
      <c r="C2798" s="1" t="n">
        <v>45190</v>
      </c>
      <c r="D2798" t="inlineStr">
        <is>
          <t>SKÅNE LÄN</t>
        </is>
      </c>
      <c r="E2798" t="inlineStr">
        <is>
          <t>SVEDALA</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27219-2022</t>
        </is>
      </c>
      <c r="B2799" s="1" t="n">
        <v>44741</v>
      </c>
      <c r="C2799" s="1" t="n">
        <v>45190</v>
      </c>
      <c r="D2799" t="inlineStr">
        <is>
          <t>SKÅNE LÄN</t>
        </is>
      </c>
      <c r="E2799" t="inlineStr">
        <is>
          <t>HÖÖR</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27233-2022</t>
        </is>
      </c>
      <c r="B2800" s="1" t="n">
        <v>44741</v>
      </c>
      <c r="C2800" s="1" t="n">
        <v>45190</v>
      </c>
      <c r="D2800" t="inlineStr">
        <is>
          <t>SKÅNE LÄN</t>
        </is>
      </c>
      <c r="E2800" t="inlineStr">
        <is>
          <t>HÖÖR</t>
        </is>
      </c>
      <c r="G2800" t="n">
        <v>5.4</v>
      </c>
      <c r="H2800" t="n">
        <v>0</v>
      </c>
      <c r="I2800" t="n">
        <v>0</v>
      </c>
      <c r="J2800" t="n">
        <v>0</v>
      </c>
      <c r="K2800" t="n">
        <v>0</v>
      </c>
      <c r="L2800" t="n">
        <v>0</v>
      </c>
      <c r="M2800" t="n">
        <v>0</v>
      </c>
      <c r="N2800" t="n">
        <v>0</v>
      </c>
      <c r="O2800" t="n">
        <v>0</v>
      </c>
      <c r="P2800" t="n">
        <v>0</v>
      </c>
      <c r="Q2800" t="n">
        <v>0</v>
      </c>
      <c r="R2800" s="2" t="inlineStr"/>
    </row>
    <row r="2801" ht="15" customHeight="1">
      <c r="A2801" t="inlineStr">
        <is>
          <t>A 27140-2022</t>
        </is>
      </c>
      <c r="B2801" s="1" t="n">
        <v>44741</v>
      </c>
      <c r="C2801" s="1" t="n">
        <v>45190</v>
      </c>
      <c r="D2801" t="inlineStr">
        <is>
          <t>SKÅNE LÄN</t>
        </is>
      </c>
      <c r="E2801" t="inlineStr">
        <is>
          <t>ESLÖV</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27113-2022</t>
        </is>
      </c>
      <c r="B2802" s="1" t="n">
        <v>44741</v>
      </c>
      <c r="C2802" s="1" t="n">
        <v>45190</v>
      </c>
      <c r="D2802" t="inlineStr">
        <is>
          <t>SKÅNE LÄN</t>
        </is>
      </c>
      <c r="E2802" t="inlineStr">
        <is>
          <t>SVEDALA</t>
        </is>
      </c>
      <c r="G2802" t="n">
        <v>8.9</v>
      </c>
      <c r="H2802" t="n">
        <v>0</v>
      </c>
      <c r="I2802" t="n">
        <v>0</v>
      </c>
      <c r="J2802" t="n">
        <v>0</v>
      </c>
      <c r="K2802" t="n">
        <v>0</v>
      </c>
      <c r="L2802" t="n">
        <v>0</v>
      </c>
      <c r="M2802" t="n">
        <v>0</v>
      </c>
      <c r="N2802" t="n">
        <v>0</v>
      </c>
      <c r="O2802" t="n">
        <v>0</v>
      </c>
      <c r="P2802" t="n">
        <v>0</v>
      </c>
      <c r="Q2802" t="n">
        <v>0</v>
      </c>
      <c r="R2802" s="2" t="inlineStr"/>
    </row>
    <row r="2803" ht="15" customHeight="1">
      <c r="A2803" t="inlineStr">
        <is>
          <t>A 27314-2022</t>
        </is>
      </c>
      <c r="B2803" s="1" t="n">
        <v>44742</v>
      </c>
      <c r="C2803" s="1" t="n">
        <v>45190</v>
      </c>
      <c r="D2803" t="inlineStr">
        <is>
          <t>SKÅNE LÄN</t>
        </is>
      </c>
      <c r="E2803" t="inlineStr">
        <is>
          <t>ÖSTRA GÖINGE</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27452-2022</t>
        </is>
      </c>
      <c r="B2804" s="1" t="n">
        <v>44742</v>
      </c>
      <c r="C2804" s="1" t="n">
        <v>45190</v>
      </c>
      <c r="D2804" t="inlineStr">
        <is>
          <t>SKÅNE LÄN</t>
        </is>
      </c>
      <c r="E2804" t="inlineStr">
        <is>
          <t>HÄSSLEHOLM</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27476-2022</t>
        </is>
      </c>
      <c r="B2805" s="1" t="n">
        <v>44742</v>
      </c>
      <c r="C2805" s="1" t="n">
        <v>45190</v>
      </c>
      <c r="D2805" t="inlineStr">
        <is>
          <t>SKÅNE LÄN</t>
        </is>
      </c>
      <c r="E2805" t="inlineStr">
        <is>
          <t>KRISTIANSTAD</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27318-2022</t>
        </is>
      </c>
      <c r="B2806" s="1" t="n">
        <v>44742</v>
      </c>
      <c r="C2806" s="1" t="n">
        <v>45190</v>
      </c>
      <c r="D2806" t="inlineStr">
        <is>
          <t>SKÅNE LÄN</t>
        </is>
      </c>
      <c r="E2806" t="inlineStr">
        <is>
          <t>ÖSTRA GÖINGE</t>
        </is>
      </c>
      <c r="G2806" t="n">
        <v>8.300000000000001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27529-2022</t>
        </is>
      </c>
      <c r="B2807" s="1" t="n">
        <v>44742</v>
      </c>
      <c r="C2807" s="1" t="n">
        <v>45190</v>
      </c>
      <c r="D2807" t="inlineStr">
        <is>
          <t>SKÅNE LÄN</t>
        </is>
      </c>
      <c r="E2807" t="inlineStr">
        <is>
          <t>KRISTIANSTAD</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27322-2022</t>
        </is>
      </c>
      <c r="B2808" s="1" t="n">
        <v>44742</v>
      </c>
      <c r="C2808" s="1" t="n">
        <v>45190</v>
      </c>
      <c r="D2808" t="inlineStr">
        <is>
          <t>SKÅNE LÄN</t>
        </is>
      </c>
      <c r="E2808" t="inlineStr">
        <is>
          <t>ÖSTRA GÖINGE</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27327-2022</t>
        </is>
      </c>
      <c r="B2809" s="1" t="n">
        <v>44742</v>
      </c>
      <c r="C2809" s="1" t="n">
        <v>45190</v>
      </c>
      <c r="D2809" t="inlineStr">
        <is>
          <t>SKÅNE LÄN</t>
        </is>
      </c>
      <c r="E2809" t="inlineStr">
        <is>
          <t>ÄNGELHOLM</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27955-2022</t>
        </is>
      </c>
      <c r="B2810" s="1" t="n">
        <v>44743</v>
      </c>
      <c r="C2810" s="1" t="n">
        <v>45190</v>
      </c>
      <c r="D2810" t="inlineStr">
        <is>
          <t>SKÅNE LÄN</t>
        </is>
      </c>
      <c r="E2810" t="inlineStr">
        <is>
          <t>KRISTIANSTAD</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27956-2022</t>
        </is>
      </c>
      <c r="B2811" s="1" t="n">
        <v>44743</v>
      </c>
      <c r="C2811" s="1" t="n">
        <v>45190</v>
      </c>
      <c r="D2811" t="inlineStr">
        <is>
          <t>SKÅNE LÄN</t>
        </is>
      </c>
      <c r="E2811" t="inlineStr">
        <is>
          <t>KRISTIANSTAD</t>
        </is>
      </c>
      <c r="G2811" t="n">
        <v>14.1</v>
      </c>
      <c r="H2811" t="n">
        <v>0</v>
      </c>
      <c r="I2811" t="n">
        <v>0</v>
      </c>
      <c r="J2811" t="n">
        <v>0</v>
      </c>
      <c r="K2811" t="n">
        <v>0</v>
      </c>
      <c r="L2811" t="n">
        <v>0</v>
      </c>
      <c r="M2811" t="n">
        <v>0</v>
      </c>
      <c r="N2811" t="n">
        <v>0</v>
      </c>
      <c r="O2811" t="n">
        <v>0</v>
      </c>
      <c r="P2811" t="n">
        <v>0</v>
      </c>
      <c r="Q2811" t="n">
        <v>0</v>
      </c>
      <c r="R2811" s="2" t="inlineStr"/>
    </row>
    <row r="2812" ht="15" customHeight="1">
      <c r="A2812" t="inlineStr">
        <is>
          <t>A 27953-2022</t>
        </is>
      </c>
      <c r="B2812" s="1" t="n">
        <v>44743</v>
      </c>
      <c r="C2812" s="1" t="n">
        <v>45190</v>
      </c>
      <c r="D2812" t="inlineStr">
        <is>
          <t>SKÅNE LÄN</t>
        </is>
      </c>
      <c r="E2812" t="inlineStr">
        <is>
          <t>KRISTIANSTAD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27957-2022</t>
        </is>
      </c>
      <c r="B2813" s="1" t="n">
        <v>44743</v>
      </c>
      <c r="C2813" s="1" t="n">
        <v>45190</v>
      </c>
      <c r="D2813" t="inlineStr">
        <is>
          <t>SKÅNE LÄN</t>
        </is>
      </c>
      <c r="E2813" t="inlineStr">
        <is>
          <t>KRISTIANSTAD</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27758-2022</t>
        </is>
      </c>
      <c r="B2814" s="1" t="n">
        <v>44743</v>
      </c>
      <c r="C2814" s="1" t="n">
        <v>45190</v>
      </c>
      <c r="D2814" t="inlineStr">
        <is>
          <t>SKÅNE LÄN</t>
        </is>
      </c>
      <c r="E2814" t="inlineStr">
        <is>
          <t>OSBY</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27954-2022</t>
        </is>
      </c>
      <c r="B2815" s="1" t="n">
        <v>44743</v>
      </c>
      <c r="C2815" s="1" t="n">
        <v>45190</v>
      </c>
      <c r="D2815" t="inlineStr">
        <is>
          <t>SKÅNE LÄN</t>
        </is>
      </c>
      <c r="E2815" t="inlineStr">
        <is>
          <t>HÄSSLEHOLM</t>
        </is>
      </c>
      <c r="G2815" t="n">
        <v>9.4</v>
      </c>
      <c r="H2815" t="n">
        <v>0</v>
      </c>
      <c r="I2815" t="n">
        <v>0</v>
      </c>
      <c r="J2815" t="n">
        <v>0</v>
      </c>
      <c r="K2815" t="n">
        <v>0</v>
      </c>
      <c r="L2815" t="n">
        <v>0</v>
      </c>
      <c r="M2815" t="n">
        <v>0</v>
      </c>
      <c r="N2815" t="n">
        <v>0</v>
      </c>
      <c r="O2815" t="n">
        <v>0</v>
      </c>
      <c r="P2815" t="n">
        <v>0</v>
      </c>
      <c r="Q2815" t="n">
        <v>0</v>
      </c>
      <c r="R2815" s="2" t="inlineStr"/>
    </row>
    <row r="2816" ht="15" customHeight="1">
      <c r="A2816" t="inlineStr">
        <is>
          <t>A 27959-2022</t>
        </is>
      </c>
      <c r="B2816" s="1" t="n">
        <v>44744</v>
      </c>
      <c r="C2816" s="1" t="n">
        <v>45190</v>
      </c>
      <c r="D2816" t="inlineStr">
        <is>
          <t>SKÅNE LÄN</t>
        </is>
      </c>
      <c r="E2816" t="inlineStr">
        <is>
          <t>HÄSSLEHOLM</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27961-2022</t>
        </is>
      </c>
      <c r="B2817" s="1" t="n">
        <v>44744</v>
      </c>
      <c r="C2817" s="1" t="n">
        <v>45190</v>
      </c>
      <c r="D2817" t="inlineStr">
        <is>
          <t>SKÅNE LÄN</t>
        </is>
      </c>
      <c r="E2817" t="inlineStr">
        <is>
          <t>KRISTIANSTAD</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27960-2022</t>
        </is>
      </c>
      <c r="B2818" s="1" t="n">
        <v>44744</v>
      </c>
      <c r="C2818" s="1" t="n">
        <v>45190</v>
      </c>
      <c r="D2818" t="inlineStr">
        <is>
          <t>SKÅNE LÄN</t>
        </is>
      </c>
      <c r="E2818" t="inlineStr">
        <is>
          <t>KRISTIANSTAD</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28221-2022</t>
        </is>
      </c>
      <c r="B2819" s="1" t="n">
        <v>44746</v>
      </c>
      <c r="C2819" s="1" t="n">
        <v>45190</v>
      </c>
      <c r="D2819" t="inlineStr">
        <is>
          <t>SKÅNE LÄN</t>
        </is>
      </c>
      <c r="E2819" t="inlineStr">
        <is>
          <t>HÄSSLEHOLM</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28240-2022</t>
        </is>
      </c>
      <c r="B2820" s="1" t="n">
        <v>44746</v>
      </c>
      <c r="C2820" s="1" t="n">
        <v>45190</v>
      </c>
      <c r="D2820" t="inlineStr">
        <is>
          <t>SKÅNE LÄN</t>
        </is>
      </c>
      <c r="E2820" t="inlineStr">
        <is>
          <t>OSBY</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28143-2022</t>
        </is>
      </c>
      <c r="B2821" s="1" t="n">
        <v>44746</v>
      </c>
      <c r="C2821" s="1" t="n">
        <v>45190</v>
      </c>
      <c r="D2821" t="inlineStr">
        <is>
          <t>SKÅNE LÄN</t>
        </is>
      </c>
      <c r="E2821" t="inlineStr">
        <is>
          <t>ÖSTRA GÖINGE</t>
        </is>
      </c>
      <c r="G2821" t="n">
        <v>5.5</v>
      </c>
      <c r="H2821" t="n">
        <v>0</v>
      </c>
      <c r="I2821" t="n">
        <v>0</v>
      </c>
      <c r="J2821" t="n">
        <v>0</v>
      </c>
      <c r="K2821" t="n">
        <v>0</v>
      </c>
      <c r="L2821" t="n">
        <v>0</v>
      </c>
      <c r="M2821" t="n">
        <v>0</v>
      </c>
      <c r="N2821" t="n">
        <v>0</v>
      </c>
      <c r="O2821" t="n">
        <v>0</v>
      </c>
      <c r="P2821" t="n">
        <v>0</v>
      </c>
      <c r="Q2821" t="n">
        <v>0</v>
      </c>
      <c r="R2821" s="2" t="inlineStr"/>
    </row>
    <row r="2822" ht="15" customHeight="1">
      <c r="A2822" t="inlineStr">
        <is>
          <t>A 28211-2022</t>
        </is>
      </c>
      <c r="B2822" s="1" t="n">
        <v>44746</v>
      </c>
      <c r="C2822" s="1" t="n">
        <v>45190</v>
      </c>
      <c r="D2822" t="inlineStr">
        <is>
          <t>SKÅNE LÄN</t>
        </is>
      </c>
      <c r="E2822" t="inlineStr">
        <is>
          <t>HÄSSLEHOLM</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28237-2022</t>
        </is>
      </c>
      <c r="B2823" s="1" t="n">
        <v>44746</v>
      </c>
      <c r="C2823" s="1" t="n">
        <v>45190</v>
      </c>
      <c r="D2823" t="inlineStr">
        <is>
          <t>SKÅNE LÄN</t>
        </is>
      </c>
      <c r="E2823" t="inlineStr">
        <is>
          <t>PERSTORP</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28247-2022</t>
        </is>
      </c>
      <c r="B2824" s="1" t="n">
        <v>44746</v>
      </c>
      <c r="C2824" s="1" t="n">
        <v>45190</v>
      </c>
      <c r="D2824" t="inlineStr">
        <is>
          <t>SKÅNE LÄN</t>
        </is>
      </c>
      <c r="E2824" t="inlineStr">
        <is>
          <t>PERSTORP</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28082-2022</t>
        </is>
      </c>
      <c r="B2825" s="1" t="n">
        <v>44746</v>
      </c>
      <c r="C2825" s="1" t="n">
        <v>45190</v>
      </c>
      <c r="D2825" t="inlineStr">
        <is>
          <t>SKÅNE LÄN</t>
        </is>
      </c>
      <c r="E2825" t="inlineStr">
        <is>
          <t>KRISTIANSTAD</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28236-2022</t>
        </is>
      </c>
      <c r="B2826" s="1" t="n">
        <v>44746</v>
      </c>
      <c r="C2826" s="1" t="n">
        <v>45190</v>
      </c>
      <c r="D2826" t="inlineStr">
        <is>
          <t>SKÅNE LÄN</t>
        </is>
      </c>
      <c r="E2826" t="inlineStr">
        <is>
          <t>HÄSSLEHOLM</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28244-2022</t>
        </is>
      </c>
      <c r="B2827" s="1" t="n">
        <v>44746</v>
      </c>
      <c r="C2827" s="1" t="n">
        <v>45190</v>
      </c>
      <c r="D2827" t="inlineStr">
        <is>
          <t>SKÅNE LÄN</t>
        </is>
      </c>
      <c r="E2827" t="inlineStr">
        <is>
          <t>PERSTORP</t>
        </is>
      </c>
      <c r="G2827" t="n">
        <v>6</v>
      </c>
      <c r="H2827" t="n">
        <v>0</v>
      </c>
      <c r="I2827" t="n">
        <v>0</v>
      </c>
      <c r="J2827" t="n">
        <v>0</v>
      </c>
      <c r="K2827" t="n">
        <v>0</v>
      </c>
      <c r="L2827" t="n">
        <v>0</v>
      </c>
      <c r="M2827" t="n">
        <v>0</v>
      </c>
      <c r="N2827" t="n">
        <v>0</v>
      </c>
      <c r="O2827" t="n">
        <v>0</v>
      </c>
      <c r="P2827" t="n">
        <v>0</v>
      </c>
      <c r="Q2827" t="n">
        <v>0</v>
      </c>
      <c r="R2827" s="2" t="inlineStr"/>
    </row>
    <row r="2828" ht="15" customHeight="1">
      <c r="A2828" t="inlineStr">
        <is>
          <t>A 28264-2022</t>
        </is>
      </c>
      <c r="B2828" s="1" t="n">
        <v>44746</v>
      </c>
      <c r="C2828" s="1" t="n">
        <v>45190</v>
      </c>
      <c r="D2828" t="inlineStr">
        <is>
          <t>SKÅNE LÄN</t>
        </is>
      </c>
      <c r="E2828" t="inlineStr">
        <is>
          <t>ÄNGELHOLM</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28394-2022</t>
        </is>
      </c>
      <c r="B2829" s="1" t="n">
        <v>44747</v>
      </c>
      <c r="C2829" s="1" t="n">
        <v>45190</v>
      </c>
      <c r="D2829" t="inlineStr">
        <is>
          <t>SKÅNE LÄN</t>
        </is>
      </c>
      <c r="E2829" t="inlineStr">
        <is>
          <t>ÖSTRA GÖINGE</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28885-2022</t>
        </is>
      </c>
      <c r="B2830" s="1" t="n">
        <v>44749</v>
      </c>
      <c r="C2830" s="1" t="n">
        <v>45190</v>
      </c>
      <c r="D2830" t="inlineStr">
        <is>
          <t>SKÅNE LÄN</t>
        </is>
      </c>
      <c r="E2830" t="inlineStr">
        <is>
          <t>LUND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28781-2022</t>
        </is>
      </c>
      <c r="B2831" s="1" t="n">
        <v>44749</v>
      </c>
      <c r="C2831" s="1" t="n">
        <v>45190</v>
      </c>
      <c r="D2831" t="inlineStr">
        <is>
          <t>SKÅNE LÄN</t>
        </is>
      </c>
      <c r="E2831" t="inlineStr">
        <is>
          <t>KRISTIANSTAD</t>
        </is>
      </c>
      <c r="G2831" t="n">
        <v>5</v>
      </c>
      <c r="H2831" t="n">
        <v>0</v>
      </c>
      <c r="I2831" t="n">
        <v>0</v>
      </c>
      <c r="J2831" t="n">
        <v>0</v>
      </c>
      <c r="K2831" t="n">
        <v>0</v>
      </c>
      <c r="L2831" t="n">
        <v>0</v>
      </c>
      <c r="M2831" t="n">
        <v>0</v>
      </c>
      <c r="N2831" t="n">
        <v>0</v>
      </c>
      <c r="O2831" t="n">
        <v>0</v>
      </c>
      <c r="P2831" t="n">
        <v>0</v>
      </c>
      <c r="Q2831" t="n">
        <v>0</v>
      </c>
      <c r="R2831" s="2" t="inlineStr"/>
    </row>
    <row r="2832" ht="15" customHeight="1">
      <c r="A2832" t="inlineStr">
        <is>
          <t>A 28966-2022</t>
        </is>
      </c>
      <c r="B2832" s="1" t="n">
        <v>44749</v>
      </c>
      <c r="C2832" s="1" t="n">
        <v>45190</v>
      </c>
      <c r="D2832" t="inlineStr">
        <is>
          <t>SKÅNE LÄN</t>
        </is>
      </c>
      <c r="E2832" t="inlineStr">
        <is>
          <t>TOMELILLA</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28932-2022</t>
        </is>
      </c>
      <c r="B2833" s="1" t="n">
        <v>44749</v>
      </c>
      <c r="C2833" s="1" t="n">
        <v>45190</v>
      </c>
      <c r="D2833" t="inlineStr">
        <is>
          <t>SKÅNE LÄN</t>
        </is>
      </c>
      <c r="E2833" t="inlineStr">
        <is>
          <t>SJÖBO</t>
        </is>
      </c>
      <c r="G2833" t="n">
        <v>0.4</v>
      </c>
      <c r="H2833" t="n">
        <v>0</v>
      </c>
      <c r="I2833" t="n">
        <v>0</v>
      </c>
      <c r="J2833" t="n">
        <v>0</v>
      </c>
      <c r="K2833" t="n">
        <v>0</v>
      </c>
      <c r="L2833" t="n">
        <v>0</v>
      </c>
      <c r="M2833" t="n">
        <v>0</v>
      </c>
      <c r="N2833" t="n">
        <v>0</v>
      </c>
      <c r="O2833" t="n">
        <v>0</v>
      </c>
      <c r="P2833" t="n">
        <v>0</v>
      </c>
      <c r="Q2833" t="n">
        <v>0</v>
      </c>
      <c r="R2833" s="2" t="inlineStr"/>
    </row>
    <row r="2834" ht="15" customHeight="1">
      <c r="A2834" t="inlineStr">
        <is>
          <t>A 29335-2022</t>
        </is>
      </c>
      <c r="B2834" s="1" t="n">
        <v>44752</v>
      </c>
      <c r="C2834" s="1" t="n">
        <v>45190</v>
      </c>
      <c r="D2834" t="inlineStr">
        <is>
          <t>SKÅNE LÄN</t>
        </is>
      </c>
      <c r="E2834" t="inlineStr">
        <is>
          <t>ÖRKELLJUNGA</t>
        </is>
      </c>
      <c r="F2834" t="inlineStr">
        <is>
          <t>Kommuner</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29334-2022</t>
        </is>
      </c>
      <c r="B2835" s="1" t="n">
        <v>44752</v>
      </c>
      <c r="C2835" s="1" t="n">
        <v>45190</v>
      </c>
      <c r="D2835" t="inlineStr">
        <is>
          <t>SKÅNE LÄN</t>
        </is>
      </c>
      <c r="E2835" t="inlineStr">
        <is>
          <t>ÖRKELLJUNGA</t>
        </is>
      </c>
      <c r="F2835" t="inlineStr">
        <is>
          <t>Kommuner</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29333-2022</t>
        </is>
      </c>
      <c r="B2836" s="1" t="n">
        <v>44752</v>
      </c>
      <c r="C2836" s="1" t="n">
        <v>45190</v>
      </c>
      <c r="D2836" t="inlineStr">
        <is>
          <t>SKÅNE LÄN</t>
        </is>
      </c>
      <c r="E2836" t="inlineStr">
        <is>
          <t>ÖRKELLJUNGA</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29700-2022</t>
        </is>
      </c>
      <c r="B2837" s="1" t="n">
        <v>44755</v>
      </c>
      <c r="C2837" s="1" t="n">
        <v>45190</v>
      </c>
      <c r="D2837" t="inlineStr">
        <is>
          <t>SKÅNE LÄN</t>
        </is>
      </c>
      <c r="E2837" t="inlineStr">
        <is>
          <t>HÄSSLEHOLM</t>
        </is>
      </c>
      <c r="G2837" t="n">
        <v>6.6</v>
      </c>
      <c r="H2837" t="n">
        <v>0</v>
      </c>
      <c r="I2837" t="n">
        <v>0</v>
      </c>
      <c r="J2837" t="n">
        <v>0</v>
      </c>
      <c r="K2837" t="n">
        <v>0</v>
      </c>
      <c r="L2837" t="n">
        <v>0</v>
      </c>
      <c r="M2837" t="n">
        <v>0</v>
      </c>
      <c r="N2837" t="n">
        <v>0</v>
      </c>
      <c r="O2837" t="n">
        <v>0</v>
      </c>
      <c r="P2837" t="n">
        <v>0</v>
      </c>
      <c r="Q2837" t="n">
        <v>0</v>
      </c>
      <c r="R2837" s="2" t="inlineStr"/>
    </row>
    <row r="2838" ht="15" customHeight="1">
      <c r="A2838" t="inlineStr">
        <is>
          <t>A 29858-2022</t>
        </is>
      </c>
      <c r="B2838" s="1" t="n">
        <v>44756</v>
      </c>
      <c r="C2838" s="1" t="n">
        <v>45190</v>
      </c>
      <c r="D2838" t="inlineStr">
        <is>
          <t>SKÅNE LÄN</t>
        </is>
      </c>
      <c r="E2838" t="inlineStr">
        <is>
          <t>YSTAD</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30213-2022</t>
        </is>
      </c>
      <c r="B2839" s="1" t="n">
        <v>44757</v>
      </c>
      <c r="C2839" s="1" t="n">
        <v>45190</v>
      </c>
      <c r="D2839" t="inlineStr">
        <is>
          <t>SKÅNE LÄN</t>
        </is>
      </c>
      <c r="E2839" t="inlineStr">
        <is>
          <t>OSBY</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30558-2022</t>
        </is>
      </c>
      <c r="B2840" s="1" t="n">
        <v>44762</v>
      </c>
      <c r="C2840" s="1" t="n">
        <v>45190</v>
      </c>
      <c r="D2840" t="inlineStr">
        <is>
          <t>SKÅNE LÄN</t>
        </is>
      </c>
      <c r="E2840" t="inlineStr">
        <is>
          <t>ÄNGELHOLM</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30645-2022</t>
        </is>
      </c>
      <c r="B2841" s="1" t="n">
        <v>44763</v>
      </c>
      <c r="C2841" s="1" t="n">
        <v>45190</v>
      </c>
      <c r="D2841" t="inlineStr">
        <is>
          <t>SKÅNE LÄN</t>
        </is>
      </c>
      <c r="E2841" t="inlineStr">
        <is>
          <t>HÖÖR</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30641-2022</t>
        </is>
      </c>
      <c r="B2842" s="1" t="n">
        <v>44763</v>
      </c>
      <c r="C2842" s="1" t="n">
        <v>45190</v>
      </c>
      <c r="D2842" t="inlineStr">
        <is>
          <t>SKÅNE LÄN</t>
        </is>
      </c>
      <c r="E2842" t="inlineStr">
        <is>
          <t>KRISTIANSTAD</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30751-2022</t>
        </is>
      </c>
      <c r="B2843" s="1" t="n">
        <v>44764</v>
      </c>
      <c r="C2843" s="1" t="n">
        <v>45190</v>
      </c>
      <c r="D2843" t="inlineStr">
        <is>
          <t>SKÅNE LÄN</t>
        </is>
      </c>
      <c r="E2843" t="inlineStr">
        <is>
          <t>OSBY</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30845-2022</t>
        </is>
      </c>
      <c r="B2844" s="1" t="n">
        <v>44767</v>
      </c>
      <c r="C2844" s="1" t="n">
        <v>45190</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30864-2022</t>
        </is>
      </c>
      <c r="B2845" s="1" t="n">
        <v>44767</v>
      </c>
      <c r="C2845" s="1" t="n">
        <v>45190</v>
      </c>
      <c r="D2845" t="inlineStr">
        <is>
          <t>SKÅNE LÄN</t>
        </is>
      </c>
      <c r="E2845" t="inlineStr">
        <is>
          <t>KRISTIANSTAD</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30925-2022</t>
        </is>
      </c>
      <c r="B2846" s="1" t="n">
        <v>44767</v>
      </c>
      <c r="C2846" s="1" t="n">
        <v>45190</v>
      </c>
      <c r="D2846" t="inlineStr">
        <is>
          <t>SKÅNE LÄN</t>
        </is>
      </c>
      <c r="E2846" t="inlineStr">
        <is>
          <t>KRISTIANSTAD</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30918-2022</t>
        </is>
      </c>
      <c r="B2847" s="1" t="n">
        <v>44767</v>
      </c>
      <c r="C2847" s="1" t="n">
        <v>45190</v>
      </c>
      <c r="D2847" t="inlineStr">
        <is>
          <t>SKÅNE LÄN</t>
        </is>
      </c>
      <c r="E2847" t="inlineStr">
        <is>
          <t>KRISTIANSTAD</t>
        </is>
      </c>
      <c r="G2847" t="n">
        <v>3.4</v>
      </c>
      <c r="H2847" t="n">
        <v>0</v>
      </c>
      <c r="I2847" t="n">
        <v>0</v>
      </c>
      <c r="J2847" t="n">
        <v>0</v>
      </c>
      <c r="K2847" t="n">
        <v>0</v>
      </c>
      <c r="L2847" t="n">
        <v>0</v>
      </c>
      <c r="M2847" t="n">
        <v>0</v>
      </c>
      <c r="N2847" t="n">
        <v>0</v>
      </c>
      <c r="O2847" t="n">
        <v>0</v>
      </c>
      <c r="P2847" t="n">
        <v>0</v>
      </c>
      <c r="Q2847" t="n">
        <v>0</v>
      </c>
      <c r="R2847" s="2" t="inlineStr"/>
    </row>
    <row r="2848" ht="15" customHeight="1">
      <c r="A2848" t="inlineStr">
        <is>
          <t>A 31374-2022</t>
        </is>
      </c>
      <c r="B2848" s="1" t="n">
        <v>44774</v>
      </c>
      <c r="C2848" s="1" t="n">
        <v>45190</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31352-2022</t>
        </is>
      </c>
      <c r="B2849" s="1" t="n">
        <v>44774</v>
      </c>
      <c r="C2849" s="1" t="n">
        <v>45190</v>
      </c>
      <c r="D2849" t="inlineStr">
        <is>
          <t>SKÅNE LÄN</t>
        </is>
      </c>
      <c r="E2849" t="inlineStr">
        <is>
          <t>KRISTIANSTAD</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31572-2022</t>
        </is>
      </c>
      <c r="B2850" s="1" t="n">
        <v>44775</v>
      </c>
      <c r="C2850" s="1" t="n">
        <v>45190</v>
      </c>
      <c r="D2850" t="inlineStr">
        <is>
          <t>SKÅNE LÄN</t>
        </is>
      </c>
      <c r="E2850" t="inlineStr">
        <is>
          <t>HÄSSLEHOLM</t>
        </is>
      </c>
      <c r="F2850" t="inlineStr">
        <is>
          <t>Kommuner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31557-2022</t>
        </is>
      </c>
      <c r="B2851" s="1" t="n">
        <v>44775</v>
      </c>
      <c r="C2851" s="1" t="n">
        <v>45190</v>
      </c>
      <c r="D2851" t="inlineStr">
        <is>
          <t>SKÅNE LÄN</t>
        </is>
      </c>
      <c r="E2851" t="inlineStr">
        <is>
          <t>HÄSSLEHOLM</t>
        </is>
      </c>
      <c r="F2851" t="inlineStr">
        <is>
          <t>Kommuner</t>
        </is>
      </c>
      <c r="G2851" t="n">
        <v>4.9</v>
      </c>
      <c r="H2851" t="n">
        <v>0</v>
      </c>
      <c r="I2851" t="n">
        <v>0</v>
      </c>
      <c r="J2851" t="n">
        <v>0</v>
      </c>
      <c r="K2851" t="n">
        <v>0</v>
      </c>
      <c r="L2851" t="n">
        <v>0</v>
      </c>
      <c r="M2851" t="n">
        <v>0</v>
      </c>
      <c r="N2851" t="n">
        <v>0</v>
      </c>
      <c r="O2851" t="n">
        <v>0</v>
      </c>
      <c r="P2851" t="n">
        <v>0</v>
      </c>
      <c r="Q2851" t="n">
        <v>0</v>
      </c>
      <c r="R2851" s="2" t="inlineStr"/>
    </row>
    <row r="2852" ht="15" customHeight="1">
      <c r="A2852" t="inlineStr">
        <is>
          <t>A 31701-2022</t>
        </is>
      </c>
      <c r="B2852" s="1" t="n">
        <v>44776</v>
      </c>
      <c r="C2852" s="1" t="n">
        <v>45190</v>
      </c>
      <c r="D2852" t="inlineStr">
        <is>
          <t>SKÅNE LÄN</t>
        </is>
      </c>
      <c r="E2852" t="inlineStr">
        <is>
          <t>HÖÖR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31758-2022</t>
        </is>
      </c>
      <c r="B2853" s="1" t="n">
        <v>44776</v>
      </c>
      <c r="C2853" s="1" t="n">
        <v>45190</v>
      </c>
      <c r="D2853" t="inlineStr">
        <is>
          <t>SKÅNE LÄN</t>
        </is>
      </c>
      <c r="E2853" t="inlineStr">
        <is>
          <t>OSBY</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32511-2022</t>
        </is>
      </c>
      <c r="B2854" s="1" t="n">
        <v>44782</v>
      </c>
      <c r="C2854" s="1" t="n">
        <v>45190</v>
      </c>
      <c r="D2854" t="inlineStr">
        <is>
          <t>SKÅNE LÄN</t>
        </is>
      </c>
      <c r="E2854" t="inlineStr">
        <is>
          <t>ÖRKELLJUNGA</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32732-2022</t>
        </is>
      </c>
      <c r="B2855" s="1" t="n">
        <v>44783</v>
      </c>
      <c r="C2855" s="1" t="n">
        <v>45190</v>
      </c>
      <c r="D2855" t="inlineStr">
        <is>
          <t>SKÅNE LÄN</t>
        </is>
      </c>
      <c r="E2855" t="inlineStr">
        <is>
          <t>SJÖBO</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32584-2022</t>
        </is>
      </c>
      <c r="B2856" s="1" t="n">
        <v>44783</v>
      </c>
      <c r="C2856" s="1" t="n">
        <v>45190</v>
      </c>
      <c r="D2856" t="inlineStr">
        <is>
          <t>SKÅNE LÄN</t>
        </is>
      </c>
      <c r="E2856" t="inlineStr">
        <is>
          <t>OSBY</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32597-2022</t>
        </is>
      </c>
      <c r="B2857" s="1" t="n">
        <v>44783</v>
      </c>
      <c r="C2857" s="1" t="n">
        <v>45190</v>
      </c>
      <c r="D2857" t="inlineStr">
        <is>
          <t>SKÅNE LÄN</t>
        </is>
      </c>
      <c r="E2857" t="inlineStr">
        <is>
          <t>HÖRBY</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33486-2022</t>
        </is>
      </c>
      <c r="B2858" s="1" t="n">
        <v>44788</v>
      </c>
      <c r="C2858" s="1" t="n">
        <v>45190</v>
      </c>
      <c r="D2858" t="inlineStr">
        <is>
          <t>SKÅNE LÄN</t>
        </is>
      </c>
      <c r="E2858" t="inlineStr">
        <is>
          <t>OSBY</t>
        </is>
      </c>
      <c r="G2858" t="n">
        <v>7.8</v>
      </c>
      <c r="H2858" t="n">
        <v>0</v>
      </c>
      <c r="I2858" t="n">
        <v>0</v>
      </c>
      <c r="J2858" t="n">
        <v>0</v>
      </c>
      <c r="K2858" t="n">
        <v>0</v>
      </c>
      <c r="L2858" t="n">
        <v>0</v>
      </c>
      <c r="M2858" t="n">
        <v>0</v>
      </c>
      <c r="N2858" t="n">
        <v>0</v>
      </c>
      <c r="O2858" t="n">
        <v>0</v>
      </c>
      <c r="P2858" t="n">
        <v>0</v>
      </c>
      <c r="Q2858" t="n">
        <v>0</v>
      </c>
      <c r="R2858" s="2" t="inlineStr"/>
    </row>
    <row r="2859" ht="15" customHeight="1">
      <c r="A2859" t="inlineStr">
        <is>
          <t>A 33571-2022</t>
        </is>
      </c>
      <c r="B2859" s="1" t="n">
        <v>44789</v>
      </c>
      <c r="C2859" s="1" t="n">
        <v>45190</v>
      </c>
      <c r="D2859" t="inlineStr">
        <is>
          <t>SKÅNE LÄN</t>
        </is>
      </c>
      <c r="E2859" t="inlineStr">
        <is>
          <t>HÖRBY</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33816-2022</t>
        </is>
      </c>
      <c r="B2860" s="1" t="n">
        <v>44790</v>
      </c>
      <c r="C2860" s="1" t="n">
        <v>45190</v>
      </c>
      <c r="D2860" t="inlineStr">
        <is>
          <t>SKÅNE LÄN</t>
        </is>
      </c>
      <c r="E2860" t="inlineStr">
        <is>
          <t>OSBY</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33822-2022</t>
        </is>
      </c>
      <c r="B2861" s="1" t="n">
        <v>44790</v>
      </c>
      <c r="C2861" s="1" t="n">
        <v>45190</v>
      </c>
      <c r="D2861" t="inlineStr">
        <is>
          <t>SKÅNE LÄN</t>
        </is>
      </c>
      <c r="E2861" t="inlineStr">
        <is>
          <t>OSBY</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34348-2022</t>
        </is>
      </c>
      <c r="B2862" s="1" t="n">
        <v>44792</v>
      </c>
      <c r="C2862" s="1" t="n">
        <v>45190</v>
      </c>
      <c r="D2862" t="inlineStr">
        <is>
          <t>SKÅNE LÄN</t>
        </is>
      </c>
      <c r="E2862" t="inlineStr">
        <is>
          <t>HÄSSLEHOLM</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34666-2022</t>
        </is>
      </c>
      <c r="B2863" s="1" t="n">
        <v>44795</v>
      </c>
      <c r="C2863" s="1" t="n">
        <v>45190</v>
      </c>
      <c r="D2863" t="inlineStr">
        <is>
          <t>SKÅNE LÄN</t>
        </is>
      </c>
      <c r="E2863" t="inlineStr">
        <is>
          <t>PERSTORP</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34924-2022</t>
        </is>
      </c>
      <c r="B2864" s="1" t="n">
        <v>44796</v>
      </c>
      <c r="C2864" s="1" t="n">
        <v>45190</v>
      </c>
      <c r="D2864" t="inlineStr">
        <is>
          <t>SKÅNE LÄN</t>
        </is>
      </c>
      <c r="E2864" t="inlineStr">
        <is>
          <t>ÖSTRA GÖINGE</t>
        </is>
      </c>
      <c r="G2864" t="n">
        <v>1.5</v>
      </c>
      <c r="H2864" t="n">
        <v>0</v>
      </c>
      <c r="I2864" t="n">
        <v>0</v>
      </c>
      <c r="J2864" t="n">
        <v>0</v>
      </c>
      <c r="K2864" t="n">
        <v>0</v>
      </c>
      <c r="L2864" t="n">
        <v>0</v>
      </c>
      <c r="M2864" t="n">
        <v>0</v>
      </c>
      <c r="N2864" t="n">
        <v>0</v>
      </c>
      <c r="O2864" t="n">
        <v>0</v>
      </c>
      <c r="P2864" t="n">
        <v>0</v>
      </c>
      <c r="Q2864" t="n">
        <v>0</v>
      </c>
      <c r="R2864" s="2" t="inlineStr"/>
    </row>
    <row r="2865" ht="15" customHeight="1">
      <c r="A2865" t="inlineStr">
        <is>
          <t>A 34873-2022</t>
        </is>
      </c>
      <c r="B2865" s="1" t="n">
        <v>44796</v>
      </c>
      <c r="C2865" s="1" t="n">
        <v>45190</v>
      </c>
      <c r="D2865" t="inlineStr">
        <is>
          <t>SKÅNE LÄN</t>
        </is>
      </c>
      <c r="E2865" t="inlineStr">
        <is>
          <t>KRISTIANSTAD</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35099-2022</t>
        </is>
      </c>
      <c r="B2866" s="1" t="n">
        <v>44797</v>
      </c>
      <c r="C2866" s="1" t="n">
        <v>45190</v>
      </c>
      <c r="D2866" t="inlineStr">
        <is>
          <t>SKÅNE LÄN</t>
        </is>
      </c>
      <c r="E2866" t="inlineStr">
        <is>
          <t>HÄSSLEHOLM</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35383-2022</t>
        </is>
      </c>
      <c r="B2867" s="1" t="n">
        <v>44798</v>
      </c>
      <c r="C2867" s="1" t="n">
        <v>45190</v>
      </c>
      <c r="D2867" t="inlineStr">
        <is>
          <t>SKÅNE LÄN</t>
        </is>
      </c>
      <c r="E2867" t="inlineStr">
        <is>
          <t>OSBY</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35438-2022</t>
        </is>
      </c>
      <c r="B2868" s="1" t="n">
        <v>44798</v>
      </c>
      <c r="C2868" s="1" t="n">
        <v>45190</v>
      </c>
      <c r="D2868" t="inlineStr">
        <is>
          <t>SKÅNE LÄN</t>
        </is>
      </c>
      <c r="E2868" t="inlineStr">
        <is>
          <t>HÖÖR</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35533-2022</t>
        </is>
      </c>
      <c r="B2869" s="1" t="n">
        <v>44799</v>
      </c>
      <c r="C2869" s="1" t="n">
        <v>45190</v>
      </c>
      <c r="D2869" t="inlineStr">
        <is>
          <t>SKÅNE LÄN</t>
        </is>
      </c>
      <c r="E2869" t="inlineStr">
        <is>
          <t>ÖRKELLJUNGA</t>
        </is>
      </c>
      <c r="F2869" t="inlineStr">
        <is>
          <t>Kommuner</t>
        </is>
      </c>
      <c r="G2869" t="n">
        <v>4.6</v>
      </c>
      <c r="H2869" t="n">
        <v>0</v>
      </c>
      <c r="I2869" t="n">
        <v>0</v>
      </c>
      <c r="J2869" t="n">
        <v>0</v>
      </c>
      <c r="K2869" t="n">
        <v>0</v>
      </c>
      <c r="L2869" t="n">
        <v>0</v>
      </c>
      <c r="M2869" t="n">
        <v>0</v>
      </c>
      <c r="N2869" t="n">
        <v>0</v>
      </c>
      <c r="O2869" t="n">
        <v>0</v>
      </c>
      <c r="P2869" t="n">
        <v>0</v>
      </c>
      <c r="Q2869" t="n">
        <v>0</v>
      </c>
      <c r="R2869" s="2" t="inlineStr"/>
    </row>
    <row r="2870" ht="15" customHeight="1">
      <c r="A2870" t="inlineStr">
        <is>
          <t>A 35777-2022</t>
        </is>
      </c>
      <c r="B2870" s="1" t="n">
        <v>44801</v>
      </c>
      <c r="C2870" s="1" t="n">
        <v>45190</v>
      </c>
      <c r="D2870" t="inlineStr">
        <is>
          <t>SKÅNE LÄN</t>
        </is>
      </c>
      <c r="E2870" t="inlineStr">
        <is>
          <t>OSBY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35849-2022</t>
        </is>
      </c>
      <c r="B2871" s="1" t="n">
        <v>44802</v>
      </c>
      <c r="C2871" s="1" t="n">
        <v>45190</v>
      </c>
      <c r="D2871" t="inlineStr">
        <is>
          <t>SKÅNE LÄN</t>
        </is>
      </c>
      <c r="E2871" t="inlineStr">
        <is>
          <t>SIMRISHAMN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35974-2022</t>
        </is>
      </c>
      <c r="B2872" s="1" t="n">
        <v>44802</v>
      </c>
      <c r="C2872" s="1" t="n">
        <v>45190</v>
      </c>
      <c r="D2872" t="inlineStr">
        <is>
          <t>SKÅNE LÄN</t>
        </is>
      </c>
      <c r="E2872" t="inlineStr">
        <is>
          <t>HÄSSLEHOLM</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35986-2022</t>
        </is>
      </c>
      <c r="B2873" s="1" t="n">
        <v>44802</v>
      </c>
      <c r="C2873" s="1" t="n">
        <v>45190</v>
      </c>
      <c r="D2873" t="inlineStr">
        <is>
          <t>SKÅNE LÄN</t>
        </is>
      </c>
      <c r="E2873" t="inlineStr">
        <is>
          <t>OSBY</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35842-2022</t>
        </is>
      </c>
      <c r="B2874" s="1" t="n">
        <v>44802</v>
      </c>
      <c r="C2874" s="1" t="n">
        <v>45190</v>
      </c>
      <c r="D2874" t="inlineStr">
        <is>
          <t>SKÅNE LÄN</t>
        </is>
      </c>
      <c r="E2874" t="inlineStr">
        <is>
          <t>HÄSSLEHOLM</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36036-2022</t>
        </is>
      </c>
      <c r="B2875" s="1" t="n">
        <v>44802</v>
      </c>
      <c r="C2875" s="1" t="n">
        <v>45190</v>
      </c>
      <c r="D2875" t="inlineStr">
        <is>
          <t>SKÅNE LÄN</t>
        </is>
      </c>
      <c r="E2875" t="inlineStr">
        <is>
          <t>ÄNGELHOLM</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35845-2022</t>
        </is>
      </c>
      <c r="B2876" s="1" t="n">
        <v>44802</v>
      </c>
      <c r="C2876" s="1" t="n">
        <v>45190</v>
      </c>
      <c r="D2876" t="inlineStr">
        <is>
          <t>SKÅNE LÄN</t>
        </is>
      </c>
      <c r="E2876" t="inlineStr">
        <is>
          <t>HÄSSLEHOLM</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36324-2022</t>
        </is>
      </c>
      <c r="B2877" s="1" t="n">
        <v>44803</v>
      </c>
      <c r="C2877" s="1" t="n">
        <v>45190</v>
      </c>
      <c r="D2877" t="inlineStr">
        <is>
          <t>SKÅNE LÄN</t>
        </is>
      </c>
      <c r="E2877" t="inlineStr">
        <is>
          <t>ÖSTRA GÖINGE</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36358-2022</t>
        </is>
      </c>
      <c r="B2878" s="1" t="n">
        <v>44803</v>
      </c>
      <c r="C2878" s="1" t="n">
        <v>45190</v>
      </c>
      <c r="D2878" t="inlineStr">
        <is>
          <t>SKÅNE LÄN</t>
        </is>
      </c>
      <c r="E2878" t="inlineStr">
        <is>
          <t>ÄNGELHOLM</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36578-2022</t>
        </is>
      </c>
      <c r="B2879" s="1" t="n">
        <v>44804</v>
      </c>
      <c r="C2879" s="1" t="n">
        <v>45190</v>
      </c>
      <c r="D2879" t="inlineStr">
        <is>
          <t>SKÅNE LÄN</t>
        </is>
      </c>
      <c r="E2879" t="inlineStr">
        <is>
          <t>VELLINGE</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36540-2022</t>
        </is>
      </c>
      <c r="B2880" s="1" t="n">
        <v>44804</v>
      </c>
      <c r="C2880" s="1" t="n">
        <v>45190</v>
      </c>
      <c r="D2880" t="inlineStr">
        <is>
          <t>SKÅNE LÄN</t>
        </is>
      </c>
      <c r="E2880" t="inlineStr">
        <is>
          <t>KRISTIANSTAD</t>
        </is>
      </c>
      <c r="G2880" t="n">
        <v>17.9</v>
      </c>
      <c r="H2880" t="n">
        <v>0</v>
      </c>
      <c r="I2880" t="n">
        <v>0</v>
      </c>
      <c r="J2880" t="n">
        <v>0</v>
      </c>
      <c r="K2880" t="n">
        <v>0</v>
      </c>
      <c r="L2880" t="n">
        <v>0</v>
      </c>
      <c r="M2880" t="n">
        <v>0</v>
      </c>
      <c r="N2880" t="n">
        <v>0</v>
      </c>
      <c r="O2880" t="n">
        <v>0</v>
      </c>
      <c r="P2880" t="n">
        <v>0</v>
      </c>
      <c r="Q2880" t="n">
        <v>0</v>
      </c>
      <c r="R2880" s="2" t="inlineStr"/>
    </row>
    <row r="2881" ht="15" customHeight="1">
      <c r="A2881" t="inlineStr">
        <is>
          <t>A 36421-2022</t>
        </is>
      </c>
      <c r="B2881" s="1" t="n">
        <v>44804</v>
      </c>
      <c r="C2881" s="1" t="n">
        <v>45190</v>
      </c>
      <c r="D2881" t="inlineStr">
        <is>
          <t>SKÅNE LÄN</t>
        </is>
      </c>
      <c r="E2881" t="inlineStr">
        <is>
          <t>BROMÖLLA</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36523-2022</t>
        </is>
      </c>
      <c r="B2882" s="1" t="n">
        <v>44804</v>
      </c>
      <c r="C2882" s="1" t="n">
        <v>45190</v>
      </c>
      <c r="D2882" t="inlineStr">
        <is>
          <t>SKÅNE LÄN</t>
        </is>
      </c>
      <c r="E2882" t="inlineStr">
        <is>
          <t>VELLINGE</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36761-2022</t>
        </is>
      </c>
      <c r="B2883" s="1" t="n">
        <v>44805</v>
      </c>
      <c r="C2883" s="1" t="n">
        <v>45190</v>
      </c>
      <c r="D2883" t="inlineStr">
        <is>
          <t>SKÅNE LÄN</t>
        </is>
      </c>
      <c r="E2883" t="inlineStr">
        <is>
          <t>ESLÖV</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36897-2022</t>
        </is>
      </c>
      <c r="B2884" s="1" t="n">
        <v>44805</v>
      </c>
      <c r="C2884" s="1" t="n">
        <v>45190</v>
      </c>
      <c r="D2884" t="inlineStr">
        <is>
          <t>SKÅNE LÄN</t>
        </is>
      </c>
      <c r="E2884" t="inlineStr">
        <is>
          <t>BROMÖLLA</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37098-2022</t>
        </is>
      </c>
      <c r="B2885" s="1" t="n">
        <v>44806</v>
      </c>
      <c r="C2885" s="1" t="n">
        <v>45190</v>
      </c>
      <c r="D2885" t="inlineStr">
        <is>
          <t>SKÅNE LÄN</t>
        </is>
      </c>
      <c r="E2885" t="inlineStr">
        <is>
          <t>HÄSSLEHOLM</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37181-2022</t>
        </is>
      </c>
      <c r="B2886" s="1" t="n">
        <v>44806</v>
      </c>
      <c r="C2886" s="1" t="n">
        <v>45190</v>
      </c>
      <c r="D2886" t="inlineStr">
        <is>
          <t>SKÅNE LÄN</t>
        </is>
      </c>
      <c r="E2886" t="inlineStr">
        <is>
          <t>HÄSSLEHOLM</t>
        </is>
      </c>
      <c r="F2886" t="inlineStr">
        <is>
          <t>Kyrkan</t>
        </is>
      </c>
      <c r="G2886" t="n">
        <v>3.5</v>
      </c>
      <c r="H2886" t="n">
        <v>0</v>
      </c>
      <c r="I2886" t="n">
        <v>0</v>
      </c>
      <c r="J2886" t="n">
        <v>0</v>
      </c>
      <c r="K2886" t="n">
        <v>0</v>
      </c>
      <c r="L2886" t="n">
        <v>0</v>
      </c>
      <c r="M2886" t="n">
        <v>0</v>
      </c>
      <c r="N2886" t="n">
        <v>0</v>
      </c>
      <c r="O2886" t="n">
        <v>0</v>
      </c>
      <c r="P2886" t="n">
        <v>0</v>
      </c>
      <c r="Q2886" t="n">
        <v>0</v>
      </c>
      <c r="R2886" s="2" t="inlineStr"/>
    </row>
    <row r="2887" ht="15" customHeight="1">
      <c r="A2887" t="inlineStr">
        <is>
          <t>A 37359-2022</t>
        </is>
      </c>
      <c r="B2887" s="1" t="n">
        <v>44806</v>
      </c>
      <c r="C2887" s="1" t="n">
        <v>45190</v>
      </c>
      <c r="D2887" t="inlineStr">
        <is>
          <t>SKÅNE LÄN</t>
        </is>
      </c>
      <c r="E2887" t="inlineStr">
        <is>
          <t>KLIPPAN</t>
        </is>
      </c>
      <c r="F2887" t="inlineStr">
        <is>
          <t>Övriga Aktiebolag</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37055-2022</t>
        </is>
      </c>
      <c r="B2888" s="1" t="n">
        <v>44806</v>
      </c>
      <c r="C2888" s="1" t="n">
        <v>45190</v>
      </c>
      <c r="D2888" t="inlineStr">
        <is>
          <t>SKÅNE LÄN</t>
        </is>
      </c>
      <c r="E2888" t="inlineStr">
        <is>
          <t>ÄNGELHOLM</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37354-2022</t>
        </is>
      </c>
      <c r="B2889" s="1" t="n">
        <v>44806</v>
      </c>
      <c r="C2889" s="1" t="n">
        <v>45190</v>
      </c>
      <c r="D2889" t="inlineStr">
        <is>
          <t>SKÅNE LÄN</t>
        </is>
      </c>
      <c r="E2889" t="inlineStr">
        <is>
          <t>SVALÖV</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37035-2022</t>
        </is>
      </c>
      <c r="B2890" s="1" t="n">
        <v>44806</v>
      </c>
      <c r="C2890" s="1" t="n">
        <v>45190</v>
      </c>
      <c r="D2890" t="inlineStr">
        <is>
          <t>SKÅNE LÄN</t>
        </is>
      </c>
      <c r="E2890" t="inlineStr">
        <is>
          <t>KLIPPAN</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37061-2022</t>
        </is>
      </c>
      <c r="B2891" s="1" t="n">
        <v>44806</v>
      </c>
      <c r="C2891" s="1" t="n">
        <v>45190</v>
      </c>
      <c r="D2891" t="inlineStr">
        <is>
          <t>SKÅNE LÄN</t>
        </is>
      </c>
      <c r="E2891" t="inlineStr">
        <is>
          <t>ÖRKELLJUNGA</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37457-2022</t>
        </is>
      </c>
      <c r="B2892" s="1" t="n">
        <v>44809</v>
      </c>
      <c r="C2892" s="1" t="n">
        <v>45190</v>
      </c>
      <c r="D2892" t="inlineStr">
        <is>
          <t>SKÅNE LÄN</t>
        </is>
      </c>
      <c r="E2892" t="inlineStr">
        <is>
          <t>HÄSSLEHOLM</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37724-2022</t>
        </is>
      </c>
      <c r="B2893" s="1" t="n">
        <v>44810</v>
      </c>
      <c r="C2893" s="1" t="n">
        <v>45190</v>
      </c>
      <c r="D2893" t="inlineStr">
        <is>
          <t>SKÅNE LÄN</t>
        </is>
      </c>
      <c r="E2893" t="inlineStr">
        <is>
          <t>HÖRBY</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37764-2022</t>
        </is>
      </c>
      <c r="B2894" s="1" t="n">
        <v>44810</v>
      </c>
      <c r="C2894" s="1" t="n">
        <v>45190</v>
      </c>
      <c r="D2894" t="inlineStr">
        <is>
          <t>SKÅNE LÄN</t>
        </is>
      </c>
      <c r="E2894" t="inlineStr">
        <is>
          <t>HÄSSLEHOLM</t>
        </is>
      </c>
      <c r="F2894" t="inlineStr">
        <is>
          <t>Kyrkan</t>
        </is>
      </c>
      <c r="G2894" t="n">
        <v>9.4</v>
      </c>
      <c r="H2894" t="n">
        <v>0</v>
      </c>
      <c r="I2894" t="n">
        <v>0</v>
      </c>
      <c r="J2894" t="n">
        <v>0</v>
      </c>
      <c r="K2894" t="n">
        <v>0</v>
      </c>
      <c r="L2894" t="n">
        <v>0</v>
      </c>
      <c r="M2894" t="n">
        <v>0</v>
      </c>
      <c r="N2894" t="n">
        <v>0</v>
      </c>
      <c r="O2894" t="n">
        <v>0</v>
      </c>
      <c r="P2894" t="n">
        <v>0</v>
      </c>
      <c r="Q2894" t="n">
        <v>0</v>
      </c>
      <c r="R2894" s="2" t="inlineStr"/>
    </row>
    <row r="2895" ht="15" customHeight="1">
      <c r="A2895" t="inlineStr">
        <is>
          <t>A 37784-2022</t>
        </is>
      </c>
      <c r="B2895" s="1" t="n">
        <v>44810</v>
      </c>
      <c r="C2895" s="1" t="n">
        <v>45190</v>
      </c>
      <c r="D2895" t="inlineStr">
        <is>
          <t>SKÅNE LÄN</t>
        </is>
      </c>
      <c r="E2895" t="inlineStr">
        <is>
          <t>ÖSTRA GÖINGE</t>
        </is>
      </c>
      <c r="F2895" t="inlineStr">
        <is>
          <t>Kyrkan</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38013-2022</t>
        </is>
      </c>
      <c r="B2896" s="1" t="n">
        <v>44811</v>
      </c>
      <c r="C2896" s="1" t="n">
        <v>45190</v>
      </c>
      <c r="D2896" t="inlineStr">
        <is>
          <t>SKÅNE LÄN</t>
        </is>
      </c>
      <c r="E2896" t="inlineStr">
        <is>
          <t>BÅSTAD</t>
        </is>
      </c>
      <c r="G2896" t="n">
        <v>5.3</v>
      </c>
      <c r="H2896" t="n">
        <v>0</v>
      </c>
      <c r="I2896" t="n">
        <v>0</v>
      </c>
      <c r="J2896" t="n">
        <v>0</v>
      </c>
      <c r="K2896" t="n">
        <v>0</v>
      </c>
      <c r="L2896" t="n">
        <v>0</v>
      </c>
      <c r="M2896" t="n">
        <v>0</v>
      </c>
      <c r="N2896" t="n">
        <v>0</v>
      </c>
      <c r="O2896" t="n">
        <v>0</v>
      </c>
      <c r="P2896" t="n">
        <v>0</v>
      </c>
      <c r="Q2896" t="n">
        <v>0</v>
      </c>
      <c r="R2896" s="2" t="inlineStr"/>
    </row>
    <row r="2897" ht="15" customHeight="1">
      <c r="A2897" t="inlineStr">
        <is>
          <t>A 38148-2022</t>
        </is>
      </c>
      <c r="B2897" s="1" t="n">
        <v>44811</v>
      </c>
      <c r="C2897" s="1" t="n">
        <v>45190</v>
      </c>
      <c r="D2897" t="inlineStr">
        <is>
          <t>SKÅNE LÄN</t>
        </is>
      </c>
      <c r="E2897" t="inlineStr">
        <is>
          <t>HÄSSLEHOLM</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38133-2022</t>
        </is>
      </c>
      <c r="B2898" s="1" t="n">
        <v>44811</v>
      </c>
      <c r="C2898" s="1" t="n">
        <v>45190</v>
      </c>
      <c r="D2898" t="inlineStr">
        <is>
          <t>SKÅNE LÄN</t>
        </is>
      </c>
      <c r="E2898" t="inlineStr">
        <is>
          <t>HÄSSLEHOLM</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38376-2022</t>
        </is>
      </c>
      <c r="B2899" s="1" t="n">
        <v>44812</v>
      </c>
      <c r="C2899" s="1" t="n">
        <v>45190</v>
      </c>
      <c r="D2899" t="inlineStr">
        <is>
          <t>SKÅNE LÄN</t>
        </is>
      </c>
      <c r="E2899" t="inlineStr">
        <is>
          <t>HÄSSLEHOLM</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38463-2022</t>
        </is>
      </c>
      <c r="B2900" s="1" t="n">
        <v>44813</v>
      </c>
      <c r="C2900" s="1" t="n">
        <v>45190</v>
      </c>
      <c r="D2900" t="inlineStr">
        <is>
          <t>SKÅNE LÄN</t>
        </is>
      </c>
      <c r="E2900" t="inlineStr">
        <is>
          <t>HÄSSLEHOLM</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38560-2022</t>
        </is>
      </c>
      <c r="B2901" s="1" t="n">
        <v>44813</v>
      </c>
      <c r="C2901" s="1" t="n">
        <v>45190</v>
      </c>
      <c r="D2901" t="inlineStr">
        <is>
          <t>SKÅNE LÄN</t>
        </is>
      </c>
      <c r="E2901" t="inlineStr">
        <is>
          <t>ÖRKELLJUNGA</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38556-2022</t>
        </is>
      </c>
      <c r="B2902" s="1" t="n">
        <v>44813</v>
      </c>
      <c r="C2902" s="1" t="n">
        <v>45190</v>
      </c>
      <c r="D2902" t="inlineStr">
        <is>
          <t>SKÅNE LÄN</t>
        </is>
      </c>
      <c r="E2902" t="inlineStr">
        <is>
          <t>ÖRKELLJUNGA</t>
        </is>
      </c>
      <c r="G2902" t="n">
        <v>4</v>
      </c>
      <c r="H2902" t="n">
        <v>0</v>
      </c>
      <c r="I2902" t="n">
        <v>0</v>
      </c>
      <c r="J2902" t="n">
        <v>0</v>
      </c>
      <c r="K2902" t="n">
        <v>0</v>
      </c>
      <c r="L2902" t="n">
        <v>0</v>
      </c>
      <c r="M2902" t="n">
        <v>0</v>
      </c>
      <c r="N2902" t="n">
        <v>0</v>
      </c>
      <c r="O2902" t="n">
        <v>0</v>
      </c>
      <c r="P2902" t="n">
        <v>0</v>
      </c>
      <c r="Q2902" t="n">
        <v>0</v>
      </c>
      <c r="R2902" s="2" t="inlineStr"/>
    </row>
    <row r="2903" ht="15" customHeight="1">
      <c r="A2903" t="inlineStr">
        <is>
          <t>A 38492-2022</t>
        </is>
      </c>
      <c r="B2903" s="1" t="n">
        <v>44813</v>
      </c>
      <c r="C2903" s="1" t="n">
        <v>45190</v>
      </c>
      <c r="D2903" t="inlineStr">
        <is>
          <t>SKÅNE LÄN</t>
        </is>
      </c>
      <c r="E2903" t="inlineStr">
        <is>
          <t>KRISTIANSTAD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38684-2022</t>
        </is>
      </c>
      <c r="B2904" s="1" t="n">
        <v>44814</v>
      </c>
      <c r="C2904" s="1" t="n">
        <v>45190</v>
      </c>
      <c r="D2904" t="inlineStr">
        <is>
          <t>SKÅNE LÄN</t>
        </is>
      </c>
      <c r="E2904" t="inlineStr">
        <is>
          <t>HÖRBY</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39066-2022</t>
        </is>
      </c>
      <c r="B2905" s="1" t="n">
        <v>44816</v>
      </c>
      <c r="C2905" s="1" t="n">
        <v>45190</v>
      </c>
      <c r="D2905" t="inlineStr">
        <is>
          <t>SKÅNE LÄN</t>
        </is>
      </c>
      <c r="E2905" t="inlineStr">
        <is>
          <t>ESLÖV</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38778-2022</t>
        </is>
      </c>
      <c r="B2906" s="1" t="n">
        <v>44816</v>
      </c>
      <c r="C2906" s="1" t="n">
        <v>45190</v>
      </c>
      <c r="D2906" t="inlineStr">
        <is>
          <t>SKÅNE LÄN</t>
        </is>
      </c>
      <c r="E2906" t="inlineStr">
        <is>
          <t>KRISTIANSTAD</t>
        </is>
      </c>
      <c r="G2906" t="n">
        <v>17.1</v>
      </c>
      <c r="H2906" t="n">
        <v>0</v>
      </c>
      <c r="I2906" t="n">
        <v>0</v>
      </c>
      <c r="J2906" t="n">
        <v>0</v>
      </c>
      <c r="K2906" t="n">
        <v>0</v>
      </c>
      <c r="L2906" t="n">
        <v>0</v>
      </c>
      <c r="M2906" t="n">
        <v>0</v>
      </c>
      <c r="N2906" t="n">
        <v>0</v>
      </c>
      <c r="O2906" t="n">
        <v>0</v>
      </c>
      <c r="P2906" t="n">
        <v>0</v>
      </c>
      <c r="Q2906" t="n">
        <v>0</v>
      </c>
      <c r="R2906" s="2" t="inlineStr"/>
    </row>
    <row r="2907" ht="15" customHeight="1">
      <c r="A2907" t="inlineStr">
        <is>
          <t>A 39056-2022</t>
        </is>
      </c>
      <c r="B2907" s="1" t="n">
        <v>44816</v>
      </c>
      <c r="C2907" s="1" t="n">
        <v>45190</v>
      </c>
      <c r="D2907" t="inlineStr">
        <is>
          <t>SKÅNE LÄN</t>
        </is>
      </c>
      <c r="E2907" t="inlineStr">
        <is>
          <t>KLIPPAN</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39238-2022</t>
        </is>
      </c>
      <c r="B2908" s="1" t="n">
        <v>44817</v>
      </c>
      <c r="C2908" s="1" t="n">
        <v>45190</v>
      </c>
      <c r="D2908" t="inlineStr">
        <is>
          <t>SKÅNE LÄN</t>
        </is>
      </c>
      <c r="E2908" t="inlineStr">
        <is>
          <t>KLIPPAN</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39266-2022</t>
        </is>
      </c>
      <c r="B2909" s="1" t="n">
        <v>44817</v>
      </c>
      <c r="C2909" s="1" t="n">
        <v>45190</v>
      </c>
      <c r="D2909" t="inlineStr">
        <is>
          <t>SKÅNE LÄN</t>
        </is>
      </c>
      <c r="E2909" t="inlineStr">
        <is>
          <t>HÖÖR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39567-2022</t>
        </is>
      </c>
      <c r="B2910" s="1" t="n">
        <v>44817</v>
      </c>
      <c r="C2910" s="1" t="n">
        <v>45190</v>
      </c>
      <c r="D2910" t="inlineStr">
        <is>
          <t>SKÅNE LÄN</t>
        </is>
      </c>
      <c r="E2910" t="inlineStr">
        <is>
          <t>KRISTIANSTAD</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40037-2022</t>
        </is>
      </c>
      <c r="B2911" s="1" t="n">
        <v>44818</v>
      </c>
      <c r="C2911" s="1" t="n">
        <v>45190</v>
      </c>
      <c r="D2911" t="inlineStr">
        <is>
          <t>SKÅNE LÄN</t>
        </is>
      </c>
      <c r="E2911" t="inlineStr">
        <is>
          <t>KRISTIANSTAD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40181-2022</t>
        </is>
      </c>
      <c r="B2912" s="1" t="n">
        <v>44818</v>
      </c>
      <c r="C2912" s="1" t="n">
        <v>45190</v>
      </c>
      <c r="D2912" t="inlineStr">
        <is>
          <t>SKÅNE LÄN</t>
        </is>
      </c>
      <c r="E2912" t="inlineStr">
        <is>
          <t>KRISTIANSTAD</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39844-2022</t>
        </is>
      </c>
      <c r="B2913" s="1" t="n">
        <v>44819</v>
      </c>
      <c r="C2913" s="1" t="n">
        <v>45190</v>
      </c>
      <c r="D2913" t="inlineStr">
        <is>
          <t>SKÅNE LÄN</t>
        </is>
      </c>
      <c r="E2913" t="inlineStr">
        <is>
          <t>HÖRBY</t>
        </is>
      </c>
      <c r="G2913" t="n">
        <v>3.2</v>
      </c>
      <c r="H2913" t="n">
        <v>0</v>
      </c>
      <c r="I2913" t="n">
        <v>0</v>
      </c>
      <c r="J2913" t="n">
        <v>0</v>
      </c>
      <c r="K2913" t="n">
        <v>0</v>
      </c>
      <c r="L2913" t="n">
        <v>0</v>
      </c>
      <c r="M2913" t="n">
        <v>0</v>
      </c>
      <c r="N2913" t="n">
        <v>0</v>
      </c>
      <c r="O2913" t="n">
        <v>0</v>
      </c>
      <c r="P2913" t="n">
        <v>0</v>
      </c>
      <c r="Q2913" t="n">
        <v>0</v>
      </c>
      <c r="R2913" s="2" t="inlineStr"/>
    </row>
    <row r="2914" ht="15" customHeight="1">
      <c r="A2914" t="inlineStr">
        <is>
          <t>A 39849-2022</t>
        </is>
      </c>
      <c r="B2914" s="1" t="n">
        <v>44819</v>
      </c>
      <c r="C2914" s="1" t="n">
        <v>45190</v>
      </c>
      <c r="D2914" t="inlineStr">
        <is>
          <t>SKÅNE LÄN</t>
        </is>
      </c>
      <c r="E2914" t="inlineStr">
        <is>
          <t>HÖRBY</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40139-2022</t>
        </is>
      </c>
      <c r="B2915" s="1" t="n">
        <v>44820</v>
      </c>
      <c r="C2915" s="1" t="n">
        <v>45190</v>
      </c>
      <c r="D2915" t="inlineStr">
        <is>
          <t>SKÅNE LÄN</t>
        </is>
      </c>
      <c r="E2915" t="inlineStr">
        <is>
          <t>ÖSTRA GÖINGE</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40199-2022</t>
        </is>
      </c>
      <c r="B2916" s="1" t="n">
        <v>44820</v>
      </c>
      <c r="C2916" s="1" t="n">
        <v>45190</v>
      </c>
      <c r="D2916" t="inlineStr">
        <is>
          <t>SKÅNE LÄN</t>
        </is>
      </c>
      <c r="E2916" t="inlineStr">
        <is>
          <t>HÄSSLEHOLM</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40764-2022</t>
        </is>
      </c>
      <c r="B2917" s="1" t="n">
        <v>44820</v>
      </c>
      <c r="C2917" s="1" t="n">
        <v>45190</v>
      </c>
      <c r="D2917" t="inlineStr">
        <is>
          <t>SKÅNE LÄN</t>
        </is>
      </c>
      <c r="E2917" t="inlineStr">
        <is>
          <t>HÄSSLEHOLM</t>
        </is>
      </c>
      <c r="G2917" t="n">
        <v>0.3</v>
      </c>
      <c r="H2917" t="n">
        <v>0</v>
      </c>
      <c r="I2917" t="n">
        <v>0</v>
      </c>
      <c r="J2917" t="n">
        <v>0</v>
      </c>
      <c r="K2917" t="n">
        <v>0</v>
      </c>
      <c r="L2917" t="n">
        <v>0</v>
      </c>
      <c r="M2917" t="n">
        <v>0</v>
      </c>
      <c r="N2917" t="n">
        <v>0</v>
      </c>
      <c r="O2917" t="n">
        <v>0</v>
      </c>
      <c r="P2917" t="n">
        <v>0</v>
      </c>
      <c r="Q2917" t="n">
        <v>0</v>
      </c>
      <c r="R2917" s="2" t="inlineStr"/>
    </row>
    <row r="2918" ht="15" customHeight="1">
      <c r="A2918" t="inlineStr">
        <is>
          <t>A 40886-2022</t>
        </is>
      </c>
      <c r="B2918" s="1" t="n">
        <v>44820</v>
      </c>
      <c r="C2918" s="1" t="n">
        <v>45190</v>
      </c>
      <c r="D2918" t="inlineStr">
        <is>
          <t>SKÅNE LÄN</t>
        </is>
      </c>
      <c r="E2918" t="inlineStr">
        <is>
          <t>HÖÖR</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40768-2022</t>
        </is>
      </c>
      <c r="B2919" s="1" t="n">
        <v>44820</v>
      </c>
      <c r="C2919" s="1" t="n">
        <v>45190</v>
      </c>
      <c r="D2919" t="inlineStr">
        <is>
          <t>SKÅNE LÄN</t>
        </is>
      </c>
      <c r="E2919" t="inlineStr">
        <is>
          <t>HÄSSLEHOLM</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40904-2022</t>
        </is>
      </c>
      <c r="B2920" s="1" t="n">
        <v>44820</v>
      </c>
      <c r="C2920" s="1" t="n">
        <v>45190</v>
      </c>
      <c r="D2920" t="inlineStr">
        <is>
          <t>SKÅNE LÄN</t>
        </is>
      </c>
      <c r="E2920" t="inlineStr">
        <is>
          <t>ÖSTRA GÖINGE</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40795-2022</t>
        </is>
      </c>
      <c r="B2921" s="1" t="n">
        <v>44820</v>
      </c>
      <c r="C2921" s="1" t="n">
        <v>45190</v>
      </c>
      <c r="D2921" t="inlineStr">
        <is>
          <t>SKÅNE LÄN</t>
        </is>
      </c>
      <c r="E2921" t="inlineStr">
        <is>
          <t>KLIPPAN</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40780-2022</t>
        </is>
      </c>
      <c r="B2922" s="1" t="n">
        <v>44820</v>
      </c>
      <c r="C2922" s="1" t="n">
        <v>45190</v>
      </c>
      <c r="D2922" t="inlineStr">
        <is>
          <t>SKÅNE LÄN</t>
        </is>
      </c>
      <c r="E2922" t="inlineStr">
        <is>
          <t>HÄSSLEHOLM</t>
        </is>
      </c>
      <c r="G2922" t="n">
        <v>7.4</v>
      </c>
      <c r="H2922" t="n">
        <v>0</v>
      </c>
      <c r="I2922" t="n">
        <v>0</v>
      </c>
      <c r="J2922" t="n">
        <v>0</v>
      </c>
      <c r="K2922" t="n">
        <v>0</v>
      </c>
      <c r="L2922" t="n">
        <v>0</v>
      </c>
      <c r="M2922" t="n">
        <v>0</v>
      </c>
      <c r="N2922" t="n">
        <v>0</v>
      </c>
      <c r="O2922" t="n">
        <v>0</v>
      </c>
      <c r="P2922" t="n">
        <v>0</v>
      </c>
      <c r="Q2922" t="n">
        <v>0</v>
      </c>
      <c r="R2922" s="2" t="inlineStr"/>
    </row>
    <row r="2923" ht="15" customHeight="1">
      <c r="A2923" t="inlineStr">
        <is>
          <t>A 40417-2022</t>
        </is>
      </c>
      <c r="B2923" s="1" t="n">
        <v>44823</v>
      </c>
      <c r="C2923" s="1" t="n">
        <v>45190</v>
      </c>
      <c r="D2923" t="inlineStr">
        <is>
          <t>SKÅNE LÄN</t>
        </is>
      </c>
      <c r="E2923" t="inlineStr">
        <is>
          <t>YSTAD</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40974-2022</t>
        </is>
      </c>
      <c r="B2924" s="1" t="n">
        <v>44823</v>
      </c>
      <c r="C2924" s="1" t="n">
        <v>45190</v>
      </c>
      <c r="D2924" t="inlineStr">
        <is>
          <t>SKÅNE LÄN</t>
        </is>
      </c>
      <c r="E2924" t="inlineStr">
        <is>
          <t>KRISTIANSTAD</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40695-2022</t>
        </is>
      </c>
      <c r="B2925" s="1" t="n">
        <v>44824</v>
      </c>
      <c r="C2925" s="1" t="n">
        <v>45190</v>
      </c>
      <c r="D2925" t="inlineStr">
        <is>
          <t>SKÅNE LÄN</t>
        </is>
      </c>
      <c r="E2925" t="inlineStr">
        <is>
          <t>BROMÖLLA</t>
        </is>
      </c>
      <c r="G2925" t="n">
        <v>4</v>
      </c>
      <c r="H2925" t="n">
        <v>0</v>
      </c>
      <c r="I2925" t="n">
        <v>0</v>
      </c>
      <c r="J2925" t="n">
        <v>0</v>
      </c>
      <c r="K2925" t="n">
        <v>0</v>
      </c>
      <c r="L2925" t="n">
        <v>0</v>
      </c>
      <c r="M2925" t="n">
        <v>0</v>
      </c>
      <c r="N2925" t="n">
        <v>0</v>
      </c>
      <c r="O2925" t="n">
        <v>0</v>
      </c>
      <c r="P2925" t="n">
        <v>0</v>
      </c>
      <c r="Q2925" t="n">
        <v>0</v>
      </c>
      <c r="R2925" s="2" t="inlineStr"/>
    </row>
    <row r="2926" ht="15" customHeight="1">
      <c r="A2926" t="inlineStr">
        <is>
          <t>A 40712-2022</t>
        </is>
      </c>
      <c r="B2926" s="1" t="n">
        <v>44824</v>
      </c>
      <c r="C2926" s="1" t="n">
        <v>45190</v>
      </c>
      <c r="D2926" t="inlineStr">
        <is>
          <t>SKÅNE LÄN</t>
        </is>
      </c>
      <c r="E2926" t="inlineStr">
        <is>
          <t>KRISTIANSTAD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40762-2022</t>
        </is>
      </c>
      <c r="B2927" s="1" t="n">
        <v>44824</v>
      </c>
      <c r="C2927" s="1" t="n">
        <v>45190</v>
      </c>
      <c r="D2927" t="inlineStr">
        <is>
          <t>SKÅNE LÄN</t>
        </is>
      </c>
      <c r="E2927" t="inlineStr">
        <is>
          <t>KRISTIANSTAD</t>
        </is>
      </c>
      <c r="F2927" t="inlineStr">
        <is>
          <t>Övriga Aktiebolag</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40719-2022</t>
        </is>
      </c>
      <c r="B2928" s="1" t="n">
        <v>44824</v>
      </c>
      <c r="C2928" s="1" t="n">
        <v>45190</v>
      </c>
      <c r="D2928" t="inlineStr">
        <is>
          <t>SKÅNE LÄN</t>
        </is>
      </c>
      <c r="E2928" t="inlineStr">
        <is>
          <t>BROMÖLLA</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41042-2022</t>
        </is>
      </c>
      <c r="B2929" s="1" t="n">
        <v>44825</v>
      </c>
      <c r="C2929" s="1" t="n">
        <v>45190</v>
      </c>
      <c r="D2929" t="inlineStr">
        <is>
          <t>SKÅNE LÄN</t>
        </is>
      </c>
      <c r="E2929" t="inlineStr">
        <is>
          <t>BROMÖLLA</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41268-2022</t>
        </is>
      </c>
      <c r="B2930" s="1" t="n">
        <v>44825</v>
      </c>
      <c r="C2930" s="1" t="n">
        <v>45190</v>
      </c>
      <c r="D2930" t="inlineStr">
        <is>
          <t>SKÅNE LÄN</t>
        </is>
      </c>
      <c r="E2930" t="inlineStr">
        <is>
          <t>KLIPPAN</t>
        </is>
      </c>
      <c r="F2930" t="inlineStr">
        <is>
          <t>Övriga Aktiebolag</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41294-2022</t>
        </is>
      </c>
      <c r="B2931" s="1" t="n">
        <v>44825</v>
      </c>
      <c r="C2931" s="1" t="n">
        <v>45190</v>
      </c>
      <c r="D2931" t="inlineStr">
        <is>
          <t>SKÅNE LÄN</t>
        </is>
      </c>
      <c r="E2931" t="inlineStr">
        <is>
          <t>KLIPPAN</t>
        </is>
      </c>
      <c r="G2931" t="n">
        <v>6.1</v>
      </c>
      <c r="H2931" t="n">
        <v>0</v>
      </c>
      <c r="I2931" t="n">
        <v>0</v>
      </c>
      <c r="J2931" t="n">
        <v>0</v>
      </c>
      <c r="K2931" t="n">
        <v>0</v>
      </c>
      <c r="L2931" t="n">
        <v>0</v>
      </c>
      <c r="M2931" t="n">
        <v>0</v>
      </c>
      <c r="N2931" t="n">
        <v>0</v>
      </c>
      <c r="O2931" t="n">
        <v>0</v>
      </c>
      <c r="P2931" t="n">
        <v>0</v>
      </c>
      <c r="Q2931" t="n">
        <v>0</v>
      </c>
      <c r="R2931" s="2" t="inlineStr"/>
    </row>
    <row r="2932" ht="15" customHeight="1">
      <c r="A2932" t="inlineStr">
        <is>
          <t>A 41272-2022</t>
        </is>
      </c>
      <c r="B2932" s="1" t="n">
        <v>44825</v>
      </c>
      <c r="C2932" s="1" t="n">
        <v>45190</v>
      </c>
      <c r="D2932" t="inlineStr">
        <is>
          <t>SKÅNE LÄN</t>
        </is>
      </c>
      <c r="E2932" t="inlineStr">
        <is>
          <t>KLIPPAN</t>
        </is>
      </c>
      <c r="F2932" t="inlineStr">
        <is>
          <t>Övriga Aktiebolag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41547-2022</t>
        </is>
      </c>
      <c r="B2933" s="1" t="n">
        <v>44826</v>
      </c>
      <c r="C2933" s="1" t="n">
        <v>45190</v>
      </c>
      <c r="D2933" t="inlineStr">
        <is>
          <t>SKÅNE LÄN</t>
        </is>
      </c>
      <c r="E2933" t="inlineStr">
        <is>
          <t>OSBY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41537-2022</t>
        </is>
      </c>
      <c r="B2934" s="1" t="n">
        <v>44826</v>
      </c>
      <c r="C2934" s="1" t="n">
        <v>45190</v>
      </c>
      <c r="D2934" t="inlineStr">
        <is>
          <t>SKÅNE LÄN</t>
        </is>
      </c>
      <c r="E2934" t="inlineStr">
        <is>
          <t>OSBY</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41548-2022</t>
        </is>
      </c>
      <c r="B2935" s="1" t="n">
        <v>44826</v>
      </c>
      <c r="C2935" s="1" t="n">
        <v>45190</v>
      </c>
      <c r="D2935" t="inlineStr">
        <is>
          <t>SKÅNE LÄN</t>
        </is>
      </c>
      <c r="E2935" t="inlineStr">
        <is>
          <t>ÖSTRA GÖINGE</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42016-2022</t>
        </is>
      </c>
      <c r="B2936" s="1" t="n">
        <v>44827</v>
      </c>
      <c r="C2936" s="1" t="n">
        <v>45190</v>
      </c>
      <c r="D2936" t="inlineStr">
        <is>
          <t>SKÅNE LÄN</t>
        </is>
      </c>
      <c r="E2936" t="inlineStr">
        <is>
          <t>SIMRISHAMN</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41764-2022</t>
        </is>
      </c>
      <c r="B2937" s="1" t="n">
        <v>44827</v>
      </c>
      <c r="C2937" s="1" t="n">
        <v>45190</v>
      </c>
      <c r="D2937" t="inlineStr">
        <is>
          <t>SKÅNE LÄN</t>
        </is>
      </c>
      <c r="E2937" t="inlineStr">
        <is>
          <t>ÄNGELHOLM</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41725-2022</t>
        </is>
      </c>
      <c r="B2938" s="1" t="n">
        <v>44827</v>
      </c>
      <c r="C2938" s="1" t="n">
        <v>45190</v>
      </c>
      <c r="D2938" t="inlineStr">
        <is>
          <t>SKÅNE LÄN</t>
        </is>
      </c>
      <c r="E2938" t="inlineStr">
        <is>
          <t>ÄNGELHOLM</t>
        </is>
      </c>
      <c r="G2938" t="n">
        <v>0.2</v>
      </c>
      <c r="H2938" t="n">
        <v>0</v>
      </c>
      <c r="I2938" t="n">
        <v>0</v>
      </c>
      <c r="J2938" t="n">
        <v>0</v>
      </c>
      <c r="K2938" t="n">
        <v>0</v>
      </c>
      <c r="L2938" t="n">
        <v>0</v>
      </c>
      <c r="M2938" t="n">
        <v>0</v>
      </c>
      <c r="N2938" t="n">
        <v>0</v>
      </c>
      <c r="O2938" t="n">
        <v>0</v>
      </c>
      <c r="P2938" t="n">
        <v>0</v>
      </c>
      <c r="Q2938" t="n">
        <v>0</v>
      </c>
      <c r="R2938" s="2" t="inlineStr"/>
    </row>
    <row r="2939" ht="15" customHeight="1">
      <c r="A2939" t="inlineStr">
        <is>
          <t>A 41769-2022</t>
        </is>
      </c>
      <c r="B2939" s="1" t="n">
        <v>44827</v>
      </c>
      <c r="C2939" s="1" t="n">
        <v>45190</v>
      </c>
      <c r="D2939" t="inlineStr">
        <is>
          <t>SKÅNE LÄN</t>
        </is>
      </c>
      <c r="E2939" t="inlineStr">
        <is>
          <t>ÄNGELHOLM</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42387-2022</t>
        </is>
      </c>
      <c r="B2940" s="1" t="n">
        <v>44830</v>
      </c>
      <c r="C2940" s="1" t="n">
        <v>45190</v>
      </c>
      <c r="D2940" t="inlineStr">
        <is>
          <t>SKÅNE LÄN</t>
        </is>
      </c>
      <c r="E2940" t="inlineStr">
        <is>
          <t>TOMELILLA</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42748-2022</t>
        </is>
      </c>
      <c r="B2941" s="1" t="n">
        <v>44831</v>
      </c>
      <c r="C2941" s="1" t="n">
        <v>45190</v>
      </c>
      <c r="D2941" t="inlineStr">
        <is>
          <t>SKÅNE LÄN</t>
        </is>
      </c>
      <c r="E2941" t="inlineStr">
        <is>
          <t>BROMÖLLA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42428-2022</t>
        </is>
      </c>
      <c r="B2942" s="1" t="n">
        <v>44831</v>
      </c>
      <c r="C2942" s="1" t="n">
        <v>45190</v>
      </c>
      <c r="D2942" t="inlineStr">
        <is>
          <t>SKÅNE LÄN</t>
        </is>
      </c>
      <c r="E2942" t="inlineStr">
        <is>
          <t>HÄSSLEHOLM</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42692-2022</t>
        </is>
      </c>
      <c r="B2943" s="1" t="n">
        <v>44832</v>
      </c>
      <c r="C2943" s="1" t="n">
        <v>45190</v>
      </c>
      <c r="D2943" t="inlineStr">
        <is>
          <t>SKÅNE LÄN</t>
        </is>
      </c>
      <c r="E2943" t="inlineStr">
        <is>
          <t>HÖÖR</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42766-2022</t>
        </is>
      </c>
      <c r="B2944" s="1" t="n">
        <v>44832</v>
      </c>
      <c r="C2944" s="1" t="n">
        <v>45190</v>
      </c>
      <c r="D2944" t="inlineStr">
        <is>
          <t>SKÅNE LÄN</t>
        </is>
      </c>
      <c r="E2944" t="inlineStr">
        <is>
          <t>OSBY</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42751-2022</t>
        </is>
      </c>
      <c r="B2945" s="1" t="n">
        <v>44832</v>
      </c>
      <c r="C2945" s="1" t="n">
        <v>45190</v>
      </c>
      <c r="D2945" t="inlineStr">
        <is>
          <t>SKÅNE LÄN</t>
        </is>
      </c>
      <c r="E2945" t="inlineStr">
        <is>
          <t>OSBY</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42906-2022</t>
        </is>
      </c>
      <c r="B2946" s="1" t="n">
        <v>44833</v>
      </c>
      <c r="C2946" s="1" t="n">
        <v>45190</v>
      </c>
      <c r="D2946" t="inlineStr">
        <is>
          <t>SKÅNE LÄN</t>
        </is>
      </c>
      <c r="E2946" t="inlineStr">
        <is>
          <t>HÄSSLEHOLM</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43004-2022</t>
        </is>
      </c>
      <c r="B2947" s="1" t="n">
        <v>44833</v>
      </c>
      <c r="C2947" s="1" t="n">
        <v>45190</v>
      </c>
      <c r="D2947" t="inlineStr">
        <is>
          <t>SKÅNE LÄN</t>
        </is>
      </c>
      <c r="E2947" t="inlineStr">
        <is>
          <t>ÖSTRA GÖINGE</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41940-2022</t>
        </is>
      </c>
      <c r="B2948" s="1" t="n">
        <v>44833</v>
      </c>
      <c r="C2948" s="1" t="n">
        <v>45190</v>
      </c>
      <c r="D2948" t="inlineStr">
        <is>
          <t>SKÅNE LÄN</t>
        </is>
      </c>
      <c r="E2948" t="inlineStr">
        <is>
          <t>KRISTIANSTAD</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43114-2022</t>
        </is>
      </c>
      <c r="B2949" s="1" t="n">
        <v>44833</v>
      </c>
      <c r="C2949" s="1" t="n">
        <v>45190</v>
      </c>
      <c r="D2949" t="inlineStr">
        <is>
          <t>SKÅNE LÄN</t>
        </is>
      </c>
      <c r="E2949" t="inlineStr">
        <is>
          <t>SIMRISHAMN</t>
        </is>
      </c>
      <c r="F2949" t="inlineStr">
        <is>
          <t>Övriga Aktiebolag</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43175-2022</t>
        </is>
      </c>
      <c r="B2950" s="1" t="n">
        <v>44834</v>
      </c>
      <c r="C2950" s="1" t="n">
        <v>45190</v>
      </c>
      <c r="D2950" t="inlineStr">
        <is>
          <t>SKÅNE LÄN</t>
        </is>
      </c>
      <c r="E2950" t="inlineStr">
        <is>
          <t>OSBY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43663-2022</t>
        </is>
      </c>
      <c r="B2951" s="1" t="n">
        <v>44837</v>
      </c>
      <c r="C2951" s="1" t="n">
        <v>45190</v>
      </c>
      <c r="D2951" t="inlineStr">
        <is>
          <t>SKÅNE LÄN</t>
        </is>
      </c>
      <c r="E2951" t="inlineStr">
        <is>
          <t>KRISTIANSTAD</t>
        </is>
      </c>
      <c r="F2951" t="inlineStr">
        <is>
          <t>Övriga Aktiebolag</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43685-2022</t>
        </is>
      </c>
      <c r="B2952" s="1" t="n">
        <v>44837</v>
      </c>
      <c r="C2952" s="1" t="n">
        <v>45190</v>
      </c>
      <c r="D2952" t="inlineStr">
        <is>
          <t>SKÅNE LÄN</t>
        </is>
      </c>
      <c r="E2952" t="inlineStr">
        <is>
          <t>HÖRBY</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43891-2022</t>
        </is>
      </c>
      <c r="B2953" s="1" t="n">
        <v>44838</v>
      </c>
      <c r="C2953" s="1" t="n">
        <v>45190</v>
      </c>
      <c r="D2953" t="inlineStr">
        <is>
          <t>SKÅNE LÄN</t>
        </is>
      </c>
      <c r="E2953" t="inlineStr">
        <is>
          <t>HÖÖR</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43996-2022</t>
        </is>
      </c>
      <c r="B2954" s="1" t="n">
        <v>44838</v>
      </c>
      <c r="C2954" s="1" t="n">
        <v>45190</v>
      </c>
      <c r="D2954" t="inlineStr">
        <is>
          <t>SKÅNE LÄN</t>
        </is>
      </c>
      <c r="E2954" t="inlineStr">
        <is>
          <t>HÖÖR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43877-2022</t>
        </is>
      </c>
      <c r="B2955" s="1" t="n">
        <v>44838</v>
      </c>
      <c r="C2955" s="1" t="n">
        <v>45190</v>
      </c>
      <c r="D2955" t="inlineStr">
        <is>
          <t>SKÅNE LÄN</t>
        </is>
      </c>
      <c r="E2955" t="inlineStr">
        <is>
          <t>HÖÖR</t>
        </is>
      </c>
      <c r="G2955" t="n">
        <v>0.3</v>
      </c>
      <c r="H2955" t="n">
        <v>0</v>
      </c>
      <c r="I2955" t="n">
        <v>0</v>
      </c>
      <c r="J2955" t="n">
        <v>0</v>
      </c>
      <c r="K2955" t="n">
        <v>0</v>
      </c>
      <c r="L2955" t="n">
        <v>0</v>
      </c>
      <c r="M2955" t="n">
        <v>0</v>
      </c>
      <c r="N2955" t="n">
        <v>0</v>
      </c>
      <c r="O2955" t="n">
        <v>0</v>
      </c>
      <c r="P2955" t="n">
        <v>0</v>
      </c>
      <c r="Q2955" t="n">
        <v>0</v>
      </c>
      <c r="R2955" s="2" t="inlineStr"/>
    </row>
    <row r="2956" ht="15" customHeight="1">
      <c r="A2956" t="inlineStr">
        <is>
          <t>A 43821-2022</t>
        </is>
      </c>
      <c r="B2956" s="1" t="n">
        <v>44838</v>
      </c>
      <c r="C2956" s="1" t="n">
        <v>45190</v>
      </c>
      <c r="D2956" t="inlineStr">
        <is>
          <t>SKÅNE LÄN</t>
        </is>
      </c>
      <c r="E2956" t="inlineStr">
        <is>
          <t>KLIPPAN</t>
        </is>
      </c>
      <c r="F2956" t="inlineStr">
        <is>
          <t>Sveaskog</t>
        </is>
      </c>
      <c r="G2956" t="n">
        <v>7.2</v>
      </c>
      <c r="H2956" t="n">
        <v>0</v>
      </c>
      <c r="I2956" t="n">
        <v>0</v>
      </c>
      <c r="J2956" t="n">
        <v>0</v>
      </c>
      <c r="K2956" t="n">
        <v>0</v>
      </c>
      <c r="L2956" t="n">
        <v>0</v>
      </c>
      <c r="M2956" t="n">
        <v>0</v>
      </c>
      <c r="N2956" t="n">
        <v>0</v>
      </c>
      <c r="O2956" t="n">
        <v>0</v>
      </c>
      <c r="P2956" t="n">
        <v>0</v>
      </c>
      <c r="Q2956" t="n">
        <v>0</v>
      </c>
      <c r="R2956" s="2" t="inlineStr"/>
    </row>
    <row r="2957" ht="15" customHeight="1">
      <c r="A2957" t="inlineStr">
        <is>
          <t>A 43871-2022</t>
        </is>
      </c>
      <c r="B2957" s="1" t="n">
        <v>44838</v>
      </c>
      <c r="C2957" s="1" t="n">
        <v>45190</v>
      </c>
      <c r="D2957" t="inlineStr">
        <is>
          <t>SKÅNE LÄN</t>
        </is>
      </c>
      <c r="E2957" t="inlineStr">
        <is>
          <t>HÖÖR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43884-2022</t>
        </is>
      </c>
      <c r="B2958" s="1" t="n">
        <v>44838</v>
      </c>
      <c r="C2958" s="1" t="n">
        <v>45190</v>
      </c>
      <c r="D2958" t="inlineStr">
        <is>
          <t>SKÅNE LÄN</t>
        </is>
      </c>
      <c r="E2958" t="inlineStr">
        <is>
          <t>HÖÖR</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43855-2022</t>
        </is>
      </c>
      <c r="B2959" s="1" t="n">
        <v>44838</v>
      </c>
      <c r="C2959" s="1" t="n">
        <v>45190</v>
      </c>
      <c r="D2959" t="inlineStr">
        <is>
          <t>SKÅNE LÄN</t>
        </is>
      </c>
      <c r="E2959" t="inlineStr">
        <is>
          <t>KLIPPAN</t>
        </is>
      </c>
      <c r="F2959" t="inlineStr">
        <is>
          <t>Sveaskog</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43897-2022</t>
        </is>
      </c>
      <c r="B2960" s="1" t="n">
        <v>44838</v>
      </c>
      <c r="C2960" s="1" t="n">
        <v>45190</v>
      </c>
      <c r="D2960" t="inlineStr">
        <is>
          <t>SKÅNE LÄN</t>
        </is>
      </c>
      <c r="E2960" t="inlineStr">
        <is>
          <t>HÖÖR</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43931-2022</t>
        </is>
      </c>
      <c r="B2961" s="1" t="n">
        <v>44838</v>
      </c>
      <c r="C2961" s="1" t="n">
        <v>45190</v>
      </c>
      <c r="D2961" t="inlineStr">
        <is>
          <t>SKÅNE LÄN</t>
        </is>
      </c>
      <c r="E2961" t="inlineStr">
        <is>
          <t>OSBY</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44062-2022</t>
        </is>
      </c>
      <c r="B2962" s="1" t="n">
        <v>44839</v>
      </c>
      <c r="C2962" s="1" t="n">
        <v>45190</v>
      </c>
      <c r="D2962" t="inlineStr">
        <is>
          <t>SKÅNE LÄN</t>
        </is>
      </c>
      <c r="E2962" t="inlineStr">
        <is>
          <t>ÄNGELHOLM</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44403-2022</t>
        </is>
      </c>
      <c r="B2963" s="1" t="n">
        <v>44839</v>
      </c>
      <c r="C2963" s="1" t="n">
        <v>45190</v>
      </c>
      <c r="D2963" t="inlineStr">
        <is>
          <t>SKÅNE LÄN</t>
        </is>
      </c>
      <c r="E2963" t="inlineStr">
        <is>
          <t>ÖSTRA GÖINGE</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44060-2022</t>
        </is>
      </c>
      <c r="B2964" s="1" t="n">
        <v>44839</v>
      </c>
      <c r="C2964" s="1" t="n">
        <v>45190</v>
      </c>
      <c r="D2964" t="inlineStr">
        <is>
          <t>SKÅNE LÄN</t>
        </is>
      </c>
      <c r="E2964" t="inlineStr">
        <is>
          <t>ÄNGELHOLM</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44582-2022</t>
        </is>
      </c>
      <c r="B2965" s="1" t="n">
        <v>44840</v>
      </c>
      <c r="C2965" s="1" t="n">
        <v>45190</v>
      </c>
      <c r="D2965" t="inlineStr">
        <is>
          <t>SKÅNE LÄN</t>
        </is>
      </c>
      <c r="E2965" t="inlineStr">
        <is>
          <t>KRISTIANSTAD</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44725-2022</t>
        </is>
      </c>
      <c r="B2966" s="1" t="n">
        <v>44840</v>
      </c>
      <c r="C2966" s="1" t="n">
        <v>45190</v>
      </c>
      <c r="D2966" t="inlineStr">
        <is>
          <t>SKÅNE LÄN</t>
        </is>
      </c>
      <c r="E2966" t="inlineStr">
        <is>
          <t>ÖSTRA GÖINGE</t>
        </is>
      </c>
      <c r="G2966" t="n">
        <v>8.300000000000001</v>
      </c>
      <c r="H2966" t="n">
        <v>0</v>
      </c>
      <c r="I2966" t="n">
        <v>0</v>
      </c>
      <c r="J2966" t="n">
        <v>0</v>
      </c>
      <c r="K2966" t="n">
        <v>0</v>
      </c>
      <c r="L2966" t="n">
        <v>0</v>
      </c>
      <c r="M2966" t="n">
        <v>0</v>
      </c>
      <c r="N2966" t="n">
        <v>0</v>
      </c>
      <c r="O2966" t="n">
        <v>0</v>
      </c>
      <c r="P2966" t="n">
        <v>0</v>
      </c>
      <c r="Q2966" t="n">
        <v>0</v>
      </c>
      <c r="R2966" s="2" t="inlineStr"/>
    </row>
    <row r="2967" ht="15" customHeight="1">
      <c r="A2967" t="inlineStr">
        <is>
          <t>A 44669-2022</t>
        </is>
      </c>
      <c r="B2967" s="1" t="n">
        <v>44840</v>
      </c>
      <c r="C2967" s="1" t="n">
        <v>45190</v>
      </c>
      <c r="D2967" t="inlineStr">
        <is>
          <t>SKÅNE LÄN</t>
        </is>
      </c>
      <c r="E2967" t="inlineStr">
        <is>
          <t>HÄSSLEHOLM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44837-2022</t>
        </is>
      </c>
      <c r="B2968" s="1" t="n">
        <v>44841</v>
      </c>
      <c r="C2968" s="1" t="n">
        <v>45190</v>
      </c>
      <c r="D2968" t="inlineStr">
        <is>
          <t>SKÅNE LÄN</t>
        </is>
      </c>
      <c r="E2968" t="inlineStr">
        <is>
          <t>ÖSTRA GÖINGE</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44880-2022</t>
        </is>
      </c>
      <c r="B2969" s="1" t="n">
        <v>44841</v>
      </c>
      <c r="C2969" s="1" t="n">
        <v>45190</v>
      </c>
      <c r="D2969" t="inlineStr">
        <is>
          <t>SKÅNE LÄN</t>
        </is>
      </c>
      <c r="E2969" t="inlineStr">
        <is>
          <t>ÖRKELLJUNGA</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45042-2022</t>
        </is>
      </c>
      <c r="B2970" s="1" t="n">
        <v>44841</v>
      </c>
      <c r="C2970" s="1" t="n">
        <v>45190</v>
      </c>
      <c r="D2970" t="inlineStr">
        <is>
          <t>SKÅNE LÄN</t>
        </is>
      </c>
      <c r="E2970" t="inlineStr">
        <is>
          <t>KRISTIANSTAD</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44882-2022</t>
        </is>
      </c>
      <c r="B2971" s="1" t="n">
        <v>44841</v>
      </c>
      <c r="C2971" s="1" t="n">
        <v>45190</v>
      </c>
      <c r="D2971" t="inlineStr">
        <is>
          <t>SKÅNE LÄN</t>
        </is>
      </c>
      <c r="E2971" t="inlineStr">
        <is>
          <t>ÖRKELLJUNGA</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44885-2022</t>
        </is>
      </c>
      <c r="B2972" s="1" t="n">
        <v>44841</v>
      </c>
      <c r="C2972" s="1" t="n">
        <v>45190</v>
      </c>
      <c r="D2972" t="inlineStr">
        <is>
          <t>SKÅNE LÄN</t>
        </is>
      </c>
      <c r="E2972" t="inlineStr">
        <is>
          <t>KLIPPAN</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44891-2022</t>
        </is>
      </c>
      <c r="B2973" s="1" t="n">
        <v>44841</v>
      </c>
      <c r="C2973" s="1" t="n">
        <v>45190</v>
      </c>
      <c r="D2973" t="inlineStr">
        <is>
          <t>SKÅNE LÄN</t>
        </is>
      </c>
      <c r="E2973" t="inlineStr">
        <is>
          <t>KLIPPAN</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45108-2022</t>
        </is>
      </c>
      <c r="B2974" s="1" t="n">
        <v>44843</v>
      </c>
      <c r="C2974" s="1" t="n">
        <v>45190</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45109-2022</t>
        </is>
      </c>
      <c r="B2975" s="1" t="n">
        <v>44843</v>
      </c>
      <c r="C2975" s="1" t="n">
        <v>45190</v>
      </c>
      <c r="D2975" t="inlineStr">
        <is>
          <t>SKÅNE LÄN</t>
        </is>
      </c>
      <c r="E2975" t="inlineStr">
        <is>
          <t>KRISTIANSTAD</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45196-2022</t>
        </is>
      </c>
      <c r="B2976" s="1" t="n">
        <v>44844</v>
      </c>
      <c r="C2976" s="1" t="n">
        <v>45190</v>
      </c>
      <c r="D2976" t="inlineStr">
        <is>
          <t>SKÅNE LÄN</t>
        </is>
      </c>
      <c r="E2976" t="inlineStr">
        <is>
          <t>HÄSSLEHOLM</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45305-2022</t>
        </is>
      </c>
      <c r="B2977" s="1" t="n">
        <v>44844</v>
      </c>
      <c r="C2977" s="1" t="n">
        <v>45190</v>
      </c>
      <c r="D2977" t="inlineStr">
        <is>
          <t>SKÅNE LÄN</t>
        </is>
      </c>
      <c r="E2977" t="inlineStr">
        <is>
          <t>ÄNGELHOLM</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45323-2022</t>
        </is>
      </c>
      <c r="B2978" s="1" t="n">
        <v>44844</v>
      </c>
      <c r="C2978" s="1" t="n">
        <v>45190</v>
      </c>
      <c r="D2978" t="inlineStr">
        <is>
          <t>SKÅNE LÄN</t>
        </is>
      </c>
      <c r="E2978" t="inlineStr">
        <is>
          <t>HÖRBY</t>
        </is>
      </c>
      <c r="F2978" t="inlineStr">
        <is>
          <t>Sveaskog</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45187-2022</t>
        </is>
      </c>
      <c r="B2979" s="1" t="n">
        <v>44844</v>
      </c>
      <c r="C2979" s="1" t="n">
        <v>45190</v>
      </c>
      <c r="D2979" t="inlineStr">
        <is>
          <t>SKÅNE LÄN</t>
        </is>
      </c>
      <c r="E2979" t="inlineStr">
        <is>
          <t>HÄSSLEHOLM</t>
        </is>
      </c>
      <c r="G2979" t="n">
        <v>4.4</v>
      </c>
      <c r="H2979" t="n">
        <v>0</v>
      </c>
      <c r="I2979" t="n">
        <v>0</v>
      </c>
      <c r="J2979" t="n">
        <v>0</v>
      </c>
      <c r="K2979" t="n">
        <v>0</v>
      </c>
      <c r="L2979" t="n">
        <v>0</v>
      </c>
      <c r="M2979" t="n">
        <v>0</v>
      </c>
      <c r="N2979" t="n">
        <v>0</v>
      </c>
      <c r="O2979" t="n">
        <v>0</v>
      </c>
      <c r="P2979" t="n">
        <v>0</v>
      </c>
      <c r="Q2979" t="n">
        <v>0</v>
      </c>
      <c r="R2979" s="2" t="inlineStr"/>
    </row>
    <row r="2980" ht="15" customHeight="1">
      <c r="A2980" t="inlineStr">
        <is>
          <t>A 45317-2022</t>
        </is>
      </c>
      <c r="B2980" s="1" t="n">
        <v>44844</v>
      </c>
      <c r="C2980" s="1" t="n">
        <v>45190</v>
      </c>
      <c r="D2980" t="inlineStr">
        <is>
          <t>SKÅNE LÄN</t>
        </is>
      </c>
      <c r="E2980" t="inlineStr">
        <is>
          <t>HÖRBY</t>
        </is>
      </c>
      <c r="F2980" t="inlineStr">
        <is>
          <t>Sveaskog</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45330-2022</t>
        </is>
      </c>
      <c r="B2981" s="1" t="n">
        <v>44844</v>
      </c>
      <c r="C2981" s="1" t="n">
        <v>45190</v>
      </c>
      <c r="D2981" t="inlineStr">
        <is>
          <t>SKÅNE LÄN</t>
        </is>
      </c>
      <c r="E2981" t="inlineStr">
        <is>
          <t>HÖRBY</t>
        </is>
      </c>
      <c r="F2981" t="inlineStr">
        <is>
          <t>Sveaskog</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45641-2022</t>
        </is>
      </c>
      <c r="B2982" s="1" t="n">
        <v>44845</v>
      </c>
      <c r="C2982" s="1" t="n">
        <v>45190</v>
      </c>
      <c r="D2982" t="inlineStr">
        <is>
          <t>SKÅNE LÄN</t>
        </is>
      </c>
      <c r="E2982" t="inlineStr">
        <is>
          <t>KLIPPAN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45648-2022</t>
        </is>
      </c>
      <c r="B2983" s="1" t="n">
        <v>44845</v>
      </c>
      <c r="C2983" s="1" t="n">
        <v>45190</v>
      </c>
      <c r="D2983" t="inlineStr">
        <is>
          <t>SKÅNE LÄN</t>
        </is>
      </c>
      <c r="E2983" t="inlineStr">
        <is>
          <t>OSBY</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45572-2022</t>
        </is>
      </c>
      <c r="B2984" s="1" t="n">
        <v>44845</v>
      </c>
      <c r="C2984" s="1" t="n">
        <v>45190</v>
      </c>
      <c r="D2984" t="inlineStr">
        <is>
          <t>SKÅNE LÄN</t>
        </is>
      </c>
      <c r="E2984" t="inlineStr">
        <is>
          <t>ÖSTRA GÖINGE</t>
        </is>
      </c>
      <c r="G2984" t="n">
        <v>10.4</v>
      </c>
      <c r="H2984" t="n">
        <v>0</v>
      </c>
      <c r="I2984" t="n">
        <v>0</v>
      </c>
      <c r="J2984" t="n">
        <v>0</v>
      </c>
      <c r="K2984" t="n">
        <v>0</v>
      </c>
      <c r="L2984" t="n">
        <v>0</v>
      </c>
      <c r="M2984" t="n">
        <v>0</v>
      </c>
      <c r="N2984" t="n">
        <v>0</v>
      </c>
      <c r="O2984" t="n">
        <v>0</v>
      </c>
      <c r="P2984" t="n">
        <v>0</v>
      </c>
      <c r="Q2984" t="n">
        <v>0</v>
      </c>
      <c r="R2984" s="2" t="inlineStr"/>
    </row>
    <row r="2985" ht="15" customHeight="1">
      <c r="A2985" t="inlineStr">
        <is>
          <t>A 45650-2022</t>
        </is>
      </c>
      <c r="B2985" s="1" t="n">
        <v>44845</v>
      </c>
      <c r="C2985" s="1" t="n">
        <v>45190</v>
      </c>
      <c r="D2985" t="inlineStr">
        <is>
          <t>SKÅNE LÄN</t>
        </is>
      </c>
      <c r="E2985" t="inlineStr">
        <is>
          <t>OSBY</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45946-2022</t>
        </is>
      </c>
      <c r="B2986" s="1" t="n">
        <v>44845</v>
      </c>
      <c r="C2986" s="1" t="n">
        <v>45190</v>
      </c>
      <c r="D2986" t="inlineStr">
        <is>
          <t>SKÅNE LÄN</t>
        </is>
      </c>
      <c r="E2986" t="inlineStr">
        <is>
          <t>SIMRISHAMN</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45728-2022</t>
        </is>
      </c>
      <c r="B2987" s="1" t="n">
        <v>44846</v>
      </c>
      <c r="C2987" s="1" t="n">
        <v>45190</v>
      </c>
      <c r="D2987" t="inlineStr">
        <is>
          <t>SKÅNE LÄN</t>
        </is>
      </c>
      <c r="E2987" t="inlineStr">
        <is>
          <t>KRISTIANSTAD</t>
        </is>
      </c>
      <c r="F2987" t="inlineStr">
        <is>
          <t>Övriga Aktiebolag</t>
        </is>
      </c>
      <c r="G2987" t="n">
        <v>2.1</v>
      </c>
      <c r="H2987" t="n">
        <v>0</v>
      </c>
      <c r="I2987" t="n">
        <v>0</v>
      </c>
      <c r="J2987" t="n">
        <v>0</v>
      </c>
      <c r="K2987" t="n">
        <v>0</v>
      </c>
      <c r="L2987" t="n">
        <v>0</v>
      </c>
      <c r="M2987" t="n">
        <v>0</v>
      </c>
      <c r="N2987" t="n">
        <v>0</v>
      </c>
      <c r="O2987" t="n">
        <v>0</v>
      </c>
      <c r="P2987" t="n">
        <v>0</v>
      </c>
      <c r="Q2987" t="n">
        <v>0</v>
      </c>
      <c r="R2987" s="2" t="inlineStr"/>
    </row>
    <row r="2988" ht="15" customHeight="1">
      <c r="A2988" t="inlineStr">
        <is>
          <t>A 45771-2022</t>
        </is>
      </c>
      <c r="B2988" s="1" t="n">
        <v>44846</v>
      </c>
      <c r="C2988" s="1" t="n">
        <v>45190</v>
      </c>
      <c r="D2988" t="inlineStr">
        <is>
          <t>SKÅNE LÄN</t>
        </is>
      </c>
      <c r="E2988" t="inlineStr">
        <is>
          <t>LUND</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46147-2022</t>
        </is>
      </c>
      <c r="B2989" s="1" t="n">
        <v>44846</v>
      </c>
      <c r="C2989" s="1" t="n">
        <v>45190</v>
      </c>
      <c r="D2989" t="inlineStr">
        <is>
          <t>SKÅNE LÄN</t>
        </is>
      </c>
      <c r="E2989" t="inlineStr">
        <is>
          <t>KLIPPAN</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45725-2022</t>
        </is>
      </c>
      <c r="B2990" s="1" t="n">
        <v>44846</v>
      </c>
      <c r="C2990" s="1" t="n">
        <v>45190</v>
      </c>
      <c r="D2990" t="inlineStr">
        <is>
          <t>SKÅNE LÄN</t>
        </is>
      </c>
      <c r="E2990" t="inlineStr">
        <is>
          <t>LUND</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46217-2022</t>
        </is>
      </c>
      <c r="B2991" s="1" t="n">
        <v>44846</v>
      </c>
      <c r="C2991" s="1" t="n">
        <v>45190</v>
      </c>
      <c r="D2991" t="inlineStr">
        <is>
          <t>SKÅNE LÄN</t>
        </is>
      </c>
      <c r="E2991" t="inlineStr">
        <is>
          <t>HÄSSLEHOLM</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46185-2022</t>
        </is>
      </c>
      <c r="B2992" s="1" t="n">
        <v>44847</v>
      </c>
      <c r="C2992" s="1" t="n">
        <v>45190</v>
      </c>
      <c r="D2992" t="inlineStr">
        <is>
          <t>SKÅNE LÄN</t>
        </is>
      </c>
      <c r="E2992" t="inlineStr">
        <is>
          <t>HÄSSLEHOLM</t>
        </is>
      </c>
      <c r="G2992" t="n">
        <v>16.8</v>
      </c>
      <c r="H2992" t="n">
        <v>0</v>
      </c>
      <c r="I2992" t="n">
        <v>0</v>
      </c>
      <c r="J2992" t="n">
        <v>0</v>
      </c>
      <c r="K2992" t="n">
        <v>0</v>
      </c>
      <c r="L2992" t="n">
        <v>0</v>
      </c>
      <c r="M2992" t="n">
        <v>0</v>
      </c>
      <c r="N2992" t="n">
        <v>0</v>
      </c>
      <c r="O2992" t="n">
        <v>0</v>
      </c>
      <c r="P2992" t="n">
        <v>0</v>
      </c>
      <c r="Q2992" t="n">
        <v>0</v>
      </c>
      <c r="R2992" s="2" t="inlineStr"/>
    </row>
    <row r="2993" ht="15" customHeight="1">
      <c r="A2993" t="inlineStr">
        <is>
          <t>A 46515-2022</t>
        </is>
      </c>
      <c r="B2993" s="1" t="n">
        <v>44847</v>
      </c>
      <c r="C2993" s="1" t="n">
        <v>45190</v>
      </c>
      <c r="D2993" t="inlineStr">
        <is>
          <t>SKÅNE LÄN</t>
        </is>
      </c>
      <c r="E2993" t="inlineStr">
        <is>
          <t>KRISTIANSTAD</t>
        </is>
      </c>
      <c r="G2993" t="n">
        <v>4.6</v>
      </c>
      <c r="H2993" t="n">
        <v>0</v>
      </c>
      <c r="I2993" t="n">
        <v>0</v>
      </c>
      <c r="J2993" t="n">
        <v>0</v>
      </c>
      <c r="K2993" t="n">
        <v>0</v>
      </c>
      <c r="L2993" t="n">
        <v>0</v>
      </c>
      <c r="M2993" t="n">
        <v>0</v>
      </c>
      <c r="N2993" t="n">
        <v>0</v>
      </c>
      <c r="O2993" t="n">
        <v>0</v>
      </c>
      <c r="P2993" t="n">
        <v>0</v>
      </c>
      <c r="Q2993" t="n">
        <v>0</v>
      </c>
      <c r="R2993" s="2" t="inlineStr"/>
    </row>
    <row r="2994" ht="15" customHeight="1">
      <c r="A2994" t="inlineStr">
        <is>
          <t>A 46504-2022</t>
        </is>
      </c>
      <c r="B2994" s="1" t="n">
        <v>44847</v>
      </c>
      <c r="C2994" s="1" t="n">
        <v>45190</v>
      </c>
      <c r="D2994" t="inlineStr">
        <is>
          <t>SKÅNE LÄN</t>
        </is>
      </c>
      <c r="E2994" t="inlineStr">
        <is>
          <t>KRISTIANSTAD</t>
        </is>
      </c>
      <c r="G2994" t="n">
        <v>5.6</v>
      </c>
      <c r="H2994" t="n">
        <v>0</v>
      </c>
      <c r="I2994" t="n">
        <v>0</v>
      </c>
      <c r="J2994" t="n">
        <v>0</v>
      </c>
      <c r="K2994" t="n">
        <v>0</v>
      </c>
      <c r="L2994" t="n">
        <v>0</v>
      </c>
      <c r="M2994" t="n">
        <v>0</v>
      </c>
      <c r="N2994" t="n">
        <v>0</v>
      </c>
      <c r="O2994" t="n">
        <v>0</v>
      </c>
      <c r="P2994" t="n">
        <v>0</v>
      </c>
      <c r="Q2994" t="n">
        <v>0</v>
      </c>
      <c r="R2994" s="2" t="inlineStr"/>
    </row>
    <row r="2995" ht="15" customHeight="1">
      <c r="A2995" t="inlineStr">
        <is>
          <t>A 46457-2022</t>
        </is>
      </c>
      <c r="B2995" s="1" t="n">
        <v>44848</v>
      </c>
      <c r="C2995" s="1" t="n">
        <v>45190</v>
      </c>
      <c r="D2995" t="inlineStr">
        <is>
          <t>SKÅNE LÄN</t>
        </is>
      </c>
      <c r="E2995" t="inlineStr">
        <is>
          <t>OSBY</t>
        </is>
      </c>
      <c r="F2995" t="inlineStr">
        <is>
          <t>Sveaskog</t>
        </is>
      </c>
      <c r="G2995" t="n">
        <v>5.3</v>
      </c>
      <c r="H2995" t="n">
        <v>0</v>
      </c>
      <c r="I2995" t="n">
        <v>0</v>
      </c>
      <c r="J2995" t="n">
        <v>0</v>
      </c>
      <c r="K2995" t="n">
        <v>0</v>
      </c>
      <c r="L2995" t="n">
        <v>0</v>
      </c>
      <c r="M2995" t="n">
        <v>0</v>
      </c>
      <c r="N2995" t="n">
        <v>0</v>
      </c>
      <c r="O2995" t="n">
        <v>0</v>
      </c>
      <c r="P2995" t="n">
        <v>0</v>
      </c>
      <c r="Q2995" t="n">
        <v>0</v>
      </c>
      <c r="R2995" s="2" t="inlineStr"/>
    </row>
    <row r="2996" ht="15" customHeight="1">
      <c r="A2996" t="inlineStr">
        <is>
          <t>A 47136-2022</t>
        </is>
      </c>
      <c r="B2996" s="1" t="n">
        <v>44848</v>
      </c>
      <c r="C2996" s="1" t="n">
        <v>45190</v>
      </c>
      <c r="D2996" t="inlineStr">
        <is>
          <t>SKÅNE LÄN</t>
        </is>
      </c>
      <c r="E2996" t="inlineStr">
        <is>
          <t>HÖÖR</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47628-2022</t>
        </is>
      </c>
      <c r="B2997" s="1" t="n">
        <v>44852</v>
      </c>
      <c r="C2997" s="1" t="n">
        <v>45190</v>
      </c>
      <c r="D2997" t="inlineStr">
        <is>
          <t>SKÅNE LÄN</t>
        </is>
      </c>
      <c r="E2997" t="inlineStr">
        <is>
          <t>ÖSTRA GÖINGE</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47222-2022</t>
        </is>
      </c>
      <c r="B2998" s="1" t="n">
        <v>44852</v>
      </c>
      <c r="C2998" s="1" t="n">
        <v>45190</v>
      </c>
      <c r="D2998" t="inlineStr">
        <is>
          <t>SKÅNE LÄN</t>
        </is>
      </c>
      <c r="E2998" t="inlineStr">
        <is>
          <t>HÖÖR</t>
        </is>
      </c>
      <c r="G2998" t="n">
        <v>12.3</v>
      </c>
      <c r="H2998" t="n">
        <v>0</v>
      </c>
      <c r="I2998" t="n">
        <v>0</v>
      </c>
      <c r="J2998" t="n">
        <v>0</v>
      </c>
      <c r="K2998" t="n">
        <v>0</v>
      </c>
      <c r="L2998" t="n">
        <v>0</v>
      </c>
      <c r="M2998" t="n">
        <v>0</v>
      </c>
      <c r="N2998" t="n">
        <v>0</v>
      </c>
      <c r="O2998" t="n">
        <v>0</v>
      </c>
      <c r="P2998" t="n">
        <v>0</v>
      </c>
      <c r="Q2998" t="n">
        <v>0</v>
      </c>
      <c r="R2998" s="2" t="inlineStr"/>
    </row>
    <row r="2999" ht="15" customHeight="1">
      <c r="A2999" t="inlineStr">
        <is>
          <t>A 47405-2022</t>
        </is>
      </c>
      <c r="B2999" s="1" t="n">
        <v>44853</v>
      </c>
      <c r="C2999" s="1" t="n">
        <v>45190</v>
      </c>
      <c r="D2999" t="inlineStr">
        <is>
          <t>SKÅNE LÄN</t>
        </is>
      </c>
      <c r="E2999" t="inlineStr">
        <is>
          <t>ÖSTRA GÖINGE</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48217-2022</t>
        </is>
      </c>
      <c r="B3000" s="1" t="n">
        <v>44853</v>
      </c>
      <c r="C3000" s="1" t="n">
        <v>45190</v>
      </c>
      <c r="D3000" t="inlineStr">
        <is>
          <t>SKÅNE LÄN</t>
        </is>
      </c>
      <c r="E3000" t="inlineStr">
        <is>
          <t>KRISTIANSTAD</t>
        </is>
      </c>
      <c r="F3000" t="inlineStr">
        <is>
          <t>Kyrkan</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47890-2022</t>
        </is>
      </c>
      <c r="B3001" s="1" t="n">
        <v>44855</v>
      </c>
      <c r="C3001" s="1" t="n">
        <v>45190</v>
      </c>
      <c r="D3001" t="inlineStr">
        <is>
          <t>SKÅNE LÄN</t>
        </is>
      </c>
      <c r="E3001" t="inlineStr">
        <is>
          <t>ÖRKELLJUNGA</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48693-2022</t>
        </is>
      </c>
      <c r="B3002" s="1" t="n">
        <v>44855</v>
      </c>
      <c r="C3002" s="1" t="n">
        <v>45190</v>
      </c>
      <c r="D3002" t="inlineStr">
        <is>
          <t>SKÅNE LÄN</t>
        </is>
      </c>
      <c r="E3002" t="inlineStr">
        <is>
          <t>KRISTIANSTAD</t>
        </is>
      </c>
      <c r="G3002" t="n">
        <v>6.4</v>
      </c>
      <c r="H3002" t="n">
        <v>0</v>
      </c>
      <c r="I3002" t="n">
        <v>0</v>
      </c>
      <c r="J3002" t="n">
        <v>0</v>
      </c>
      <c r="K3002" t="n">
        <v>0</v>
      </c>
      <c r="L3002" t="n">
        <v>0</v>
      </c>
      <c r="M3002" t="n">
        <v>0</v>
      </c>
      <c r="N3002" t="n">
        <v>0</v>
      </c>
      <c r="O3002" t="n">
        <v>0</v>
      </c>
      <c r="P3002" t="n">
        <v>0</v>
      </c>
      <c r="Q3002" t="n">
        <v>0</v>
      </c>
      <c r="R3002" s="2" t="inlineStr"/>
    </row>
    <row r="3003" ht="15" customHeight="1">
      <c r="A3003" t="inlineStr">
        <is>
          <t>A 48397-2022</t>
        </is>
      </c>
      <c r="B3003" s="1" t="n">
        <v>44858</v>
      </c>
      <c r="C3003" s="1" t="n">
        <v>45190</v>
      </c>
      <c r="D3003" t="inlineStr">
        <is>
          <t>SKÅNE LÄN</t>
        </is>
      </c>
      <c r="E3003" t="inlineStr">
        <is>
          <t>HÖRBY</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48434-2022</t>
        </is>
      </c>
      <c r="B3004" s="1" t="n">
        <v>44858</v>
      </c>
      <c r="C3004" s="1" t="n">
        <v>45190</v>
      </c>
      <c r="D3004" t="inlineStr">
        <is>
          <t>SKÅNE LÄN</t>
        </is>
      </c>
      <c r="E3004" t="inlineStr">
        <is>
          <t>HÖRBY</t>
        </is>
      </c>
      <c r="F3004" t="inlineStr">
        <is>
          <t>Sveaskog</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48441-2022</t>
        </is>
      </c>
      <c r="B3005" s="1" t="n">
        <v>44858</v>
      </c>
      <c r="C3005" s="1" t="n">
        <v>45190</v>
      </c>
      <c r="D3005" t="inlineStr">
        <is>
          <t>SKÅNE LÄN</t>
        </is>
      </c>
      <c r="E3005" t="inlineStr">
        <is>
          <t>HÖRBY</t>
        </is>
      </c>
      <c r="F3005" t="inlineStr">
        <is>
          <t>Sveaskog</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48451-2022</t>
        </is>
      </c>
      <c r="B3006" s="1" t="n">
        <v>44858</v>
      </c>
      <c r="C3006" s="1" t="n">
        <v>45190</v>
      </c>
      <c r="D3006" t="inlineStr">
        <is>
          <t>SKÅNE LÄN</t>
        </is>
      </c>
      <c r="E3006" t="inlineStr">
        <is>
          <t>HÖRBY</t>
        </is>
      </c>
      <c r="F3006" t="inlineStr">
        <is>
          <t>Sveaskog</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49233-2022</t>
        </is>
      </c>
      <c r="B3007" s="1" t="n">
        <v>44858</v>
      </c>
      <c r="C3007" s="1" t="n">
        <v>45190</v>
      </c>
      <c r="D3007" t="inlineStr">
        <is>
          <t>SKÅNE LÄN</t>
        </is>
      </c>
      <c r="E3007" t="inlineStr">
        <is>
          <t>KRISTIANSTAD</t>
        </is>
      </c>
      <c r="G3007" t="n">
        <v>7.1</v>
      </c>
      <c r="H3007" t="n">
        <v>0</v>
      </c>
      <c r="I3007" t="n">
        <v>0</v>
      </c>
      <c r="J3007" t="n">
        <v>0</v>
      </c>
      <c r="K3007" t="n">
        <v>0</v>
      </c>
      <c r="L3007" t="n">
        <v>0</v>
      </c>
      <c r="M3007" t="n">
        <v>0</v>
      </c>
      <c r="N3007" t="n">
        <v>0</v>
      </c>
      <c r="O3007" t="n">
        <v>0</v>
      </c>
      <c r="P3007" t="n">
        <v>0</v>
      </c>
      <c r="Q3007" t="n">
        <v>0</v>
      </c>
      <c r="R3007" s="2" t="inlineStr"/>
    </row>
    <row r="3008" ht="15" customHeight="1">
      <c r="A3008" t="inlineStr">
        <is>
          <t>A 48427-2022</t>
        </is>
      </c>
      <c r="B3008" s="1" t="n">
        <v>44858</v>
      </c>
      <c r="C3008" s="1" t="n">
        <v>45190</v>
      </c>
      <c r="D3008" t="inlineStr">
        <is>
          <t>SKÅNE LÄN</t>
        </is>
      </c>
      <c r="E3008" t="inlineStr">
        <is>
          <t>HÖRBY</t>
        </is>
      </c>
      <c r="F3008" t="inlineStr">
        <is>
          <t>Sveaskog</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49239-2022</t>
        </is>
      </c>
      <c r="B3009" s="1" t="n">
        <v>44858</v>
      </c>
      <c r="C3009" s="1" t="n">
        <v>45190</v>
      </c>
      <c r="D3009" t="inlineStr">
        <is>
          <t>SKÅNE LÄN</t>
        </is>
      </c>
      <c r="E3009" t="inlineStr">
        <is>
          <t>KRISTIANSTAD</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48446-2022</t>
        </is>
      </c>
      <c r="B3010" s="1" t="n">
        <v>44858</v>
      </c>
      <c r="C3010" s="1" t="n">
        <v>45190</v>
      </c>
      <c r="D3010" t="inlineStr">
        <is>
          <t>SKÅNE LÄN</t>
        </is>
      </c>
      <c r="E3010" t="inlineStr">
        <is>
          <t>HÖRBY</t>
        </is>
      </c>
      <c r="F3010" t="inlineStr">
        <is>
          <t>Sveaskog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49250-2022</t>
        </is>
      </c>
      <c r="B3011" s="1" t="n">
        <v>44858</v>
      </c>
      <c r="C3011" s="1" t="n">
        <v>45190</v>
      </c>
      <c r="D3011" t="inlineStr">
        <is>
          <t>SKÅNE LÄN</t>
        </is>
      </c>
      <c r="E3011" t="inlineStr">
        <is>
          <t>HÄSSLEHOLM</t>
        </is>
      </c>
      <c r="F3011" t="inlineStr">
        <is>
          <t>Kyrkan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49827-2022</t>
        </is>
      </c>
      <c r="B3012" s="1" t="n">
        <v>44859</v>
      </c>
      <c r="C3012" s="1" t="n">
        <v>45190</v>
      </c>
      <c r="D3012" t="inlineStr">
        <is>
          <t>SKÅNE LÄN</t>
        </is>
      </c>
      <c r="E3012" t="inlineStr">
        <is>
          <t>HÄSSLEHOLM</t>
        </is>
      </c>
      <c r="G3012" t="n">
        <v>6.1</v>
      </c>
      <c r="H3012" t="n">
        <v>0</v>
      </c>
      <c r="I3012" t="n">
        <v>0</v>
      </c>
      <c r="J3012" t="n">
        <v>0</v>
      </c>
      <c r="K3012" t="n">
        <v>0</v>
      </c>
      <c r="L3012" t="n">
        <v>0</v>
      </c>
      <c r="M3012" t="n">
        <v>0</v>
      </c>
      <c r="N3012" t="n">
        <v>0</v>
      </c>
      <c r="O3012" t="n">
        <v>0</v>
      </c>
      <c r="P3012" t="n">
        <v>0</v>
      </c>
      <c r="Q3012" t="n">
        <v>0</v>
      </c>
      <c r="R3012" s="2" t="inlineStr"/>
    </row>
    <row r="3013" ht="15" customHeight="1">
      <c r="A3013" t="inlineStr">
        <is>
          <t>A 48747-2022</t>
        </is>
      </c>
      <c r="B3013" s="1" t="n">
        <v>44859</v>
      </c>
      <c r="C3013" s="1" t="n">
        <v>45190</v>
      </c>
      <c r="D3013" t="inlineStr">
        <is>
          <t>SKÅNE LÄN</t>
        </is>
      </c>
      <c r="E3013" t="inlineStr">
        <is>
          <t>HÄSSLEHOLM</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48952-2022</t>
        </is>
      </c>
      <c r="B3014" s="1" t="n">
        <v>44859</v>
      </c>
      <c r="C3014" s="1" t="n">
        <v>45190</v>
      </c>
      <c r="D3014" t="inlineStr">
        <is>
          <t>SKÅNE LÄN</t>
        </is>
      </c>
      <c r="E3014" t="inlineStr">
        <is>
          <t>ÖSTRA GÖINGE</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49071-2022</t>
        </is>
      </c>
      <c r="B3015" s="1" t="n">
        <v>44860</v>
      </c>
      <c r="C3015" s="1" t="n">
        <v>45190</v>
      </c>
      <c r="D3015" t="inlineStr">
        <is>
          <t>SKÅNE LÄN</t>
        </is>
      </c>
      <c r="E3015" t="inlineStr">
        <is>
          <t>HÖRBY</t>
        </is>
      </c>
      <c r="G3015" t="n">
        <v>5</v>
      </c>
      <c r="H3015" t="n">
        <v>0</v>
      </c>
      <c r="I3015" t="n">
        <v>0</v>
      </c>
      <c r="J3015" t="n">
        <v>0</v>
      </c>
      <c r="K3015" t="n">
        <v>0</v>
      </c>
      <c r="L3015" t="n">
        <v>0</v>
      </c>
      <c r="M3015" t="n">
        <v>0</v>
      </c>
      <c r="N3015" t="n">
        <v>0</v>
      </c>
      <c r="O3015" t="n">
        <v>0</v>
      </c>
      <c r="P3015" t="n">
        <v>0</v>
      </c>
      <c r="Q3015" t="n">
        <v>0</v>
      </c>
      <c r="R3015" s="2" t="inlineStr"/>
    </row>
    <row r="3016" ht="15" customHeight="1">
      <c r="A3016" t="inlineStr">
        <is>
          <t>A 49167-2022</t>
        </is>
      </c>
      <c r="B3016" s="1" t="n">
        <v>44860</v>
      </c>
      <c r="C3016" s="1" t="n">
        <v>45190</v>
      </c>
      <c r="D3016" t="inlineStr">
        <is>
          <t>SKÅNE LÄN</t>
        </is>
      </c>
      <c r="E3016" t="inlineStr">
        <is>
          <t>HÄSSLEHOLM</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50196-2022</t>
        </is>
      </c>
      <c r="B3017" s="1" t="n">
        <v>44860</v>
      </c>
      <c r="C3017" s="1" t="n">
        <v>45190</v>
      </c>
      <c r="D3017" t="inlineStr">
        <is>
          <t>SKÅNE LÄN</t>
        </is>
      </c>
      <c r="E3017" t="inlineStr">
        <is>
          <t>HÖÖR</t>
        </is>
      </c>
      <c r="G3017" t="n">
        <v>2.8</v>
      </c>
      <c r="H3017" t="n">
        <v>0</v>
      </c>
      <c r="I3017" t="n">
        <v>0</v>
      </c>
      <c r="J3017" t="n">
        <v>0</v>
      </c>
      <c r="K3017" t="n">
        <v>0</v>
      </c>
      <c r="L3017" t="n">
        <v>0</v>
      </c>
      <c r="M3017" t="n">
        <v>0</v>
      </c>
      <c r="N3017" t="n">
        <v>0</v>
      </c>
      <c r="O3017" t="n">
        <v>0</v>
      </c>
      <c r="P3017" t="n">
        <v>0</v>
      </c>
      <c r="Q3017" t="n">
        <v>0</v>
      </c>
      <c r="R3017" s="2" t="inlineStr"/>
    </row>
    <row r="3018" ht="15" customHeight="1">
      <c r="A3018" t="inlineStr">
        <is>
          <t>A 49831-2022</t>
        </is>
      </c>
      <c r="B3018" s="1" t="n">
        <v>44862</v>
      </c>
      <c r="C3018" s="1" t="n">
        <v>45190</v>
      </c>
      <c r="D3018" t="inlineStr">
        <is>
          <t>SKÅNE LÄN</t>
        </is>
      </c>
      <c r="E3018" t="inlineStr">
        <is>
          <t>BROMÖLLA</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49885-2022</t>
        </is>
      </c>
      <c r="B3019" s="1" t="n">
        <v>44864</v>
      </c>
      <c r="C3019" s="1" t="n">
        <v>45190</v>
      </c>
      <c r="D3019" t="inlineStr">
        <is>
          <t>SKÅNE LÄN</t>
        </is>
      </c>
      <c r="E3019" t="inlineStr">
        <is>
          <t>ÄNGELHOLM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50964-2022</t>
        </is>
      </c>
      <c r="B3020" s="1" t="n">
        <v>44867</v>
      </c>
      <c r="C3020" s="1" t="n">
        <v>45190</v>
      </c>
      <c r="D3020" t="inlineStr">
        <is>
          <t>SKÅNE LÄN</t>
        </is>
      </c>
      <c r="E3020" t="inlineStr">
        <is>
          <t>HÖRBY</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51207-2022</t>
        </is>
      </c>
      <c r="B3021" s="1" t="n">
        <v>44868</v>
      </c>
      <c r="C3021" s="1" t="n">
        <v>45190</v>
      </c>
      <c r="D3021" t="inlineStr">
        <is>
          <t>SKÅNE LÄN</t>
        </is>
      </c>
      <c r="E3021" t="inlineStr">
        <is>
          <t>PERSTORP</t>
        </is>
      </c>
      <c r="G3021" t="n">
        <v>3.3</v>
      </c>
      <c r="H3021" t="n">
        <v>0</v>
      </c>
      <c r="I3021" t="n">
        <v>0</v>
      </c>
      <c r="J3021" t="n">
        <v>0</v>
      </c>
      <c r="K3021" t="n">
        <v>0</v>
      </c>
      <c r="L3021" t="n">
        <v>0</v>
      </c>
      <c r="M3021" t="n">
        <v>0</v>
      </c>
      <c r="N3021" t="n">
        <v>0</v>
      </c>
      <c r="O3021" t="n">
        <v>0</v>
      </c>
      <c r="P3021" t="n">
        <v>0</v>
      </c>
      <c r="Q3021" t="n">
        <v>0</v>
      </c>
      <c r="R3021" s="2" t="inlineStr"/>
    </row>
    <row r="3022" ht="15" customHeight="1">
      <c r="A3022" t="inlineStr">
        <is>
          <t>A 51912-2022</t>
        </is>
      </c>
      <c r="B3022" s="1" t="n">
        <v>44868</v>
      </c>
      <c r="C3022" s="1" t="n">
        <v>45190</v>
      </c>
      <c r="D3022" t="inlineStr">
        <is>
          <t>SKÅNE LÄN</t>
        </is>
      </c>
      <c r="E3022" t="inlineStr">
        <is>
          <t>KLIPPAN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51228-2022</t>
        </is>
      </c>
      <c r="B3023" s="1" t="n">
        <v>44868</v>
      </c>
      <c r="C3023" s="1" t="n">
        <v>45190</v>
      </c>
      <c r="D3023" t="inlineStr">
        <is>
          <t>SKÅNE LÄN</t>
        </is>
      </c>
      <c r="E3023" t="inlineStr">
        <is>
          <t>ÄNGELHOLM</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51508-2022</t>
        </is>
      </c>
      <c r="B3024" s="1" t="n">
        <v>44869</v>
      </c>
      <c r="C3024" s="1" t="n">
        <v>45190</v>
      </c>
      <c r="D3024" t="inlineStr">
        <is>
          <t>SKÅNE LÄN</t>
        </is>
      </c>
      <c r="E3024" t="inlineStr">
        <is>
          <t>OSBY</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51826-2022</t>
        </is>
      </c>
      <c r="B3025" s="1" t="n">
        <v>44872</v>
      </c>
      <c r="C3025" s="1" t="n">
        <v>45190</v>
      </c>
      <c r="D3025" t="inlineStr">
        <is>
          <t>SKÅNE LÄN</t>
        </is>
      </c>
      <c r="E3025" t="inlineStr">
        <is>
          <t>HÖRBY</t>
        </is>
      </c>
      <c r="F3025" t="inlineStr">
        <is>
          <t>Sveaskog</t>
        </is>
      </c>
      <c r="G3025" t="n">
        <v>14.3</v>
      </c>
      <c r="H3025" t="n">
        <v>0</v>
      </c>
      <c r="I3025" t="n">
        <v>0</v>
      </c>
      <c r="J3025" t="n">
        <v>0</v>
      </c>
      <c r="K3025" t="n">
        <v>0</v>
      </c>
      <c r="L3025" t="n">
        <v>0</v>
      </c>
      <c r="M3025" t="n">
        <v>0</v>
      </c>
      <c r="N3025" t="n">
        <v>0</v>
      </c>
      <c r="O3025" t="n">
        <v>0</v>
      </c>
      <c r="P3025" t="n">
        <v>0</v>
      </c>
      <c r="Q3025" t="n">
        <v>0</v>
      </c>
      <c r="R3025" s="2" t="inlineStr"/>
    </row>
    <row r="3026" ht="15" customHeight="1">
      <c r="A3026" t="inlineStr">
        <is>
          <t>A 51839-2022</t>
        </is>
      </c>
      <c r="B3026" s="1" t="n">
        <v>44872</v>
      </c>
      <c r="C3026" s="1" t="n">
        <v>45190</v>
      </c>
      <c r="D3026" t="inlineStr">
        <is>
          <t>SKÅNE LÄN</t>
        </is>
      </c>
      <c r="E3026" t="inlineStr">
        <is>
          <t>HÖRBY</t>
        </is>
      </c>
      <c r="F3026" t="inlineStr">
        <is>
          <t>Sveaskog</t>
        </is>
      </c>
      <c r="G3026" t="n">
        <v>5.2</v>
      </c>
      <c r="H3026" t="n">
        <v>0</v>
      </c>
      <c r="I3026" t="n">
        <v>0</v>
      </c>
      <c r="J3026" t="n">
        <v>0</v>
      </c>
      <c r="K3026" t="n">
        <v>0</v>
      </c>
      <c r="L3026" t="n">
        <v>0</v>
      </c>
      <c r="M3026" t="n">
        <v>0</v>
      </c>
      <c r="N3026" t="n">
        <v>0</v>
      </c>
      <c r="O3026" t="n">
        <v>0</v>
      </c>
      <c r="P3026" t="n">
        <v>0</v>
      </c>
      <c r="Q3026" t="n">
        <v>0</v>
      </c>
      <c r="R3026" s="2" t="inlineStr"/>
    </row>
    <row r="3027" ht="15" customHeight="1">
      <c r="A3027" t="inlineStr">
        <is>
          <t>A 52857-2022</t>
        </is>
      </c>
      <c r="B3027" s="1" t="n">
        <v>44872</v>
      </c>
      <c r="C3027" s="1" t="n">
        <v>45190</v>
      </c>
      <c r="D3027" t="inlineStr">
        <is>
          <t>SKÅNE LÄN</t>
        </is>
      </c>
      <c r="E3027" t="inlineStr">
        <is>
          <t>OSBY</t>
        </is>
      </c>
      <c r="F3027" t="inlineStr">
        <is>
          <t>Sveaskog</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52912-2022</t>
        </is>
      </c>
      <c r="B3028" s="1" t="n">
        <v>44872</v>
      </c>
      <c r="C3028" s="1" t="n">
        <v>45190</v>
      </c>
      <c r="D3028" t="inlineStr">
        <is>
          <t>SKÅNE LÄN</t>
        </is>
      </c>
      <c r="E3028" t="inlineStr">
        <is>
          <t>HÄSSLEHOLM</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51833-2022</t>
        </is>
      </c>
      <c r="B3029" s="1" t="n">
        <v>44872</v>
      </c>
      <c r="C3029" s="1" t="n">
        <v>45190</v>
      </c>
      <c r="D3029" t="inlineStr">
        <is>
          <t>SKÅNE LÄN</t>
        </is>
      </c>
      <c r="E3029" t="inlineStr">
        <is>
          <t>KRISTIANSTAD</t>
        </is>
      </c>
      <c r="F3029" t="inlineStr">
        <is>
          <t>Sveaskog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53067-2022</t>
        </is>
      </c>
      <c r="B3030" s="1" t="n">
        <v>44873</v>
      </c>
      <c r="C3030" s="1" t="n">
        <v>45190</v>
      </c>
      <c r="D3030" t="inlineStr">
        <is>
          <t>SKÅNE LÄN</t>
        </is>
      </c>
      <c r="E3030" t="inlineStr">
        <is>
          <t>HÄSSLEHOLM</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53077-2022</t>
        </is>
      </c>
      <c r="B3031" s="1" t="n">
        <v>44873</v>
      </c>
      <c r="C3031" s="1" t="n">
        <v>45190</v>
      </c>
      <c r="D3031" t="inlineStr">
        <is>
          <t>SKÅNE LÄN</t>
        </is>
      </c>
      <c r="E3031" t="inlineStr">
        <is>
          <t>HÄSSLEHOLM</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53085-2022</t>
        </is>
      </c>
      <c r="B3032" s="1" t="n">
        <v>44873</v>
      </c>
      <c r="C3032" s="1" t="n">
        <v>45190</v>
      </c>
      <c r="D3032" t="inlineStr">
        <is>
          <t>SKÅNE LÄN</t>
        </is>
      </c>
      <c r="E3032" t="inlineStr">
        <is>
          <t>HÄSSLEHOLM</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53455-2022</t>
        </is>
      </c>
      <c r="B3033" s="1" t="n">
        <v>44874</v>
      </c>
      <c r="C3033" s="1" t="n">
        <v>45190</v>
      </c>
      <c r="D3033" t="inlineStr">
        <is>
          <t>SKÅNE LÄN</t>
        </is>
      </c>
      <c r="E3033" t="inlineStr">
        <is>
          <t>HÖÖR</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53586-2022</t>
        </is>
      </c>
      <c r="B3034" s="1" t="n">
        <v>44875</v>
      </c>
      <c r="C3034" s="1" t="n">
        <v>45190</v>
      </c>
      <c r="D3034" t="inlineStr">
        <is>
          <t>SKÅNE LÄN</t>
        </is>
      </c>
      <c r="E3034" t="inlineStr">
        <is>
          <t>PERSTORP</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52968-2022</t>
        </is>
      </c>
      <c r="B3035" s="1" t="n">
        <v>44875</v>
      </c>
      <c r="C3035" s="1" t="n">
        <v>45190</v>
      </c>
      <c r="D3035" t="inlineStr">
        <is>
          <t>SKÅNE LÄN</t>
        </is>
      </c>
      <c r="E3035" t="inlineStr">
        <is>
          <t>HÄSSLEHOLM</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53582-2022</t>
        </is>
      </c>
      <c r="B3036" s="1" t="n">
        <v>44875</v>
      </c>
      <c r="C3036" s="1" t="n">
        <v>45190</v>
      </c>
      <c r="D3036" t="inlineStr">
        <is>
          <t>SKÅNE LÄN</t>
        </is>
      </c>
      <c r="E3036" t="inlineStr">
        <is>
          <t>KLIPPAN</t>
        </is>
      </c>
      <c r="F3036" t="inlineStr">
        <is>
          <t>Övriga Aktiebolag</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53590-2022</t>
        </is>
      </c>
      <c r="B3037" s="1" t="n">
        <v>44875</v>
      </c>
      <c r="C3037" s="1" t="n">
        <v>45190</v>
      </c>
      <c r="D3037" t="inlineStr">
        <is>
          <t>SKÅNE LÄN</t>
        </is>
      </c>
      <c r="E3037" t="inlineStr">
        <is>
          <t>HÄSSLEHOLM</t>
        </is>
      </c>
      <c r="F3037" t="inlineStr">
        <is>
          <t>Övriga Aktiebolag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53576-2022</t>
        </is>
      </c>
      <c r="B3038" s="1" t="n">
        <v>44875</v>
      </c>
      <c r="C3038" s="1" t="n">
        <v>45190</v>
      </c>
      <c r="D3038" t="inlineStr">
        <is>
          <t>SKÅNE LÄN</t>
        </is>
      </c>
      <c r="E3038" t="inlineStr">
        <is>
          <t>HÄSSLEHOLM</t>
        </is>
      </c>
      <c r="F3038" t="inlineStr">
        <is>
          <t>Övriga Aktiebolag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53593-2022</t>
        </is>
      </c>
      <c r="B3039" s="1" t="n">
        <v>44875</v>
      </c>
      <c r="C3039" s="1" t="n">
        <v>45190</v>
      </c>
      <c r="D3039" t="inlineStr">
        <is>
          <t>SKÅNE LÄN</t>
        </is>
      </c>
      <c r="E3039" t="inlineStr">
        <is>
          <t>HÄSSLEHOLM</t>
        </is>
      </c>
      <c r="F3039" t="inlineStr">
        <is>
          <t>Övriga Aktiebolag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53977-2022</t>
        </is>
      </c>
      <c r="B3040" s="1" t="n">
        <v>44876</v>
      </c>
      <c r="C3040" s="1" t="n">
        <v>45190</v>
      </c>
      <c r="D3040" t="inlineStr">
        <is>
          <t>SKÅNE LÄN</t>
        </is>
      </c>
      <c r="E3040" t="inlineStr">
        <is>
          <t>TOMELILLA</t>
        </is>
      </c>
      <c r="G3040" t="n">
        <v>2.4</v>
      </c>
      <c r="H3040" t="n">
        <v>0</v>
      </c>
      <c r="I3040" t="n">
        <v>0</v>
      </c>
      <c r="J3040" t="n">
        <v>0</v>
      </c>
      <c r="K3040" t="n">
        <v>0</v>
      </c>
      <c r="L3040" t="n">
        <v>0</v>
      </c>
      <c r="M3040" t="n">
        <v>0</v>
      </c>
      <c r="N3040" t="n">
        <v>0</v>
      </c>
      <c r="O3040" t="n">
        <v>0</v>
      </c>
      <c r="P3040" t="n">
        <v>0</v>
      </c>
      <c r="Q3040" t="n">
        <v>0</v>
      </c>
      <c r="R3040" s="2" t="inlineStr"/>
    </row>
    <row r="3041" ht="15" customHeight="1">
      <c r="A3041" t="inlineStr">
        <is>
          <t>A 53978-2022</t>
        </is>
      </c>
      <c r="B3041" s="1" t="n">
        <v>44876</v>
      </c>
      <c r="C3041" s="1" t="n">
        <v>45190</v>
      </c>
      <c r="D3041" t="inlineStr">
        <is>
          <t>SKÅNE LÄN</t>
        </is>
      </c>
      <c r="E3041" t="inlineStr">
        <is>
          <t>SIMRISHAMN</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53982-2022</t>
        </is>
      </c>
      <c r="B3042" s="1" t="n">
        <v>44876</v>
      </c>
      <c r="C3042" s="1" t="n">
        <v>45190</v>
      </c>
      <c r="D3042" t="inlineStr">
        <is>
          <t>SKÅNE LÄN</t>
        </is>
      </c>
      <c r="E3042" t="inlineStr">
        <is>
          <t>KRISTIANSTAD</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53302-2022</t>
        </is>
      </c>
      <c r="B3043" s="1" t="n">
        <v>44877</v>
      </c>
      <c r="C3043" s="1" t="n">
        <v>45190</v>
      </c>
      <c r="D3043" t="inlineStr">
        <is>
          <t>SKÅNE LÄN</t>
        </is>
      </c>
      <c r="E3043" t="inlineStr">
        <is>
          <t>HÄSSLEHOLM</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54106-2022</t>
        </is>
      </c>
      <c r="B3044" s="1" t="n">
        <v>44879</v>
      </c>
      <c r="C3044" s="1" t="n">
        <v>45190</v>
      </c>
      <c r="D3044" t="inlineStr">
        <is>
          <t>SKÅNE LÄN</t>
        </is>
      </c>
      <c r="E3044" t="inlineStr">
        <is>
          <t>HÄSSLEHOLM</t>
        </is>
      </c>
      <c r="F3044" t="inlineStr">
        <is>
          <t>Övriga Aktiebolag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53460-2022</t>
        </is>
      </c>
      <c r="B3045" s="1" t="n">
        <v>44879</v>
      </c>
      <c r="C3045" s="1" t="n">
        <v>45190</v>
      </c>
      <c r="D3045" t="inlineStr">
        <is>
          <t>SKÅNE LÄN</t>
        </is>
      </c>
      <c r="E3045" t="inlineStr">
        <is>
          <t>HÖÖR</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54095-2022</t>
        </is>
      </c>
      <c r="B3046" s="1" t="n">
        <v>44879</v>
      </c>
      <c r="C3046" s="1" t="n">
        <v>45190</v>
      </c>
      <c r="D3046" t="inlineStr">
        <is>
          <t>SKÅNE LÄN</t>
        </is>
      </c>
      <c r="E3046" t="inlineStr">
        <is>
          <t>PERSTORP</t>
        </is>
      </c>
      <c r="F3046" t="inlineStr">
        <is>
          <t>Övriga Aktiebolag</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53464-2022</t>
        </is>
      </c>
      <c r="B3047" s="1" t="n">
        <v>44879</v>
      </c>
      <c r="C3047" s="1" t="n">
        <v>45190</v>
      </c>
      <c r="D3047" t="inlineStr">
        <is>
          <t>SKÅNE LÄN</t>
        </is>
      </c>
      <c r="E3047" t="inlineStr">
        <is>
          <t>HÖRBY</t>
        </is>
      </c>
      <c r="F3047" t="inlineStr">
        <is>
          <t>Sveaskog</t>
        </is>
      </c>
      <c r="G3047" t="n">
        <v>2.1</v>
      </c>
      <c r="H3047" t="n">
        <v>0</v>
      </c>
      <c r="I3047" t="n">
        <v>0</v>
      </c>
      <c r="J3047" t="n">
        <v>0</v>
      </c>
      <c r="K3047" t="n">
        <v>0</v>
      </c>
      <c r="L3047" t="n">
        <v>0</v>
      </c>
      <c r="M3047" t="n">
        <v>0</v>
      </c>
      <c r="N3047" t="n">
        <v>0</v>
      </c>
      <c r="O3047" t="n">
        <v>0</v>
      </c>
      <c r="P3047" t="n">
        <v>0</v>
      </c>
      <c r="Q3047" t="n">
        <v>0</v>
      </c>
      <c r="R3047" s="2" t="inlineStr"/>
    </row>
    <row r="3048" ht="15" customHeight="1">
      <c r="A3048" t="inlineStr">
        <is>
          <t>A 54110-2022</t>
        </is>
      </c>
      <c r="B3048" s="1" t="n">
        <v>44879</v>
      </c>
      <c r="C3048" s="1" t="n">
        <v>45190</v>
      </c>
      <c r="D3048" t="inlineStr">
        <is>
          <t>SKÅNE LÄN</t>
        </is>
      </c>
      <c r="E3048" t="inlineStr">
        <is>
          <t>KLIPPAN</t>
        </is>
      </c>
      <c r="F3048" t="inlineStr">
        <is>
          <t>Övriga Aktiebolag</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53466-2022</t>
        </is>
      </c>
      <c r="B3049" s="1" t="n">
        <v>44879</v>
      </c>
      <c r="C3049" s="1" t="n">
        <v>45190</v>
      </c>
      <c r="D3049" t="inlineStr">
        <is>
          <t>SKÅNE LÄN</t>
        </is>
      </c>
      <c r="E3049" t="inlineStr">
        <is>
          <t>KRISTIANSTAD</t>
        </is>
      </c>
      <c r="F3049" t="inlineStr">
        <is>
          <t>Sveaskog</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53501-2022</t>
        </is>
      </c>
      <c r="B3050" s="1" t="n">
        <v>44879</v>
      </c>
      <c r="C3050" s="1" t="n">
        <v>45190</v>
      </c>
      <c r="D3050" t="inlineStr">
        <is>
          <t>SKÅNE LÄN</t>
        </is>
      </c>
      <c r="E3050" t="inlineStr">
        <is>
          <t>ÄNGELHOLM</t>
        </is>
      </c>
      <c r="G3050" t="n">
        <v>7.2</v>
      </c>
      <c r="H3050" t="n">
        <v>0</v>
      </c>
      <c r="I3050" t="n">
        <v>0</v>
      </c>
      <c r="J3050" t="n">
        <v>0</v>
      </c>
      <c r="K3050" t="n">
        <v>0</v>
      </c>
      <c r="L3050" t="n">
        <v>0</v>
      </c>
      <c r="M3050" t="n">
        <v>0</v>
      </c>
      <c r="N3050" t="n">
        <v>0</v>
      </c>
      <c r="O3050" t="n">
        <v>0</v>
      </c>
      <c r="P3050" t="n">
        <v>0</v>
      </c>
      <c r="Q3050" t="n">
        <v>0</v>
      </c>
      <c r="R3050" s="2" t="inlineStr"/>
    </row>
    <row r="3051" ht="15" customHeight="1">
      <c r="A3051" t="inlineStr">
        <is>
          <t>A 54100-2022</t>
        </is>
      </c>
      <c r="B3051" s="1" t="n">
        <v>44879</v>
      </c>
      <c r="C3051" s="1" t="n">
        <v>45190</v>
      </c>
      <c r="D3051" t="inlineStr">
        <is>
          <t>SKÅNE LÄN</t>
        </is>
      </c>
      <c r="E3051" t="inlineStr">
        <is>
          <t>PERSTORP</t>
        </is>
      </c>
      <c r="F3051" t="inlineStr">
        <is>
          <t>Övriga Aktiebolag</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54495-2022</t>
        </is>
      </c>
      <c r="B3052" s="1" t="n">
        <v>44880</v>
      </c>
      <c r="C3052" s="1" t="n">
        <v>45190</v>
      </c>
      <c r="D3052" t="inlineStr">
        <is>
          <t>SKÅNE LÄN</t>
        </is>
      </c>
      <c r="E3052" t="inlineStr">
        <is>
          <t>ÖSTRA GÖINGE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54517-2022</t>
        </is>
      </c>
      <c r="B3053" s="1" t="n">
        <v>44880</v>
      </c>
      <c r="C3053" s="1" t="n">
        <v>45190</v>
      </c>
      <c r="D3053" t="inlineStr">
        <is>
          <t>SKÅNE LÄN</t>
        </is>
      </c>
      <c r="E3053" t="inlineStr">
        <is>
          <t>KLIPPAN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54431-2022</t>
        </is>
      </c>
      <c r="B3054" s="1" t="n">
        <v>44880</v>
      </c>
      <c r="C3054" s="1" t="n">
        <v>45190</v>
      </c>
      <c r="D3054" t="inlineStr">
        <is>
          <t>SKÅNE LÄN</t>
        </is>
      </c>
      <c r="E3054" t="inlineStr">
        <is>
          <t>HELSINGBORG</t>
        </is>
      </c>
      <c r="F3054" t="inlineStr">
        <is>
          <t>Kommuner</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54516-2022</t>
        </is>
      </c>
      <c r="B3055" s="1" t="n">
        <v>44880</v>
      </c>
      <c r="C3055" s="1" t="n">
        <v>45190</v>
      </c>
      <c r="D3055" t="inlineStr">
        <is>
          <t>SKÅNE LÄN</t>
        </is>
      </c>
      <c r="E3055" t="inlineStr">
        <is>
          <t>KLIPPAN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54174-2022</t>
        </is>
      </c>
      <c r="B3056" s="1" t="n">
        <v>44881</v>
      </c>
      <c r="C3056" s="1" t="n">
        <v>45190</v>
      </c>
      <c r="D3056" t="inlineStr">
        <is>
          <t>SKÅNE LÄN</t>
        </is>
      </c>
      <c r="E3056" t="inlineStr">
        <is>
          <t>HÄSSLEHOLM</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54874-2022</t>
        </is>
      </c>
      <c r="B3057" s="1" t="n">
        <v>44881</v>
      </c>
      <c r="C3057" s="1" t="n">
        <v>45190</v>
      </c>
      <c r="D3057" t="inlineStr">
        <is>
          <t>SKÅNE LÄN</t>
        </is>
      </c>
      <c r="E3057" t="inlineStr">
        <is>
          <t>HÄSSLEHOLM</t>
        </is>
      </c>
      <c r="G3057" t="n">
        <v>8.1</v>
      </c>
      <c r="H3057" t="n">
        <v>0</v>
      </c>
      <c r="I3057" t="n">
        <v>0</v>
      </c>
      <c r="J3057" t="n">
        <v>0</v>
      </c>
      <c r="K3057" t="n">
        <v>0</v>
      </c>
      <c r="L3057" t="n">
        <v>0</v>
      </c>
      <c r="M3057" t="n">
        <v>0</v>
      </c>
      <c r="N3057" t="n">
        <v>0</v>
      </c>
      <c r="O3057" t="n">
        <v>0</v>
      </c>
      <c r="P3057" t="n">
        <v>0</v>
      </c>
      <c r="Q3057" t="n">
        <v>0</v>
      </c>
      <c r="R3057" s="2" t="inlineStr"/>
    </row>
    <row r="3058" ht="15" customHeight="1">
      <c r="A3058" t="inlineStr">
        <is>
          <t>A 54176-2022</t>
        </is>
      </c>
      <c r="B3058" s="1" t="n">
        <v>44881</v>
      </c>
      <c r="C3058" s="1" t="n">
        <v>45190</v>
      </c>
      <c r="D3058" t="inlineStr">
        <is>
          <t>SKÅNE LÄN</t>
        </is>
      </c>
      <c r="E3058" t="inlineStr">
        <is>
          <t>HÄSSLEHOLM</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54171-2022</t>
        </is>
      </c>
      <c r="B3059" s="1" t="n">
        <v>44881</v>
      </c>
      <c r="C3059" s="1" t="n">
        <v>45190</v>
      </c>
      <c r="D3059" t="inlineStr">
        <is>
          <t>SKÅNE LÄN</t>
        </is>
      </c>
      <c r="E3059" t="inlineStr">
        <is>
          <t>HÄSSLEHOLM</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55415-2022</t>
        </is>
      </c>
      <c r="B3060" s="1" t="n">
        <v>44882</v>
      </c>
      <c r="C3060" s="1" t="n">
        <v>45190</v>
      </c>
      <c r="D3060" t="inlineStr">
        <is>
          <t>SKÅNE LÄN</t>
        </is>
      </c>
      <c r="E3060" t="inlineStr">
        <is>
          <t>KLIPPAN</t>
        </is>
      </c>
      <c r="F3060" t="inlineStr">
        <is>
          <t>Övriga Aktiebolag</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55424-2022</t>
        </is>
      </c>
      <c r="B3061" s="1" t="n">
        <v>44882</v>
      </c>
      <c r="C3061" s="1" t="n">
        <v>45190</v>
      </c>
      <c r="D3061" t="inlineStr">
        <is>
          <t>SKÅNE LÄN</t>
        </is>
      </c>
      <c r="E3061" t="inlineStr">
        <is>
          <t>HÄSSLEHOLM</t>
        </is>
      </c>
      <c r="F3061" t="inlineStr">
        <is>
          <t>Övriga Aktiebolag</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54348-2022</t>
        </is>
      </c>
      <c r="B3062" s="1" t="n">
        <v>44882</v>
      </c>
      <c r="C3062" s="1" t="n">
        <v>45190</v>
      </c>
      <c r="D3062" t="inlineStr">
        <is>
          <t>SKÅNE LÄN</t>
        </is>
      </c>
      <c r="E3062" t="inlineStr">
        <is>
          <t>KLIPPAN</t>
        </is>
      </c>
      <c r="G3062" t="n">
        <v>7.8</v>
      </c>
      <c r="H3062" t="n">
        <v>0</v>
      </c>
      <c r="I3062" t="n">
        <v>0</v>
      </c>
      <c r="J3062" t="n">
        <v>0</v>
      </c>
      <c r="K3062" t="n">
        <v>0</v>
      </c>
      <c r="L3062" t="n">
        <v>0</v>
      </c>
      <c r="M3062" t="n">
        <v>0</v>
      </c>
      <c r="N3062" t="n">
        <v>0</v>
      </c>
      <c r="O3062" t="n">
        <v>0</v>
      </c>
      <c r="P3062" t="n">
        <v>0</v>
      </c>
      <c r="Q3062" t="n">
        <v>0</v>
      </c>
      <c r="R3062" s="2" t="inlineStr"/>
    </row>
    <row r="3063" ht="15" customHeight="1">
      <c r="A3063" t="inlineStr">
        <is>
          <t>A 54462-2022</t>
        </is>
      </c>
      <c r="B3063" s="1" t="n">
        <v>44882</v>
      </c>
      <c r="C3063" s="1" t="n">
        <v>45190</v>
      </c>
      <c r="D3063" t="inlineStr">
        <is>
          <t>SKÅNE LÄN</t>
        </is>
      </c>
      <c r="E3063" t="inlineStr">
        <is>
          <t>HÄSSLEHOLM</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55410-2022</t>
        </is>
      </c>
      <c r="B3064" s="1" t="n">
        <v>44882</v>
      </c>
      <c r="C3064" s="1" t="n">
        <v>45190</v>
      </c>
      <c r="D3064" t="inlineStr">
        <is>
          <t>SKÅNE LÄN</t>
        </is>
      </c>
      <c r="E3064" t="inlineStr">
        <is>
          <t>PERSTORP</t>
        </is>
      </c>
      <c r="F3064" t="inlineStr">
        <is>
          <t>Övriga Aktiebolag</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55412-2022</t>
        </is>
      </c>
      <c r="B3065" s="1" t="n">
        <v>44882</v>
      </c>
      <c r="C3065" s="1" t="n">
        <v>45190</v>
      </c>
      <c r="D3065" t="inlineStr">
        <is>
          <t>SKÅNE LÄN</t>
        </is>
      </c>
      <c r="E3065" t="inlineStr">
        <is>
          <t>HÄSSLEHOLM</t>
        </is>
      </c>
      <c r="F3065" t="inlineStr">
        <is>
          <t>Övriga Aktiebolag</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55419-2022</t>
        </is>
      </c>
      <c r="B3066" s="1" t="n">
        <v>44882</v>
      </c>
      <c r="C3066" s="1" t="n">
        <v>45190</v>
      </c>
      <c r="D3066" t="inlineStr">
        <is>
          <t>SKÅNE LÄN</t>
        </is>
      </c>
      <c r="E3066" t="inlineStr">
        <is>
          <t>HÄSSLEHOLM</t>
        </is>
      </c>
      <c r="F3066" t="inlineStr">
        <is>
          <t>Övriga Aktiebolag</t>
        </is>
      </c>
      <c r="G3066" t="n">
        <v>5.8</v>
      </c>
      <c r="H3066" t="n">
        <v>0</v>
      </c>
      <c r="I3066" t="n">
        <v>0</v>
      </c>
      <c r="J3066" t="n">
        <v>0</v>
      </c>
      <c r="K3066" t="n">
        <v>0</v>
      </c>
      <c r="L3066" t="n">
        <v>0</v>
      </c>
      <c r="M3066" t="n">
        <v>0</v>
      </c>
      <c r="N3066" t="n">
        <v>0</v>
      </c>
      <c r="O3066" t="n">
        <v>0</v>
      </c>
      <c r="P3066" t="n">
        <v>0</v>
      </c>
      <c r="Q3066" t="n">
        <v>0</v>
      </c>
      <c r="R3066" s="2" t="inlineStr"/>
    </row>
    <row r="3067" ht="15" customHeight="1">
      <c r="A3067" t="inlineStr">
        <is>
          <t>A 54518-2022</t>
        </is>
      </c>
      <c r="B3067" s="1" t="n">
        <v>44882</v>
      </c>
      <c r="C3067" s="1" t="n">
        <v>45190</v>
      </c>
      <c r="D3067" t="inlineStr">
        <is>
          <t>SKÅNE LÄN</t>
        </is>
      </c>
      <c r="E3067" t="inlineStr">
        <is>
          <t>HÄSSLEHOLM</t>
        </is>
      </c>
      <c r="F3067" t="inlineStr">
        <is>
          <t>Övriga Aktiebolag</t>
        </is>
      </c>
      <c r="G3067" t="n">
        <v>6.8</v>
      </c>
      <c r="H3067" t="n">
        <v>0</v>
      </c>
      <c r="I3067" t="n">
        <v>0</v>
      </c>
      <c r="J3067" t="n">
        <v>0</v>
      </c>
      <c r="K3067" t="n">
        <v>0</v>
      </c>
      <c r="L3067" t="n">
        <v>0</v>
      </c>
      <c r="M3067" t="n">
        <v>0</v>
      </c>
      <c r="N3067" t="n">
        <v>0</v>
      </c>
      <c r="O3067" t="n">
        <v>0</v>
      </c>
      <c r="P3067" t="n">
        <v>0</v>
      </c>
      <c r="Q3067" t="n">
        <v>0</v>
      </c>
      <c r="R3067" s="2" t="inlineStr"/>
    </row>
    <row r="3068" ht="15" customHeight="1">
      <c r="A3068" t="inlineStr">
        <is>
          <t>A 55416-2022</t>
        </is>
      </c>
      <c r="B3068" s="1" t="n">
        <v>44882</v>
      </c>
      <c r="C3068" s="1" t="n">
        <v>45190</v>
      </c>
      <c r="D3068" t="inlineStr">
        <is>
          <t>SKÅNE LÄN</t>
        </is>
      </c>
      <c r="E3068" t="inlineStr">
        <is>
          <t>PERSTORP</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55429-2022</t>
        </is>
      </c>
      <c r="B3069" s="1" t="n">
        <v>44882</v>
      </c>
      <c r="C3069" s="1" t="n">
        <v>45190</v>
      </c>
      <c r="D3069" t="inlineStr">
        <is>
          <t>SKÅNE LÄN</t>
        </is>
      </c>
      <c r="E3069" t="inlineStr">
        <is>
          <t>HÄSSLEHOLM</t>
        </is>
      </c>
      <c r="F3069" t="inlineStr">
        <is>
          <t>Övriga Aktiebolag</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54662-2022</t>
        </is>
      </c>
      <c r="B3070" s="1" t="n">
        <v>44883</v>
      </c>
      <c r="C3070" s="1" t="n">
        <v>45190</v>
      </c>
      <c r="D3070" t="inlineStr">
        <is>
          <t>SKÅNE LÄN</t>
        </is>
      </c>
      <c r="E3070" t="inlineStr">
        <is>
          <t>HÄSSLEHOLM</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54671-2022</t>
        </is>
      </c>
      <c r="B3071" s="1" t="n">
        <v>44883</v>
      </c>
      <c r="C3071" s="1" t="n">
        <v>45190</v>
      </c>
      <c r="D3071" t="inlineStr">
        <is>
          <t>SKÅNE LÄN</t>
        </is>
      </c>
      <c r="E3071" t="inlineStr">
        <is>
          <t>HÄSSLEHOLM</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54753-2022</t>
        </is>
      </c>
      <c r="B3072" s="1" t="n">
        <v>44883</v>
      </c>
      <c r="C3072" s="1" t="n">
        <v>45190</v>
      </c>
      <c r="D3072" t="inlineStr">
        <is>
          <t>SKÅNE LÄN</t>
        </is>
      </c>
      <c r="E3072" t="inlineStr">
        <is>
          <t>HÖÖR</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54807-2022</t>
        </is>
      </c>
      <c r="B3073" s="1" t="n">
        <v>44883</v>
      </c>
      <c r="C3073" s="1" t="n">
        <v>45190</v>
      </c>
      <c r="D3073" t="inlineStr">
        <is>
          <t>SKÅNE LÄN</t>
        </is>
      </c>
      <c r="E3073" t="inlineStr">
        <is>
          <t>HÄSSLEHOLM</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55613-2022</t>
        </is>
      </c>
      <c r="B3074" s="1" t="n">
        <v>44883</v>
      </c>
      <c r="C3074" s="1" t="n">
        <v>45190</v>
      </c>
      <c r="D3074" t="inlineStr">
        <is>
          <t>SKÅNE LÄN</t>
        </is>
      </c>
      <c r="E3074" t="inlineStr">
        <is>
          <t>KLIPPAN</t>
        </is>
      </c>
      <c r="F3074" t="inlineStr">
        <is>
          <t>Övriga Aktiebolag</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55637-2022</t>
        </is>
      </c>
      <c r="B3075" s="1" t="n">
        <v>44883</v>
      </c>
      <c r="C3075" s="1" t="n">
        <v>45190</v>
      </c>
      <c r="D3075" t="inlineStr">
        <is>
          <t>SKÅNE LÄN</t>
        </is>
      </c>
      <c r="E3075" t="inlineStr">
        <is>
          <t>KLIPPAN</t>
        </is>
      </c>
      <c r="F3075" t="inlineStr">
        <is>
          <t>Övriga Aktiebolag</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54782-2022</t>
        </is>
      </c>
      <c r="B3076" s="1" t="n">
        <v>44883</v>
      </c>
      <c r="C3076" s="1" t="n">
        <v>45190</v>
      </c>
      <c r="D3076" t="inlineStr">
        <is>
          <t>SKÅNE LÄN</t>
        </is>
      </c>
      <c r="E3076" t="inlineStr">
        <is>
          <t>SKURUP</t>
        </is>
      </c>
      <c r="G3076" t="n">
        <v>10.6</v>
      </c>
      <c r="H3076" t="n">
        <v>0</v>
      </c>
      <c r="I3076" t="n">
        <v>0</v>
      </c>
      <c r="J3076" t="n">
        <v>0</v>
      </c>
      <c r="K3076" t="n">
        <v>0</v>
      </c>
      <c r="L3076" t="n">
        <v>0</v>
      </c>
      <c r="M3076" t="n">
        <v>0</v>
      </c>
      <c r="N3076" t="n">
        <v>0</v>
      </c>
      <c r="O3076" t="n">
        <v>0</v>
      </c>
      <c r="P3076" t="n">
        <v>0</v>
      </c>
      <c r="Q3076" t="n">
        <v>0</v>
      </c>
      <c r="R3076" s="2" t="inlineStr"/>
    </row>
    <row r="3077" ht="15" customHeight="1">
      <c r="A3077" t="inlineStr">
        <is>
          <t>A 55618-2022</t>
        </is>
      </c>
      <c r="B3077" s="1" t="n">
        <v>44883</v>
      </c>
      <c r="C3077" s="1" t="n">
        <v>45190</v>
      </c>
      <c r="D3077" t="inlineStr">
        <is>
          <t>SKÅNE LÄN</t>
        </is>
      </c>
      <c r="E3077" t="inlineStr">
        <is>
          <t>HÄSSLEHOLM</t>
        </is>
      </c>
      <c r="F3077" t="inlineStr">
        <is>
          <t>Övriga Aktiebolag</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55649-2022</t>
        </is>
      </c>
      <c r="B3078" s="1" t="n">
        <v>44883</v>
      </c>
      <c r="C3078" s="1" t="n">
        <v>45190</v>
      </c>
      <c r="D3078" t="inlineStr">
        <is>
          <t>SKÅNE LÄN</t>
        </is>
      </c>
      <c r="E3078" t="inlineStr">
        <is>
          <t>HÄSSLEHOLM</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55662-2022</t>
        </is>
      </c>
      <c r="B3079" s="1" t="n">
        <v>44883</v>
      </c>
      <c r="C3079" s="1" t="n">
        <v>45190</v>
      </c>
      <c r="D3079" t="inlineStr">
        <is>
          <t>SKÅNE LÄN</t>
        </is>
      </c>
      <c r="E3079" t="inlineStr">
        <is>
          <t>HÄSSLEHOLM</t>
        </is>
      </c>
      <c r="F3079" t="inlineStr">
        <is>
          <t>Övriga Aktiebolag</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54777-2022</t>
        </is>
      </c>
      <c r="B3080" s="1" t="n">
        <v>44883</v>
      </c>
      <c r="C3080" s="1" t="n">
        <v>45190</v>
      </c>
      <c r="D3080" t="inlineStr">
        <is>
          <t>SKÅNE LÄN</t>
        </is>
      </c>
      <c r="E3080" t="inlineStr">
        <is>
          <t>HÄSSLEHOLM</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55629-2022</t>
        </is>
      </c>
      <c r="B3081" s="1" t="n">
        <v>44883</v>
      </c>
      <c r="C3081" s="1" t="n">
        <v>45190</v>
      </c>
      <c r="D3081" t="inlineStr">
        <is>
          <t>SKÅNE LÄN</t>
        </is>
      </c>
      <c r="E3081" t="inlineStr">
        <is>
          <t>KLIPPAN</t>
        </is>
      </c>
      <c r="F3081" t="inlineStr">
        <is>
          <t>Övriga Aktiebolag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55663-2022</t>
        </is>
      </c>
      <c r="B3082" s="1" t="n">
        <v>44883</v>
      </c>
      <c r="C3082" s="1" t="n">
        <v>45190</v>
      </c>
      <c r="D3082" t="inlineStr">
        <is>
          <t>SKÅNE LÄN</t>
        </is>
      </c>
      <c r="E3082" t="inlineStr">
        <is>
          <t>SVEDALA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55690-2022</t>
        </is>
      </c>
      <c r="B3083" s="1" t="n">
        <v>44883</v>
      </c>
      <c r="C3083" s="1" t="n">
        <v>45190</v>
      </c>
      <c r="D3083" t="inlineStr">
        <is>
          <t>SKÅNE LÄN</t>
        </is>
      </c>
      <c r="E3083" t="inlineStr">
        <is>
          <t>HÄSSLEHOLM</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55140-2022</t>
        </is>
      </c>
      <c r="B3084" s="1" t="n">
        <v>44886</v>
      </c>
      <c r="C3084" s="1" t="n">
        <v>45190</v>
      </c>
      <c r="D3084" t="inlineStr">
        <is>
          <t>SKÅNE LÄN</t>
        </is>
      </c>
      <c r="E3084" t="inlineStr">
        <is>
          <t>ÖSTRA GÖINGE</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54959-2022</t>
        </is>
      </c>
      <c r="B3085" s="1" t="n">
        <v>44886</v>
      </c>
      <c r="C3085" s="1" t="n">
        <v>45190</v>
      </c>
      <c r="D3085" t="inlineStr">
        <is>
          <t>SKÅNE LÄN</t>
        </is>
      </c>
      <c r="E3085" t="inlineStr">
        <is>
          <t>SJÖBO</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55545-2022</t>
        </is>
      </c>
      <c r="B3086" s="1" t="n">
        <v>44887</v>
      </c>
      <c r="C3086" s="1" t="n">
        <v>45190</v>
      </c>
      <c r="D3086" t="inlineStr">
        <is>
          <t>SKÅNE LÄN</t>
        </is>
      </c>
      <c r="E3086" t="inlineStr">
        <is>
          <t>ÄNGELHOLM</t>
        </is>
      </c>
      <c r="G3086" t="n">
        <v>4.4</v>
      </c>
      <c r="H3086" t="n">
        <v>0</v>
      </c>
      <c r="I3086" t="n">
        <v>0</v>
      </c>
      <c r="J3086" t="n">
        <v>0</v>
      </c>
      <c r="K3086" t="n">
        <v>0</v>
      </c>
      <c r="L3086" t="n">
        <v>0</v>
      </c>
      <c r="M3086" t="n">
        <v>0</v>
      </c>
      <c r="N3086" t="n">
        <v>0</v>
      </c>
      <c r="O3086" t="n">
        <v>0</v>
      </c>
      <c r="P3086" t="n">
        <v>0</v>
      </c>
      <c r="Q3086" t="n">
        <v>0</v>
      </c>
      <c r="R3086" s="2" t="inlineStr"/>
    </row>
    <row r="3087" ht="15" customHeight="1">
      <c r="A3087" t="inlineStr">
        <is>
          <t>A 56303-2022</t>
        </is>
      </c>
      <c r="B3087" s="1" t="n">
        <v>44887</v>
      </c>
      <c r="C3087" s="1" t="n">
        <v>45190</v>
      </c>
      <c r="D3087" t="inlineStr">
        <is>
          <t>SKÅNE LÄN</t>
        </is>
      </c>
      <c r="E3087" t="inlineStr">
        <is>
          <t>SJÖBO</t>
        </is>
      </c>
      <c r="G3087" t="n">
        <v>11.1</v>
      </c>
      <c r="H3087" t="n">
        <v>0</v>
      </c>
      <c r="I3087" t="n">
        <v>0</v>
      </c>
      <c r="J3087" t="n">
        <v>0</v>
      </c>
      <c r="K3087" t="n">
        <v>0</v>
      </c>
      <c r="L3087" t="n">
        <v>0</v>
      </c>
      <c r="M3087" t="n">
        <v>0</v>
      </c>
      <c r="N3087" t="n">
        <v>0</v>
      </c>
      <c r="O3087" t="n">
        <v>0</v>
      </c>
      <c r="P3087" t="n">
        <v>0</v>
      </c>
      <c r="Q3087" t="n">
        <v>0</v>
      </c>
      <c r="R3087" s="2" t="inlineStr"/>
    </row>
    <row r="3088" ht="15" customHeight="1">
      <c r="A3088" t="inlineStr">
        <is>
          <t>A 56332-2022</t>
        </is>
      </c>
      <c r="B3088" s="1" t="n">
        <v>44887</v>
      </c>
      <c r="C3088" s="1" t="n">
        <v>45190</v>
      </c>
      <c r="D3088" t="inlineStr">
        <is>
          <t>SKÅNE LÄN</t>
        </is>
      </c>
      <c r="E3088" t="inlineStr">
        <is>
          <t>HÖÖR</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56342-2022</t>
        </is>
      </c>
      <c r="B3089" s="1" t="n">
        <v>44887</v>
      </c>
      <c r="C3089" s="1" t="n">
        <v>45190</v>
      </c>
      <c r="D3089" t="inlineStr">
        <is>
          <t>SKÅNE LÄN</t>
        </is>
      </c>
      <c r="E3089" t="inlineStr">
        <is>
          <t>HÖÖR</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55544-2022</t>
        </is>
      </c>
      <c r="B3090" s="1" t="n">
        <v>44887</v>
      </c>
      <c r="C3090" s="1" t="n">
        <v>45190</v>
      </c>
      <c r="D3090" t="inlineStr">
        <is>
          <t>SKÅNE LÄN</t>
        </is>
      </c>
      <c r="E3090" t="inlineStr">
        <is>
          <t>ÄNGELHOLM</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55676-2022</t>
        </is>
      </c>
      <c r="B3091" s="1" t="n">
        <v>44888</v>
      </c>
      <c r="C3091" s="1" t="n">
        <v>45190</v>
      </c>
      <c r="D3091" t="inlineStr">
        <is>
          <t>SKÅNE LÄN</t>
        </is>
      </c>
      <c r="E3091" t="inlineStr">
        <is>
          <t>TOMELILLA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55587-2022</t>
        </is>
      </c>
      <c r="B3092" s="1" t="n">
        <v>44888</v>
      </c>
      <c r="C3092" s="1" t="n">
        <v>45190</v>
      </c>
      <c r="D3092" t="inlineStr">
        <is>
          <t>SKÅNE LÄN</t>
        </is>
      </c>
      <c r="E3092" t="inlineStr">
        <is>
          <t>KRISTIANSTAD</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55750-2022</t>
        </is>
      </c>
      <c r="B3093" s="1" t="n">
        <v>44888</v>
      </c>
      <c r="C3093" s="1" t="n">
        <v>45190</v>
      </c>
      <c r="D3093" t="inlineStr">
        <is>
          <t>SKÅNE LÄN</t>
        </is>
      </c>
      <c r="E3093" t="inlineStr">
        <is>
          <t>ÄNGELHOLM</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56596-2022</t>
        </is>
      </c>
      <c r="B3094" s="1" t="n">
        <v>44888</v>
      </c>
      <c r="C3094" s="1" t="n">
        <v>45190</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56102-2022</t>
        </is>
      </c>
      <c r="B3095" s="1" t="n">
        <v>44889</v>
      </c>
      <c r="C3095" s="1" t="n">
        <v>45190</v>
      </c>
      <c r="D3095" t="inlineStr">
        <is>
          <t>SKÅNE LÄN</t>
        </is>
      </c>
      <c r="E3095" t="inlineStr">
        <is>
          <t>ÖSTRA GÖINGE</t>
        </is>
      </c>
      <c r="G3095" t="n">
        <v>2.5</v>
      </c>
      <c r="H3095" t="n">
        <v>0</v>
      </c>
      <c r="I3095" t="n">
        <v>0</v>
      </c>
      <c r="J3095" t="n">
        <v>0</v>
      </c>
      <c r="K3095" t="n">
        <v>0</v>
      </c>
      <c r="L3095" t="n">
        <v>0</v>
      </c>
      <c r="M3095" t="n">
        <v>0</v>
      </c>
      <c r="N3095" t="n">
        <v>0</v>
      </c>
      <c r="O3095" t="n">
        <v>0</v>
      </c>
      <c r="P3095" t="n">
        <v>0</v>
      </c>
      <c r="Q3095" t="n">
        <v>0</v>
      </c>
      <c r="R3095" s="2" t="inlineStr"/>
    </row>
    <row r="3096" ht="15" customHeight="1">
      <c r="A3096" t="inlineStr">
        <is>
          <t>A 57429-2022</t>
        </is>
      </c>
      <c r="B3096" s="1" t="n">
        <v>44889</v>
      </c>
      <c r="C3096" s="1" t="n">
        <v>45190</v>
      </c>
      <c r="D3096" t="inlineStr">
        <is>
          <t>SKÅNE LÄN</t>
        </is>
      </c>
      <c r="E3096" t="inlineStr">
        <is>
          <t>KRISTIANSTAD</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56231-2022</t>
        </is>
      </c>
      <c r="B3097" s="1" t="n">
        <v>44890</v>
      </c>
      <c r="C3097" s="1" t="n">
        <v>45190</v>
      </c>
      <c r="D3097" t="inlineStr">
        <is>
          <t>SKÅNE LÄN</t>
        </is>
      </c>
      <c r="E3097" t="inlineStr">
        <is>
          <t>HÖÖR</t>
        </is>
      </c>
      <c r="G3097" t="n">
        <v>7.7</v>
      </c>
      <c r="H3097" t="n">
        <v>0</v>
      </c>
      <c r="I3097" t="n">
        <v>0</v>
      </c>
      <c r="J3097" t="n">
        <v>0</v>
      </c>
      <c r="K3097" t="n">
        <v>0</v>
      </c>
      <c r="L3097" t="n">
        <v>0</v>
      </c>
      <c r="M3097" t="n">
        <v>0</v>
      </c>
      <c r="N3097" t="n">
        <v>0</v>
      </c>
      <c r="O3097" t="n">
        <v>0</v>
      </c>
      <c r="P3097" t="n">
        <v>0</v>
      </c>
      <c r="Q3097" t="n">
        <v>0</v>
      </c>
      <c r="R3097" s="2" t="inlineStr"/>
    </row>
    <row r="3098" ht="15" customHeight="1">
      <c r="A3098" t="inlineStr">
        <is>
          <t>A 58230-2022</t>
        </is>
      </c>
      <c r="B3098" s="1" t="n">
        <v>44893</v>
      </c>
      <c r="C3098" s="1" t="n">
        <v>45190</v>
      </c>
      <c r="D3098" t="inlineStr">
        <is>
          <t>SKÅNE LÄN</t>
        </is>
      </c>
      <c r="E3098" t="inlineStr">
        <is>
          <t>OSBY</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56486-2022</t>
        </is>
      </c>
      <c r="B3099" s="1" t="n">
        <v>44893</v>
      </c>
      <c r="C3099" s="1" t="n">
        <v>45190</v>
      </c>
      <c r="D3099" t="inlineStr">
        <is>
          <t>SKÅNE LÄN</t>
        </is>
      </c>
      <c r="E3099" t="inlineStr">
        <is>
          <t>HÖRBY</t>
        </is>
      </c>
      <c r="F3099" t="inlineStr">
        <is>
          <t>Sveaskog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58288-2022</t>
        </is>
      </c>
      <c r="B3100" s="1" t="n">
        <v>44894</v>
      </c>
      <c r="C3100" s="1" t="n">
        <v>45190</v>
      </c>
      <c r="D3100" t="inlineStr">
        <is>
          <t>SKÅNE LÄN</t>
        </is>
      </c>
      <c r="E3100" t="inlineStr">
        <is>
          <t>KRISTIANSTAD</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56818-2022</t>
        </is>
      </c>
      <c r="B3101" s="1" t="n">
        <v>44894</v>
      </c>
      <c r="C3101" s="1" t="n">
        <v>45190</v>
      </c>
      <c r="D3101" t="inlineStr">
        <is>
          <t>SKÅNE LÄN</t>
        </is>
      </c>
      <c r="E3101" t="inlineStr">
        <is>
          <t>HÖRBY</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56930-2022</t>
        </is>
      </c>
      <c r="B3102" s="1" t="n">
        <v>44894</v>
      </c>
      <c r="C3102" s="1" t="n">
        <v>45190</v>
      </c>
      <c r="D3102" t="inlineStr">
        <is>
          <t>SKÅNE LÄN</t>
        </is>
      </c>
      <c r="E3102" t="inlineStr">
        <is>
          <t>KRISTIANSTAD</t>
        </is>
      </c>
      <c r="F3102" t="inlineStr">
        <is>
          <t>Kyrkan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58269-2022</t>
        </is>
      </c>
      <c r="B3103" s="1" t="n">
        <v>44894</v>
      </c>
      <c r="C3103" s="1" t="n">
        <v>45190</v>
      </c>
      <c r="D3103" t="inlineStr">
        <is>
          <t>SKÅNE LÄN</t>
        </is>
      </c>
      <c r="E3103" t="inlineStr">
        <is>
          <t>KRISTIANSTAD</t>
        </is>
      </c>
      <c r="G3103" t="n">
        <v>14.9</v>
      </c>
      <c r="H3103" t="n">
        <v>0</v>
      </c>
      <c r="I3103" t="n">
        <v>0</v>
      </c>
      <c r="J3103" t="n">
        <v>0</v>
      </c>
      <c r="K3103" t="n">
        <v>0</v>
      </c>
      <c r="L3103" t="n">
        <v>0</v>
      </c>
      <c r="M3103" t="n">
        <v>0</v>
      </c>
      <c r="N3103" t="n">
        <v>0</v>
      </c>
      <c r="O3103" t="n">
        <v>0</v>
      </c>
      <c r="P3103" t="n">
        <v>0</v>
      </c>
      <c r="Q3103" t="n">
        <v>0</v>
      </c>
      <c r="R3103" s="2" t="inlineStr"/>
    </row>
    <row r="3104" ht="15" customHeight="1">
      <c r="A3104" t="inlineStr">
        <is>
          <t>A 57036-2022</t>
        </is>
      </c>
      <c r="B3104" s="1" t="n">
        <v>44895</v>
      </c>
      <c r="C3104" s="1" t="n">
        <v>45190</v>
      </c>
      <c r="D3104" t="inlineStr">
        <is>
          <t>SKÅNE LÄN</t>
        </is>
      </c>
      <c r="E3104" t="inlineStr">
        <is>
          <t>HÖRBY</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57079-2022</t>
        </is>
      </c>
      <c r="B3105" s="1" t="n">
        <v>44895</v>
      </c>
      <c r="C3105" s="1" t="n">
        <v>45190</v>
      </c>
      <c r="D3105" t="inlineStr">
        <is>
          <t>SKÅNE LÄN</t>
        </is>
      </c>
      <c r="E3105" t="inlineStr">
        <is>
          <t>HÄSSLEHOLM</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57208-2022</t>
        </is>
      </c>
      <c r="B3106" s="1" t="n">
        <v>44895</v>
      </c>
      <c r="C3106" s="1" t="n">
        <v>45190</v>
      </c>
      <c r="D3106" t="inlineStr">
        <is>
          <t>SKÅNE LÄN</t>
        </is>
      </c>
      <c r="E3106" t="inlineStr">
        <is>
          <t>ÖRKELLJUNGA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57034-2022</t>
        </is>
      </c>
      <c r="B3107" s="1" t="n">
        <v>44895</v>
      </c>
      <c r="C3107" s="1" t="n">
        <v>45190</v>
      </c>
      <c r="D3107" t="inlineStr">
        <is>
          <t>SKÅNE LÄN</t>
        </is>
      </c>
      <c r="E3107" t="inlineStr">
        <is>
          <t>KRISTIANSTAD</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57565-2022</t>
        </is>
      </c>
      <c r="B3108" s="1" t="n">
        <v>44896</v>
      </c>
      <c r="C3108" s="1" t="n">
        <v>45190</v>
      </c>
      <c r="D3108" t="inlineStr">
        <is>
          <t>SKÅNE LÄN</t>
        </is>
      </c>
      <c r="E3108" t="inlineStr">
        <is>
          <t>ÖSTRA GÖINGE</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58891-2022</t>
        </is>
      </c>
      <c r="B3109" s="1" t="n">
        <v>44896</v>
      </c>
      <c r="C3109" s="1" t="n">
        <v>45190</v>
      </c>
      <c r="D3109" t="inlineStr">
        <is>
          <t>SKÅNE LÄN</t>
        </is>
      </c>
      <c r="E3109" t="inlineStr">
        <is>
          <t>HÄSSLEHOLM</t>
        </is>
      </c>
      <c r="F3109" t="inlineStr">
        <is>
          <t>Kyrkan</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57537-2022</t>
        </is>
      </c>
      <c r="B3110" s="1" t="n">
        <v>44896</v>
      </c>
      <c r="C3110" s="1" t="n">
        <v>45190</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57521-2022</t>
        </is>
      </c>
      <c r="B3111" s="1" t="n">
        <v>44896</v>
      </c>
      <c r="C3111" s="1" t="n">
        <v>45190</v>
      </c>
      <c r="D3111" t="inlineStr">
        <is>
          <t>SKÅNE LÄN</t>
        </is>
      </c>
      <c r="E3111" t="inlineStr">
        <is>
          <t>ÖSTRA GÖINGE</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57461-2022</t>
        </is>
      </c>
      <c r="B3112" s="1" t="n">
        <v>44896</v>
      </c>
      <c r="C3112" s="1" t="n">
        <v>45190</v>
      </c>
      <c r="D3112" t="inlineStr">
        <is>
          <t>SKÅNE LÄN</t>
        </is>
      </c>
      <c r="E3112" t="inlineStr">
        <is>
          <t>HÖÖR</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57810-2022</t>
        </is>
      </c>
      <c r="B3113" s="1" t="n">
        <v>44897</v>
      </c>
      <c r="C3113" s="1" t="n">
        <v>45190</v>
      </c>
      <c r="D3113" t="inlineStr">
        <is>
          <t>SKÅNE LÄN</t>
        </is>
      </c>
      <c r="E3113" t="inlineStr">
        <is>
          <t>TRELLEBORG</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59201-2022</t>
        </is>
      </c>
      <c r="B3114" s="1" t="n">
        <v>44897</v>
      </c>
      <c r="C3114" s="1" t="n">
        <v>45190</v>
      </c>
      <c r="D3114" t="inlineStr">
        <is>
          <t>SKÅNE LÄN</t>
        </is>
      </c>
      <c r="E3114" t="inlineStr">
        <is>
          <t>ÖSTRA GÖINGE</t>
        </is>
      </c>
      <c r="G3114" t="n">
        <v>0.3</v>
      </c>
      <c r="H3114" t="n">
        <v>0</v>
      </c>
      <c r="I3114" t="n">
        <v>0</v>
      </c>
      <c r="J3114" t="n">
        <v>0</v>
      </c>
      <c r="K3114" t="n">
        <v>0</v>
      </c>
      <c r="L3114" t="n">
        <v>0</v>
      </c>
      <c r="M3114" t="n">
        <v>0</v>
      </c>
      <c r="N3114" t="n">
        <v>0</v>
      </c>
      <c r="O3114" t="n">
        <v>0</v>
      </c>
      <c r="P3114" t="n">
        <v>0</v>
      </c>
      <c r="Q3114" t="n">
        <v>0</v>
      </c>
      <c r="R3114" s="2" t="inlineStr"/>
    </row>
    <row r="3115" ht="15" customHeight="1">
      <c r="A3115" t="inlineStr">
        <is>
          <t>A 57664-2022</t>
        </is>
      </c>
      <c r="B3115" s="1" t="n">
        <v>44897</v>
      </c>
      <c r="C3115" s="1" t="n">
        <v>45190</v>
      </c>
      <c r="D3115" t="inlineStr">
        <is>
          <t>SKÅNE LÄN</t>
        </is>
      </c>
      <c r="E3115" t="inlineStr">
        <is>
          <t>ÖSTRA GÖINGE</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57676-2022</t>
        </is>
      </c>
      <c r="B3116" s="1" t="n">
        <v>44897</v>
      </c>
      <c r="C3116" s="1" t="n">
        <v>45190</v>
      </c>
      <c r="D3116" t="inlineStr">
        <is>
          <t>SKÅNE LÄN</t>
        </is>
      </c>
      <c r="E3116" t="inlineStr">
        <is>
          <t>HÄSSLEHOLM</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57709-2022</t>
        </is>
      </c>
      <c r="B3117" s="1" t="n">
        <v>44897</v>
      </c>
      <c r="C3117" s="1" t="n">
        <v>45190</v>
      </c>
      <c r="D3117" t="inlineStr">
        <is>
          <t>SKÅNE LÄN</t>
        </is>
      </c>
      <c r="E3117" t="inlineStr">
        <is>
          <t>ÖRKELLJUNGA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59188-2022</t>
        </is>
      </c>
      <c r="B3118" s="1" t="n">
        <v>44897</v>
      </c>
      <c r="C3118" s="1" t="n">
        <v>45190</v>
      </c>
      <c r="D3118" t="inlineStr">
        <is>
          <t>SKÅNE LÄN</t>
        </is>
      </c>
      <c r="E3118" t="inlineStr">
        <is>
          <t>ÖSTRA GÖINGE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57703-2022</t>
        </is>
      </c>
      <c r="B3119" s="1" t="n">
        <v>44897</v>
      </c>
      <c r="C3119" s="1" t="n">
        <v>45190</v>
      </c>
      <c r="D3119" t="inlineStr">
        <is>
          <t>SKÅNE LÄN</t>
        </is>
      </c>
      <c r="E3119" t="inlineStr">
        <is>
          <t>ÖRKELLJUNGA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57798-2022</t>
        </is>
      </c>
      <c r="B3120" s="1" t="n">
        <v>44897</v>
      </c>
      <c r="C3120" s="1" t="n">
        <v>45190</v>
      </c>
      <c r="D3120" t="inlineStr">
        <is>
          <t>SKÅNE LÄN</t>
        </is>
      </c>
      <c r="E3120" t="inlineStr">
        <is>
          <t>SVEDALA</t>
        </is>
      </c>
      <c r="G3120" t="n">
        <v>8.9</v>
      </c>
      <c r="H3120" t="n">
        <v>0</v>
      </c>
      <c r="I3120" t="n">
        <v>0</v>
      </c>
      <c r="J3120" t="n">
        <v>0</v>
      </c>
      <c r="K3120" t="n">
        <v>0</v>
      </c>
      <c r="L3120" t="n">
        <v>0</v>
      </c>
      <c r="M3120" t="n">
        <v>0</v>
      </c>
      <c r="N3120" t="n">
        <v>0</v>
      </c>
      <c r="O3120" t="n">
        <v>0</v>
      </c>
      <c r="P3120" t="n">
        <v>0</v>
      </c>
      <c r="Q3120" t="n">
        <v>0</v>
      </c>
      <c r="R3120" s="2" t="inlineStr"/>
    </row>
    <row r="3121" ht="15" customHeight="1">
      <c r="A3121" t="inlineStr">
        <is>
          <t>A 57803-2022</t>
        </is>
      </c>
      <c r="B3121" s="1" t="n">
        <v>44897</v>
      </c>
      <c r="C3121" s="1" t="n">
        <v>45190</v>
      </c>
      <c r="D3121" t="inlineStr">
        <is>
          <t>SKÅNE LÄN</t>
        </is>
      </c>
      <c r="E3121" t="inlineStr">
        <is>
          <t>SVEDALA</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57801-2022</t>
        </is>
      </c>
      <c r="B3122" s="1" t="n">
        <v>44897</v>
      </c>
      <c r="C3122" s="1" t="n">
        <v>45190</v>
      </c>
      <c r="D3122" t="inlineStr">
        <is>
          <t>SKÅNE LÄN</t>
        </is>
      </c>
      <c r="E3122" t="inlineStr">
        <is>
          <t>SVEDALA</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58130-2022</t>
        </is>
      </c>
      <c r="B3123" s="1" t="n">
        <v>44900</v>
      </c>
      <c r="C3123" s="1" t="n">
        <v>45190</v>
      </c>
      <c r="D3123" t="inlineStr">
        <is>
          <t>SKÅNE LÄN</t>
        </is>
      </c>
      <c r="E3123" t="inlineStr">
        <is>
          <t>ÖRKELLJUNGA</t>
        </is>
      </c>
      <c r="G3123" t="n">
        <v>23.2</v>
      </c>
      <c r="H3123" t="n">
        <v>0</v>
      </c>
      <c r="I3123" t="n">
        <v>0</v>
      </c>
      <c r="J3123" t="n">
        <v>0</v>
      </c>
      <c r="K3123" t="n">
        <v>0</v>
      </c>
      <c r="L3123" t="n">
        <v>0</v>
      </c>
      <c r="M3123" t="n">
        <v>0</v>
      </c>
      <c r="N3123" t="n">
        <v>0</v>
      </c>
      <c r="O3123" t="n">
        <v>0</v>
      </c>
      <c r="P3123" t="n">
        <v>0</v>
      </c>
      <c r="Q3123" t="n">
        <v>0</v>
      </c>
      <c r="R3123" s="2" t="inlineStr"/>
    </row>
    <row r="3124" ht="15" customHeight="1">
      <c r="A3124" t="inlineStr">
        <is>
          <t>A 57978-2022</t>
        </is>
      </c>
      <c r="B3124" s="1" t="n">
        <v>44900</v>
      </c>
      <c r="C3124" s="1" t="n">
        <v>45190</v>
      </c>
      <c r="D3124" t="inlineStr">
        <is>
          <t>SKÅNE LÄN</t>
        </is>
      </c>
      <c r="E3124" t="inlineStr">
        <is>
          <t>HÄSSLEHOLM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59760-2022</t>
        </is>
      </c>
      <c r="B3125" s="1" t="n">
        <v>44900</v>
      </c>
      <c r="C3125" s="1" t="n">
        <v>45190</v>
      </c>
      <c r="D3125" t="inlineStr">
        <is>
          <t>SKÅNE LÄN</t>
        </is>
      </c>
      <c r="E3125" t="inlineStr">
        <is>
          <t>PERSTORP</t>
        </is>
      </c>
      <c r="F3125" t="inlineStr">
        <is>
          <t>Övriga Aktiebolag</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59728-2022</t>
        </is>
      </c>
      <c r="B3126" s="1" t="n">
        <v>44900</v>
      </c>
      <c r="C3126" s="1" t="n">
        <v>45190</v>
      </c>
      <c r="D3126" t="inlineStr">
        <is>
          <t>SKÅNE LÄN</t>
        </is>
      </c>
      <c r="E3126" t="inlineStr">
        <is>
          <t>HÄSSLEHOLM</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59756-2022</t>
        </is>
      </c>
      <c r="B3127" s="1" t="n">
        <v>44900</v>
      </c>
      <c r="C3127" s="1" t="n">
        <v>45190</v>
      </c>
      <c r="D3127" t="inlineStr">
        <is>
          <t>SKÅNE LÄN</t>
        </is>
      </c>
      <c r="E3127" t="inlineStr">
        <is>
          <t>KLIPPAN</t>
        </is>
      </c>
      <c r="F3127" t="inlineStr">
        <is>
          <t>Övriga Aktiebolag</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59763-2022</t>
        </is>
      </c>
      <c r="B3128" s="1" t="n">
        <v>44900</v>
      </c>
      <c r="C3128" s="1" t="n">
        <v>45190</v>
      </c>
      <c r="D3128" t="inlineStr">
        <is>
          <t>SKÅNE LÄN</t>
        </is>
      </c>
      <c r="E3128" t="inlineStr">
        <is>
          <t>HÄSSLEHOLM</t>
        </is>
      </c>
      <c r="F3128" t="inlineStr">
        <is>
          <t>Övriga Aktiebolag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58387-2022</t>
        </is>
      </c>
      <c r="B3129" s="1" t="n">
        <v>44901</v>
      </c>
      <c r="C3129" s="1" t="n">
        <v>45190</v>
      </c>
      <c r="D3129" t="inlineStr">
        <is>
          <t>SKÅNE LÄN</t>
        </is>
      </c>
      <c r="E3129" t="inlineStr">
        <is>
          <t>KLIPPAN</t>
        </is>
      </c>
      <c r="F3129" t="inlineStr">
        <is>
          <t>Kommuner</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58562-2022</t>
        </is>
      </c>
      <c r="B3130" s="1" t="n">
        <v>44902</v>
      </c>
      <c r="C3130" s="1" t="n">
        <v>45190</v>
      </c>
      <c r="D3130" t="inlineStr">
        <is>
          <t>SKÅNE LÄN</t>
        </is>
      </c>
      <c r="E3130" t="inlineStr">
        <is>
          <t>OSBY</t>
        </is>
      </c>
      <c r="F3130" t="inlineStr">
        <is>
          <t>Sveaskog</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58764-2022</t>
        </is>
      </c>
      <c r="B3131" s="1" t="n">
        <v>44903</v>
      </c>
      <c r="C3131" s="1" t="n">
        <v>45190</v>
      </c>
      <c r="D3131" t="inlineStr">
        <is>
          <t>SKÅNE LÄN</t>
        </is>
      </c>
      <c r="E3131" t="inlineStr">
        <is>
          <t>OSBY</t>
        </is>
      </c>
      <c r="F3131" t="inlineStr">
        <is>
          <t>Kommuner</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60295-2022</t>
        </is>
      </c>
      <c r="B3132" s="1" t="n">
        <v>44903</v>
      </c>
      <c r="C3132" s="1" t="n">
        <v>45190</v>
      </c>
      <c r="D3132" t="inlineStr">
        <is>
          <t>SKÅNE LÄN</t>
        </is>
      </c>
      <c r="E3132" t="inlineStr">
        <is>
          <t>YSTAD</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59338-2022</t>
        </is>
      </c>
      <c r="B3133" s="1" t="n">
        <v>44904</v>
      </c>
      <c r="C3133" s="1" t="n">
        <v>45190</v>
      </c>
      <c r="D3133" t="inlineStr">
        <is>
          <t>SKÅNE LÄN</t>
        </is>
      </c>
      <c r="E3133" t="inlineStr">
        <is>
          <t>LUND</t>
        </is>
      </c>
      <c r="G3133" t="n">
        <v>12.9</v>
      </c>
      <c r="H3133" t="n">
        <v>0</v>
      </c>
      <c r="I3133" t="n">
        <v>0</v>
      </c>
      <c r="J3133" t="n">
        <v>0</v>
      </c>
      <c r="K3133" t="n">
        <v>0</v>
      </c>
      <c r="L3133" t="n">
        <v>0</v>
      </c>
      <c r="M3133" t="n">
        <v>0</v>
      </c>
      <c r="N3133" t="n">
        <v>0</v>
      </c>
      <c r="O3133" t="n">
        <v>0</v>
      </c>
      <c r="P3133" t="n">
        <v>0</v>
      </c>
      <c r="Q3133" t="n">
        <v>0</v>
      </c>
      <c r="R3133" s="2" t="inlineStr"/>
    </row>
    <row r="3134" ht="15" customHeight="1">
      <c r="A3134" t="inlineStr">
        <is>
          <t>A 60474-2022</t>
        </is>
      </c>
      <c r="B3134" s="1" t="n">
        <v>44904</v>
      </c>
      <c r="C3134" s="1" t="n">
        <v>45190</v>
      </c>
      <c r="D3134" t="inlineStr">
        <is>
          <t>SKÅNE LÄN</t>
        </is>
      </c>
      <c r="E3134" t="inlineStr">
        <is>
          <t>KRISTIANSTAD</t>
        </is>
      </c>
      <c r="G3134" t="n">
        <v>3.4</v>
      </c>
      <c r="H3134" t="n">
        <v>0</v>
      </c>
      <c r="I3134" t="n">
        <v>0</v>
      </c>
      <c r="J3134" t="n">
        <v>0</v>
      </c>
      <c r="K3134" t="n">
        <v>0</v>
      </c>
      <c r="L3134" t="n">
        <v>0</v>
      </c>
      <c r="M3134" t="n">
        <v>0</v>
      </c>
      <c r="N3134" t="n">
        <v>0</v>
      </c>
      <c r="O3134" t="n">
        <v>0</v>
      </c>
      <c r="P3134" t="n">
        <v>0</v>
      </c>
      <c r="Q3134" t="n">
        <v>0</v>
      </c>
      <c r="R3134" s="2" t="inlineStr"/>
    </row>
    <row r="3135" ht="15" customHeight="1">
      <c r="A3135" t="inlineStr">
        <is>
          <t>A 59625-2022</t>
        </is>
      </c>
      <c r="B3135" s="1" t="n">
        <v>44907</v>
      </c>
      <c r="C3135" s="1" t="n">
        <v>45190</v>
      </c>
      <c r="D3135" t="inlineStr">
        <is>
          <t>SKÅNE LÄN</t>
        </is>
      </c>
      <c r="E3135" t="inlineStr">
        <is>
          <t>KRISTIANSTAD</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59432-2022</t>
        </is>
      </c>
      <c r="B3136" s="1" t="n">
        <v>44907</v>
      </c>
      <c r="C3136" s="1" t="n">
        <v>45190</v>
      </c>
      <c r="D3136" t="inlineStr">
        <is>
          <t>SKÅNE LÄN</t>
        </is>
      </c>
      <c r="E3136" t="inlineStr">
        <is>
          <t>SVEDALA</t>
        </is>
      </c>
      <c r="G3136" t="n">
        <v>5.1</v>
      </c>
      <c r="H3136" t="n">
        <v>0</v>
      </c>
      <c r="I3136" t="n">
        <v>0</v>
      </c>
      <c r="J3136" t="n">
        <v>0</v>
      </c>
      <c r="K3136" t="n">
        <v>0</v>
      </c>
      <c r="L3136" t="n">
        <v>0</v>
      </c>
      <c r="M3136" t="n">
        <v>0</v>
      </c>
      <c r="N3136" t="n">
        <v>0</v>
      </c>
      <c r="O3136" t="n">
        <v>0</v>
      </c>
      <c r="P3136" t="n">
        <v>0</v>
      </c>
      <c r="Q3136" t="n">
        <v>0</v>
      </c>
      <c r="R3136" s="2" t="inlineStr"/>
    </row>
    <row r="3137" ht="15" customHeight="1">
      <c r="A3137" t="inlineStr">
        <is>
          <t>A 59528-2022</t>
        </is>
      </c>
      <c r="B3137" s="1" t="n">
        <v>44907</v>
      </c>
      <c r="C3137" s="1" t="n">
        <v>45190</v>
      </c>
      <c r="D3137" t="inlineStr">
        <is>
          <t>SKÅNE LÄN</t>
        </is>
      </c>
      <c r="E3137" t="inlineStr">
        <is>
          <t>TOMELILLA</t>
        </is>
      </c>
      <c r="F3137" t="inlineStr">
        <is>
          <t>Övriga Aktiebolag</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59702-2022</t>
        </is>
      </c>
      <c r="B3138" s="1" t="n">
        <v>44908</v>
      </c>
      <c r="C3138" s="1" t="n">
        <v>45190</v>
      </c>
      <c r="D3138" t="inlineStr">
        <is>
          <t>SKÅNE LÄN</t>
        </is>
      </c>
      <c r="E3138" t="inlineStr">
        <is>
          <t>HÖÖR</t>
        </is>
      </c>
      <c r="F3138" t="inlineStr">
        <is>
          <t>Sveaskog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59718-2022</t>
        </is>
      </c>
      <c r="B3139" s="1" t="n">
        <v>44908</v>
      </c>
      <c r="C3139" s="1" t="n">
        <v>45190</v>
      </c>
      <c r="D3139" t="inlineStr">
        <is>
          <t>SKÅNE LÄN</t>
        </is>
      </c>
      <c r="E3139" t="inlineStr">
        <is>
          <t>KRISTIANSTAD</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59918-2022</t>
        </is>
      </c>
      <c r="B3140" s="1" t="n">
        <v>44909</v>
      </c>
      <c r="C3140" s="1" t="n">
        <v>45190</v>
      </c>
      <c r="D3140" t="inlineStr">
        <is>
          <t>SKÅNE LÄN</t>
        </is>
      </c>
      <c r="E3140" t="inlineStr">
        <is>
          <t>LUND</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61498-2022</t>
        </is>
      </c>
      <c r="B3141" s="1" t="n">
        <v>44910</v>
      </c>
      <c r="C3141" s="1" t="n">
        <v>45190</v>
      </c>
      <c r="D3141" t="inlineStr">
        <is>
          <t>SKÅNE LÄN</t>
        </is>
      </c>
      <c r="E3141" t="inlineStr">
        <is>
          <t>HÄSSLEHOLM</t>
        </is>
      </c>
      <c r="F3141" t="inlineStr">
        <is>
          <t>Kyrkan</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61507-2022</t>
        </is>
      </c>
      <c r="B3142" s="1" t="n">
        <v>44910</v>
      </c>
      <c r="C3142" s="1" t="n">
        <v>45190</v>
      </c>
      <c r="D3142" t="inlineStr">
        <is>
          <t>SKÅNE LÄN</t>
        </is>
      </c>
      <c r="E3142" t="inlineStr">
        <is>
          <t>HÄSSLEHOLM</t>
        </is>
      </c>
      <c r="F3142" t="inlineStr">
        <is>
          <t>Kyrkan</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60333-2022</t>
        </is>
      </c>
      <c r="B3143" s="1" t="n">
        <v>44910</v>
      </c>
      <c r="C3143" s="1" t="n">
        <v>45190</v>
      </c>
      <c r="D3143" t="inlineStr">
        <is>
          <t>SKÅNE LÄN</t>
        </is>
      </c>
      <c r="E3143" t="inlineStr">
        <is>
          <t>KRISTIANSTAD</t>
        </is>
      </c>
      <c r="G3143" t="n">
        <v>4.1</v>
      </c>
      <c r="H3143" t="n">
        <v>0</v>
      </c>
      <c r="I3143" t="n">
        <v>0</v>
      </c>
      <c r="J3143" t="n">
        <v>0</v>
      </c>
      <c r="K3143" t="n">
        <v>0</v>
      </c>
      <c r="L3143" t="n">
        <v>0</v>
      </c>
      <c r="M3143" t="n">
        <v>0</v>
      </c>
      <c r="N3143" t="n">
        <v>0</v>
      </c>
      <c r="O3143" t="n">
        <v>0</v>
      </c>
      <c r="P3143" t="n">
        <v>0</v>
      </c>
      <c r="Q3143" t="n">
        <v>0</v>
      </c>
      <c r="R3143" s="2" t="inlineStr"/>
    </row>
    <row r="3144" ht="15" customHeight="1">
      <c r="A3144" t="inlineStr">
        <is>
          <t>A 61524-2022</t>
        </is>
      </c>
      <c r="B3144" s="1" t="n">
        <v>44910</v>
      </c>
      <c r="C3144" s="1" t="n">
        <v>45190</v>
      </c>
      <c r="D3144" t="inlineStr">
        <is>
          <t>SKÅNE LÄN</t>
        </is>
      </c>
      <c r="E3144" t="inlineStr">
        <is>
          <t>HÄSSLEHOLM</t>
        </is>
      </c>
      <c r="F3144" t="inlineStr">
        <is>
          <t>Kyrkan</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61539-2022</t>
        </is>
      </c>
      <c r="B3145" s="1" t="n">
        <v>44910</v>
      </c>
      <c r="C3145" s="1" t="n">
        <v>45190</v>
      </c>
      <c r="D3145" t="inlineStr">
        <is>
          <t>SKÅNE LÄN</t>
        </is>
      </c>
      <c r="E3145" t="inlineStr">
        <is>
          <t>HÄSSLEHOLM</t>
        </is>
      </c>
      <c r="G3145" t="n">
        <v>8.6</v>
      </c>
      <c r="H3145" t="n">
        <v>0</v>
      </c>
      <c r="I3145" t="n">
        <v>0</v>
      </c>
      <c r="J3145" t="n">
        <v>0</v>
      </c>
      <c r="K3145" t="n">
        <v>0</v>
      </c>
      <c r="L3145" t="n">
        <v>0</v>
      </c>
      <c r="M3145" t="n">
        <v>0</v>
      </c>
      <c r="N3145" t="n">
        <v>0</v>
      </c>
      <c r="O3145" t="n">
        <v>0</v>
      </c>
      <c r="P3145" t="n">
        <v>0</v>
      </c>
      <c r="Q3145" t="n">
        <v>0</v>
      </c>
      <c r="R3145" s="2" t="inlineStr"/>
    </row>
    <row r="3146" ht="15" customHeight="1">
      <c r="A3146" t="inlineStr">
        <is>
          <t>A 60251-2022</t>
        </is>
      </c>
      <c r="B3146" s="1" t="n">
        <v>44910</v>
      </c>
      <c r="C3146" s="1" t="n">
        <v>45190</v>
      </c>
      <c r="D3146" t="inlineStr">
        <is>
          <t>SKÅNE LÄN</t>
        </is>
      </c>
      <c r="E3146" t="inlineStr">
        <is>
          <t>ÖSTRA GÖINGE</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61533-2022</t>
        </is>
      </c>
      <c r="B3147" s="1" t="n">
        <v>44910</v>
      </c>
      <c r="C3147" s="1" t="n">
        <v>45190</v>
      </c>
      <c r="D3147" t="inlineStr">
        <is>
          <t>SKÅNE LÄN</t>
        </is>
      </c>
      <c r="E3147" t="inlineStr">
        <is>
          <t>HÄSSLEHOLM</t>
        </is>
      </c>
      <c r="F3147" t="inlineStr">
        <is>
          <t>Kyrkan</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61620-2022</t>
        </is>
      </c>
      <c r="B3148" s="1" t="n">
        <v>44910</v>
      </c>
      <c r="C3148" s="1" t="n">
        <v>45190</v>
      </c>
      <c r="D3148" t="inlineStr">
        <is>
          <t>SKÅNE LÄN</t>
        </is>
      </c>
      <c r="E3148" t="inlineStr">
        <is>
          <t>SVALÖV</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61485-2022</t>
        </is>
      </c>
      <c r="B3149" s="1" t="n">
        <v>44910</v>
      </c>
      <c r="C3149" s="1" t="n">
        <v>45190</v>
      </c>
      <c r="D3149" t="inlineStr">
        <is>
          <t>SKÅNE LÄN</t>
        </is>
      </c>
      <c r="E3149" t="inlineStr">
        <is>
          <t>HÄSSLEHOLM</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61504-2022</t>
        </is>
      </c>
      <c r="B3150" s="1" t="n">
        <v>44910</v>
      </c>
      <c r="C3150" s="1" t="n">
        <v>45190</v>
      </c>
      <c r="D3150" t="inlineStr">
        <is>
          <t>SKÅNE LÄN</t>
        </is>
      </c>
      <c r="E3150" t="inlineStr">
        <is>
          <t>HÄSSLEHOLM</t>
        </is>
      </c>
      <c r="F3150" t="inlineStr">
        <is>
          <t>Kyrkan</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61520-2022</t>
        </is>
      </c>
      <c r="B3151" s="1" t="n">
        <v>44910</v>
      </c>
      <c r="C3151" s="1" t="n">
        <v>45190</v>
      </c>
      <c r="D3151" t="inlineStr">
        <is>
          <t>SKÅNE LÄN</t>
        </is>
      </c>
      <c r="E3151" t="inlineStr">
        <is>
          <t>OSBY</t>
        </is>
      </c>
      <c r="F3151" t="inlineStr">
        <is>
          <t>Kyrkan</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61701-2022</t>
        </is>
      </c>
      <c r="B3152" s="1" t="n">
        <v>44911</v>
      </c>
      <c r="C3152" s="1" t="n">
        <v>45190</v>
      </c>
      <c r="D3152" t="inlineStr">
        <is>
          <t>SKÅNE LÄN</t>
        </is>
      </c>
      <c r="E3152" t="inlineStr">
        <is>
          <t>BROMÖLLA</t>
        </is>
      </c>
      <c r="F3152" t="inlineStr">
        <is>
          <t>Kyrkan</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60425-2022</t>
        </is>
      </c>
      <c r="B3153" s="1" t="n">
        <v>44911</v>
      </c>
      <c r="C3153" s="1" t="n">
        <v>45190</v>
      </c>
      <c r="D3153" t="inlineStr">
        <is>
          <t>SKÅNE LÄN</t>
        </is>
      </c>
      <c r="E3153" t="inlineStr">
        <is>
          <t>HÖÖR</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60427-2022</t>
        </is>
      </c>
      <c r="B3154" s="1" t="n">
        <v>44911</v>
      </c>
      <c r="C3154" s="1" t="n">
        <v>45190</v>
      </c>
      <c r="D3154" t="inlineStr">
        <is>
          <t>SKÅNE LÄN</t>
        </is>
      </c>
      <c r="E3154" t="inlineStr">
        <is>
          <t>HÖÖR</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60846-2022</t>
        </is>
      </c>
      <c r="B3155" s="1" t="n">
        <v>44914</v>
      </c>
      <c r="C3155" s="1" t="n">
        <v>45190</v>
      </c>
      <c r="D3155" t="inlineStr">
        <is>
          <t>SKÅNE LÄN</t>
        </is>
      </c>
      <c r="E3155" t="inlineStr">
        <is>
          <t>HÄSSLEHOLM</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61031-2022</t>
        </is>
      </c>
      <c r="B3156" s="1" t="n">
        <v>44914</v>
      </c>
      <c r="C3156" s="1" t="n">
        <v>45190</v>
      </c>
      <c r="D3156" t="inlineStr">
        <is>
          <t>SKÅNE LÄN</t>
        </is>
      </c>
      <c r="E3156" t="inlineStr">
        <is>
          <t>SJÖBO</t>
        </is>
      </c>
      <c r="F3156" t="inlineStr">
        <is>
          <t>Övriga Aktiebolag</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60848-2022</t>
        </is>
      </c>
      <c r="B3157" s="1" t="n">
        <v>44914</v>
      </c>
      <c r="C3157" s="1" t="n">
        <v>45190</v>
      </c>
      <c r="D3157" t="inlineStr">
        <is>
          <t>SKÅNE LÄN</t>
        </is>
      </c>
      <c r="E3157" t="inlineStr">
        <is>
          <t>HÄSSLEHOLM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60843-2022</t>
        </is>
      </c>
      <c r="B3158" s="1" t="n">
        <v>44914</v>
      </c>
      <c r="C3158" s="1" t="n">
        <v>45190</v>
      </c>
      <c r="D3158" t="inlineStr">
        <is>
          <t>SKÅNE LÄN</t>
        </is>
      </c>
      <c r="E3158" t="inlineStr">
        <is>
          <t>HÄSSLEHOLM</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61087-2022</t>
        </is>
      </c>
      <c r="B3159" s="1" t="n">
        <v>44915</v>
      </c>
      <c r="C3159" s="1" t="n">
        <v>45190</v>
      </c>
      <c r="D3159" t="inlineStr">
        <is>
          <t>SKÅNE LÄN</t>
        </is>
      </c>
      <c r="E3159" t="inlineStr">
        <is>
          <t>HÖÖR</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61178-2022</t>
        </is>
      </c>
      <c r="B3160" s="1" t="n">
        <v>44915</v>
      </c>
      <c r="C3160" s="1" t="n">
        <v>45190</v>
      </c>
      <c r="D3160" t="inlineStr">
        <is>
          <t>SKÅNE LÄN</t>
        </is>
      </c>
      <c r="E3160" t="inlineStr">
        <is>
          <t>HÄSSLEHOLM</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61292-2022</t>
        </is>
      </c>
      <c r="B3161" s="1" t="n">
        <v>44915</v>
      </c>
      <c r="C3161" s="1" t="n">
        <v>45190</v>
      </c>
      <c r="D3161" t="inlineStr">
        <is>
          <t>SKÅNE LÄN</t>
        </is>
      </c>
      <c r="E3161" t="inlineStr">
        <is>
          <t>HÄSSLEHOLM</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62167-2022</t>
        </is>
      </c>
      <c r="B3162" s="1" t="n">
        <v>44915</v>
      </c>
      <c r="C3162" s="1" t="n">
        <v>45190</v>
      </c>
      <c r="D3162" t="inlineStr">
        <is>
          <t>SKÅNE LÄN</t>
        </is>
      </c>
      <c r="E3162" t="inlineStr">
        <is>
          <t>HÄSSLEHOLM</t>
        </is>
      </c>
      <c r="F3162" t="inlineStr">
        <is>
          <t>Kyrkan</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62199-2022</t>
        </is>
      </c>
      <c r="B3163" s="1" t="n">
        <v>44915</v>
      </c>
      <c r="C3163" s="1" t="n">
        <v>45190</v>
      </c>
      <c r="D3163" t="inlineStr">
        <is>
          <t>SKÅNE LÄN</t>
        </is>
      </c>
      <c r="E3163" t="inlineStr">
        <is>
          <t>HÄSSLEHOLM</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61185-2022</t>
        </is>
      </c>
      <c r="B3164" s="1" t="n">
        <v>44915</v>
      </c>
      <c r="C3164" s="1" t="n">
        <v>45190</v>
      </c>
      <c r="D3164" t="inlineStr">
        <is>
          <t>SKÅNE LÄN</t>
        </is>
      </c>
      <c r="E3164" t="inlineStr">
        <is>
          <t>HÄSSLEHOLM</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62181-2022</t>
        </is>
      </c>
      <c r="B3165" s="1" t="n">
        <v>44915</v>
      </c>
      <c r="C3165" s="1" t="n">
        <v>45190</v>
      </c>
      <c r="D3165" t="inlineStr">
        <is>
          <t>SKÅNE LÄN</t>
        </is>
      </c>
      <c r="E3165" t="inlineStr">
        <is>
          <t>ÖRKELLJUNGA</t>
        </is>
      </c>
      <c r="F3165" t="inlineStr">
        <is>
          <t>Kyrkan</t>
        </is>
      </c>
      <c r="G3165" t="n">
        <v>6.4</v>
      </c>
      <c r="H3165" t="n">
        <v>0</v>
      </c>
      <c r="I3165" t="n">
        <v>0</v>
      </c>
      <c r="J3165" t="n">
        <v>0</v>
      </c>
      <c r="K3165" t="n">
        <v>0</v>
      </c>
      <c r="L3165" t="n">
        <v>0</v>
      </c>
      <c r="M3165" t="n">
        <v>0</v>
      </c>
      <c r="N3165" t="n">
        <v>0</v>
      </c>
      <c r="O3165" t="n">
        <v>0</v>
      </c>
      <c r="P3165" t="n">
        <v>0</v>
      </c>
      <c r="Q3165" t="n">
        <v>0</v>
      </c>
      <c r="R3165" s="2" t="inlineStr"/>
    </row>
    <row r="3166" ht="15" customHeight="1">
      <c r="A3166" t="inlineStr">
        <is>
          <t>A 62171-2022</t>
        </is>
      </c>
      <c r="B3166" s="1" t="n">
        <v>44915</v>
      </c>
      <c r="C3166" s="1" t="n">
        <v>45190</v>
      </c>
      <c r="D3166" t="inlineStr">
        <is>
          <t>SKÅNE LÄN</t>
        </is>
      </c>
      <c r="E3166" t="inlineStr">
        <is>
          <t>HÄSSLEHOLM</t>
        </is>
      </c>
      <c r="F3166" t="inlineStr">
        <is>
          <t>Kyrkan</t>
        </is>
      </c>
      <c r="G3166" t="n">
        <v>9</v>
      </c>
      <c r="H3166" t="n">
        <v>0</v>
      </c>
      <c r="I3166" t="n">
        <v>0</v>
      </c>
      <c r="J3166" t="n">
        <v>0</v>
      </c>
      <c r="K3166" t="n">
        <v>0</v>
      </c>
      <c r="L3166" t="n">
        <v>0</v>
      </c>
      <c r="M3166" t="n">
        <v>0</v>
      </c>
      <c r="N3166" t="n">
        <v>0</v>
      </c>
      <c r="O3166" t="n">
        <v>0</v>
      </c>
      <c r="P3166" t="n">
        <v>0</v>
      </c>
      <c r="Q3166" t="n">
        <v>0</v>
      </c>
      <c r="R3166" s="2" t="inlineStr"/>
    </row>
    <row r="3167" ht="15" customHeight="1">
      <c r="A3167" t="inlineStr">
        <is>
          <t>A 62156-2022</t>
        </is>
      </c>
      <c r="B3167" s="1" t="n">
        <v>44915</v>
      </c>
      <c r="C3167" s="1" t="n">
        <v>45190</v>
      </c>
      <c r="D3167" t="inlineStr">
        <is>
          <t>SKÅNE LÄN</t>
        </is>
      </c>
      <c r="E3167" t="inlineStr">
        <is>
          <t>KRISTIANSTAD</t>
        </is>
      </c>
      <c r="F3167" t="inlineStr">
        <is>
          <t>Kyrkan</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62180-2022</t>
        </is>
      </c>
      <c r="B3168" s="1" t="n">
        <v>44915</v>
      </c>
      <c r="C3168" s="1" t="n">
        <v>45190</v>
      </c>
      <c r="D3168" t="inlineStr">
        <is>
          <t>SKÅNE LÄN</t>
        </is>
      </c>
      <c r="E3168" t="inlineStr">
        <is>
          <t>ÖRKELLJUNGA</t>
        </is>
      </c>
      <c r="F3168" t="inlineStr">
        <is>
          <t>Kyrkan</t>
        </is>
      </c>
      <c r="G3168" t="n">
        <v>7.5</v>
      </c>
      <c r="H3168" t="n">
        <v>0</v>
      </c>
      <c r="I3168" t="n">
        <v>0</v>
      </c>
      <c r="J3168" t="n">
        <v>0</v>
      </c>
      <c r="K3168" t="n">
        <v>0</v>
      </c>
      <c r="L3168" t="n">
        <v>0</v>
      </c>
      <c r="M3168" t="n">
        <v>0</v>
      </c>
      <c r="N3168" t="n">
        <v>0</v>
      </c>
      <c r="O3168" t="n">
        <v>0</v>
      </c>
      <c r="P3168" t="n">
        <v>0</v>
      </c>
      <c r="Q3168" t="n">
        <v>0</v>
      </c>
      <c r="R3168" s="2" t="inlineStr"/>
    </row>
    <row r="3169" ht="15" customHeight="1">
      <c r="A3169" t="inlineStr">
        <is>
          <t>A 61625-2022</t>
        </is>
      </c>
      <c r="B3169" s="1" t="n">
        <v>44916</v>
      </c>
      <c r="C3169" s="1" t="n">
        <v>45190</v>
      </c>
      <c r="D3169" t="inlineStr">
        <is>
          <t>SKÅNE LÄN</t>
        </is>
      </c>
      <c r="E3169" t="inlineStr">
        <is>
          <t>HÄSSLEHOLM</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61909-2022</t>
        </is>
      </c>
      <c r="B3170" s="1" t="n">
        <v>44917</v>
      </c>
      <c r="C3170" s="1" t="n">
        <v>45190</v>
      </c>
      <c r="D3170" t="inlineStr">
        <is>
          <t>SKÅNE LÄN</t>
        </is>
      </c>
      <c r="E3170" t="inlineStr">
        <is>
          <t>HÄSSLEHOLM</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62057-2022</t>
        </is>
      </c>
      <c r="B3171" s="1" t="n">
        <v>44918</v>
      </c>
      <c r="C3171" s="1" t="n">
        <v>45190</v>
      </c>
      <c r="D3171" t="inlineStr">
        <is>
          <t>SKÅNE LÄN</t>
        </is>
      </c>
      <c r="E3171" t="inlineStr">
        <is>
          <t>ÖSTRA GÖINGE</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62054-2022</t>
        </is>
      </c>
      <c r="B3172" s="1" t="n">
        <v>44918</v>
      </c>
      <c r="C3172" s="1" t="n">
        <v>45190</v>
      </c>
      <c r="D3172" t="inlineStr">
        <is>
          <t>SKÅNE LÄN</t>
        </is>
      </c>
      <c r="E3172" t="inlineStr">
        <is>
          <t>ÖSTRA GÖINGE</t>
        </is>
      </c>
      <c r="G3172" t="n">
        <v>5.3</v>
      </c>
      <c r="H3172" t="n">
        <v>0</v>
      </c>
      <c r="I3172" t="n">
        <v>0</v>
      </c>
      <c r="J3172" t="n">
        <v>0</v>
      </c>
      <c r="K3172" t="n">
        <v>0</v>
      </c>
      <c r="L3172" t="n">
        <v>0</v>
      </c>
      <c r="M3172" t="n">
        <v>0</v>
      </c>
      <c r="N3172" t="n">
        <v>0</v>
      </c>
      <c r="O3172" t="n">
        <v>0</v>
      </c>
      <c r="P3172" t="n">
        <v>0</v>
      </c>
      <c r="Q3172" t="n">
        <v>0</v>
      </c>
      <c r="R3172" s="2" t="inlineStr"/>
    </row>
    <row r="3173" ht="15" customHeight="1">
      <c r="A3173" t="inlineStr">
        <is>
          <t>A 62066-2022</t>
        </is>
      </c>
      <c r="B3173" s="1" t="n">
        <v>44918</v>
      </c>
      <c r="C3173" s="1" t="n">
        <v>45190</v>
      </c>
      <c r="D3173" t="inlineStr">
        <is>
          <t>SKÅNE LÄN</t>
        </is>
      </c>
      <c r="E3173" t="inlineStr">
        <is>
          <t>KRISTIANSTAD</t>
        </is>
      </c>
      <c r="G3173" t="n">
        <v>6.3</v>
      </c>
      <c r="H3173" t="n">
        <v>0</v>
      </c>
      <c r="I3173" t="n">
        <v>0</v>
      </c>
      <c r="J3173" t="n">
        <v>0</v>
      </c>
      <c r="K3173" t="n">
        <v>0</v>
      </c>
      <c r="L3173" t="n">
        <v>0</v>
      </c>
      <c r="M3173" t="n">
        <v>0</v>
      </c>
      <c r="N3173" t="n">
        <v>0</v>
      </c>
      <c r="O3173" t="n">
        <v>0</v>
      </c>
      <c r="P3173" t="n">
        <v>0</v>
      </c>
      <c r="Q3173" t="n">
        <v>0</v>
      </c>
      <c r="R3173" s="2" t="inlineStr"/>
    </row>
    <row r="3174" ht="15" customHeight="1">
      <c r="A3174" t="inlineStr">
        <is>
          <t>A 62052-2022</t>
        </is>
      </c>
      <c r="B3174" s="1" t="n">
        <v>44918</v>
      </c>
      <c r="C3174" s="1" t="n">
        <v>45190</v>
      </c>
      <c r="D3174" t="inlineStr">
        <is>
          <t>SKÅNE LÄN</t>
        </is>
      </c>
      <c r="E3174" t="inlineStr">
        <is>
          <t>ÖSTRA GÖINGE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62149-2022</t>
        </is>
      </c>
      <c r="B3175" s="1" t="n">
        <v>44922</v>
      </c>
      <c r="C3175" s="1" t="n">
        <v>45190</v>
      </c>
      <c r="D3175" t="inlineStr">
        <is>
          <t>SKÅNE LÄN</t>
        </is>
      </c>
      <c r="E3175" t="inlineStr">
        <is>
          <t>SIMRISHAMN</t>
        </is>
      </c>
      <c r="F3175" t="inlineStr">
        <is>
          <t>Övriga Aktiebolag</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62234-2022</t>
        </is>
      </c>
      <c r="B3176" s="1" t="n">
        <v>44922</v>
      </c>
      <c r="C3176" s="1" t="n">
        <v>45190</v>
      </c>
      <c r="D3176" t="inlineStr">
        <is>
          <t>SKÅNE LÄN</t>
        </is>
      </c>
      <c r="E3176" t="inlineStr">
        <is>
          <t>HÄSSLEHOLM</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62293-2022</t>
        </is>
      </c>
      <c r="B3177" s="1" t="n">
        <v>44923</v>
      </c>
      <c r="C3177" s="1" t="n">
        <v>45190</v>
      </c>
      <c r="D3177" t="inlineStr">
        <is>
          <t>SKÅNE LÄN</t>
        </is>
      </c>
      <c r="E3177" t="inlineStr">
        <is>
          <t>PERSTORP</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62397-2022</t>
        </is>
      </c>
      <c r="B3178" s="1" t="n">
        <v>44923</v>
      </c>
      <c r="C3178" s="1" t="n">
        <v>45190</v>
      </c>
      <c r="D3178" t="inlineStr">
        <is>
          <t>SKÅNE LÄN</t>
        </is>
      </c>
      <c r="E3178" t="inlineStr">
        <is>
          <t>KRISTIANSTAD</t>
        </is>
      </c>
      <c r="G3178" t="n">
        <v>12.6</v>
      </c>
      <c r="H3178" t="n">
        <v>0</v>
      </c>
      <c r="I3178" t="n">
        <v>0</v>
      </c>
      <c r="J3178" t="n">
        <v>0</v>
      </c>
      <c r="K3178" t="n">
        <v>0</v>
      </c>
      <c r="L3178" t="n">
        <v>0</v>
      </c>
      <c r="M3178" t="n">
        <v>0</v>
      </c>
      <c r="N3178" t="n">
        <v>0</v>
      </c>
      <c r="O3178" t="n">
        <v>0</v>
      </c>
      <c r="P3178" t="n">
        <v>0</v>
      </c>
      <c r="Q3178" t="n">
        <v>0</v>
      </c>
      <c r="R3178" s="2" t="inlineStr"/>
    </row>
    <row r="3179" ht="15" customHeight="1">
      <c r="A3179" t="inlineStr">
        <is>
          <t>A 62403-2022</t>
        </is>
      </c>
      <c r="B3179" s="1" t="n">
        <v>44923</v>
      </c>
      <c r="C3179" s="1" t="n">
        <v>45190</v>
      </c>
      <c r="D3179" t="inlineStr">
        <is>
          <t>SKÅNE LÄN</t>
        </is>
      </c>
      <c r="E3179" t="inlineStr">
        <is>
          <t>SVALÖV</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62413-2022</t>
        </is>
      </c>
      <c r="B3180" s="1" t="n">
        <v>44923</v>
      </c>
      <c r="C3180" s="1" t="n">
        <v>45190</v>
      </c>
      <c r="D3180" t="inlineStr">
        <is>
          <t>SKÅNE LÄN</t>
        </is>
      </c>
      <c r="E3180" t="inlineStr">
        <is>
          <t>SIMRISHAMN</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429-2023</t>
        </is>
      </c>
      <c r="B3181" s="1" t="n">
        <v>44923</v>
      </c>
      <c r="C3181" s="1" t="n">
        <v>45190</v>
      </c>
      <c r="D3181" t="inlineStr">
        <is>
          <t>SKÅNE LÄN</t>
        </is>
      </c>
      <c r="E3181" t="inlineStr">
        <is>
          <t>KRISTIANSTAD</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62526-2022</t>
        </is>
      </c>
      <c r="B3182" s="1" t="n">
        <v>44924</v>
      </c>
      <c r="C3182" s="1" t="n">
        <v>45190</v>
      </c>
      <c r="D3182" t="inlineStr">
        <is>
          <t>SKÅNE LÄN</t>
        </is>
      </c>
      <c r="E3182" t="inlineStr">
        <is>
          <t>BROMÖLLA</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696-2023</t>
        </is>
      </c>
      <c r="B3183" s="1" t="n">
        <v>44925</v>
      </c>
      <c r="C3183" s="1" t="n">
        <v>45190</v>
      </c>
      <c r="D3183" t="inlineStr">
        <is>
          <t>SKÅNE LÄN</t>
        </is>
      </c>
      <c r="E3183" t="inlineStr">
        <is>
          <t>ESLÖV</t>
        </is>
      </c>
      <c r="F3183" t="inlineStr">
        <is>
          <t>Sveaskog</t>
        </is>
      </c>
      <c r="G3183" t="n">
        <v>2.9</v>
      </c>
      <c r="H3183" t="n">
        <v>0</v>
      </c>
      <c r="I3183" t="n">
        <v>0</v>
      </c>
      <c r="J3183" t="n">
        <v>0</v>
      </c>
      <c r="K3183" t="n">
        <v>0</v>
      </c>
      <c r="L3183" t="n">
        <v>0</v>
      </c>
      <c r="M3183" t="n">
        <v>0</v>
      </c>
      <c r="N3183" t="n">
        <v>0</v>
      </c>
      <c r="O3183" t="n">
        <v>0</v>
      </c>
      <c r="P3183" t="n">
        <v>0</v>
      </c>
      <c r="Q3183" t="n">
        <v>0</v>
      </c>
      <c r="R3183" s="2" t="inlineStr"/>
    </row>
    <row r="3184" ht="15" customHeight="1">
      <c r="A3184" t="inlineStr">
        <is>
          <t>A 217-2023</t>
        </is>
      </c>
      <c r="B3184" s="1" t="n">
        <v>44928</v>
      </c>
      <c r="C3184" s="1" t="n">
        <v>45190</v>
      </c>
      <c r="D3184" t="inlineStr">
        <is>
          <t>SKÅNE LÄN</t>
        </is>
      </c>
      <c r="E3184" t="inlineStr">
        <is>
          <t>KLIPPAN</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24-2023</t>
        </is>
      </c>
      <c r="B3185" s="1" t="n">
        <v>44928</v>
      </c>
      <c r="C3185" s="1" t="n">
        <v>45190</v>
      </c>
      <c r="D3185" t="inlineStr">
        <is>
          <t>SKÅNE LÄN</t>
        </is>
      </c>
      <c r="E3185" t="inlineStr">
        <is>
          <t>BÅSTAD</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119-2023</t>
        </is>
      </c>
      <c r="B3186" s="1" t="n">
        <v>44928</v>
      </c>
      <c r="C3186" s="1" t="n">
        <v>45190</v>
      </c>
      <c r="D3186" t="inlineStr">
        <is>
          <t>SKÅNE LÄN</t>
        </is>
      </c>
      <c r="E3186" t="inlineStr">
        <is>
          <t>HÖRBY</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425-2023</t>
        </is>
      </c>
      <c r="B3187" s="1" t="n">
        <v>44929</v>
      </c>
      <c r="C3187" s="1" t="n">
        <v>45190</v>
      </c>
      <c r="D3187" t="inlineStr">
        <is>
          <t>SKÅNE LÄN</t>
        </is>
      </c>
      <c r="E3187" t="inlineStr">
        <is>
          <t>ÖSTRA GÖINGE</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427-2023</t>
        </is>
      </c>
      <c r="B3188" s="1" t="n">
        <v>44929</v>
      </c>
      <c r="C3188" s="1" t="n">
        <v>45190</v>
      </c>
      <c r="D3188" t="inlineStr">
        <is>
          <t>SKÅNE LÄN</t>
        </is>
      </c>
      <c r="E3188" t="inlineStr">
        <is>
          <t>ÖSTRA GÖINGE</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1073-2023</t>
        </is>
      </c>
      <c r="B3189" s="1" t="n">
        <v>44929</v>
      </c>
      <c r="C3189" s="1" t="n">
        <v>45190</v>
      </c>
      <c r="D3189" t="inlineStr">
        <is>
          <t>SKÅNE LÄN</t>
        </is>
      </c>
      <c r="E3189" t="inlineStr">
        <is>
          <t>ÖSTRA GÖINGE</t>
        </is>
      </c>
      <c r="G3189" t="n">
        <v>6.4</v>
      </c>
      <c r="H3189" t="n">
        <v>0</v>
      </c>
      <c r="I3189" t="n">
        <v>0</v>
      </c>
      <c r="J3189" t="n">
        <v>0</v>
      </c>
      <c r="K3189" t="n">
        <v>0</v>
      </c>
      <c r="L3189" t="n">
        <v>0</v>
      </c>
      <c r="M3189" t="n">
        <v>0</v>
      </c>
      <c r="N3189" t="n">
        <v>0</v>
      </c>
      <c r="O3189" t="n">
        <v>0</v>
      </c>
      <c r="P3189" t="n">
        <v>0</v>
      </c>
      <c r="Q3189" t="n">
        <v>0</v>
      </c>
      <c r="R3189" s="2" t="inlineStr"/>
    </row>
    <row r="3190" ht="15" customHeight="1">
      <c r="A3190" t="inlineStr">
        <is>
          <t>A 308-2023</t>
        </is>
      </c>
      <c r="B3190" s="1" t="n">
        <v>44929</v>
      </c>
      <c r="C3190" s="1" t="n">
        <v>45190</v>
      </c>
      <c r="D3190" t="inlineStr">
        <is>
          <t>SKÅNE LÄN</t>
        </is>
      </c>
      <c r="E3190" t="inlineStr">
        <is>
          <t>ÄNGELHOLM</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635-2023</t>
        </is>
      </c>
      <c r="B3191" s="1" t="n">
        <v>44930</v>
      </c>
      <c r="C3191" s="1" t="n">
        <v>45190</v>
      </c>
      <c r="D3191" t="inlineStr">
        <is>
          <t>SKÅNE LÄN</t>
        </is>
      </c>
      <c r="E3191" t="inlineStr">
        <is>
          <t>BÅSTAD</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573-2023</t>
        </is>
      </c>
      <c r="B3192" s="1" t="n">
        <v>44930</v>
      </c>
      <c r="C3192" s="1" t="n">
        <v>45190</v>
      </c>
      <c r="D3192" t="inlineStr">
        <is>
          <t>SKÅNE LÄN</t>
        </is>
      </c>
      <c r="E3192" t="inlineStr">
        <is>
          <t>ÖSTRA GÖINGE</t>
        </is>
      </c>
      <c r="G3192" t="n">
        <v>6.6</v>
      </c>
      <c r="H3192" t="n">
        <v>0</v>
      </c>
      <c r="I3192" t="n">
        <v>0</v>
      </c>
      <c r="J3192" t="n">
        <v>0</v>
      </c>
      <c r="K3192" t="n">
        <v>0</v>
      </c>
      <c r="L3192" t="n">
        <v>0</v>
      </c>
      <c r="M3192" t="n">
        <v>0</v>
      </c>
      <c r="N3192" t="n">
        <v>0</v>
      </c>
      <c r="O3192" t="n">
        <v>0</v>
      </c>
      <c r="P3192" t="n">
        <v>0</v>
      </c>
      <c r="Q3192" t="n">
        <v>0</v>
      </c>
      <c r="R3192" s="2" t="inlineStr"/>
    </row>
    <row r="3193" ht="15" customHeight="1">
      <c r="A3193" t="inlineStr">
        <is>
          <t>A 876-2023</t>
        </is>
      </c>
      <c r="B3193" s="1" t="n">
        <v>44931</v>
      </c>
      <c r="C3193" s="1" t="n">
        <v>45190</v>
      </c>
      <c r="D3193" t="inlineStr">
        <is>
          <t>SKÅNE LÄN</t>
        </is>
      </c>
      <c r="E3193" t="inlineStr">
        <is>
          <t>HÄSSLEHOLM</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941-2023</t>
        </is>
      </c>
      <c r="B3194" s="1" t="n">
        <v>44933</v>
      </c>
      <c r="C3194" s="1" t="n">
        <v>45190</v>
      </c>
      <c r="D3194" t="inlineStr">
        <is>
          <t>SKÅNE LÄN</t>
        </is>
      </c>
      <c r="E3194" t="inlineStr">
        <is>
          <t>KRISTIANSTAD</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939-2023</t>
        </is>
      </c>
      <c r="B3195" s="1" t="n">
        <v>44933</v>
      </c>
      <c r="C3195" s="1" t="n">
        <v>45190</v>
      </c>
      <c r="D3195" t="inlineStr">
        <is>
          <t>SKÅNE LÄN</t>
        </is>
      </c>
      <c r="E3195" t="inlineStr">
        <is>
          <t>KRISTIANSTAD</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1106-2023</t>
        </is>
      </c>
      <c r="B3196" s="1" t="n">
        <v>44935</v>
      </c>
      <c r="C3196" s="1" t="n">
        <v>45190</v>
      </c>
      <c r="D3196" t="inlineStr">
        <is>
          <t>SKÅNE LÄN</t>
        </is>
      </c>
      <c r="E3196" t="inlineStr">
        <is>
          <t>HÖRBY</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1280-2023</t>
        </is>
      </c>
      <c r="B3197" s="1" t="n">
        <v>44936</v>
      </c>
      <c r="C3197" s="1" t="n">
        <v>45190</v>
      </c>
      <c r="D3197" t="inlineStr">
        <is>
          <t>SKÅNE LÄN</t>
        </is>
      </c>
      <c r="E3197" t="inlineStr">
        <is>
          <t>KLIPPAN</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1936-2023</t>
        </is>
      </c>
      <c r="B3198" s="1" t="n">
        <v>44937</v>
      </c>
      <c r="C3198" s="1" t="n">
        <v>45190</v>
      </c>
      <c r="D3198" t="inlineStr">
        <is>
          <t>SKÅNE LÄN</t>
        </is>
      </c>
      <c r="E3198" t="inlineStr">
        <is>
          <t>ÖSTRA GÖINGE</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1498-2023</t>
        </is>
      </c>
      <c r="B3199" s="1" t="n">
        <v>44937</v>
      </c>
      <c r="C3199" s="1" t="n">
        <v>45190</v>
      </c>
      <c r="D3199" t="inlineStr">
        <is>
          <t>SKÅNE LÄN</t>
        </is>
      </c>
      <c r="E3199" t="inlineStr">
        <is>
          <t>SJÖBO</t>
        </is>
      </c>
      <c r="F3199" t="inlineStr">
        <is>
          <t>Övriga Aktiebolag</t>
        </is>
      </c>
      <c r="G3199" t="n">
        <v>9.5</v>
      </c>
      <c r="H3199" t="n">
        <v>0</v>
      </c>
      <c r="I3199" t="n">
        <v>0</v>
      </c>
      <c r="J3199" t="n">
        <v>0</v>
      </c>
      <c r="K3199" t="n">
        <v>0</v>
      </c>
      <c r="L3199" t="n">
        <v>0</v>
      </c>
      <c r="M3199" t="n">
        <v>0</v>
      </c>
      <c r="N3199" t="n">
        <v>0</v>
      </c>
      <c r="O3199" t="n">
        <v>0</v>
      </c>
      <c r="P3199" t="n">
        <v>0</v>
      </c>
      <c r="Q3199" t="n">
        <v>0</v>
      </c>
      <c r="R3199" s="2" t="inlineStr"/>
    </row>
    <row r="3200" ht="15" customHeight="1">
      <c r="A3200" t="inlineStr">
        <is>
          <t>A 1538-2023</t>
        </is>
      </c>
      <c r="B3200" s="1" t="n">
        <v>44937</v>
      </c>
      <c r="C3200" s="1" t="n">
        <v>45190</v>
      </c>
      <c r="D3200" t="inlineStr">
        <is>
          <t>SKÅNE LÄN</t>
        </is>
      </c>
      <c r="E3200" t="inlineStr">
        <is>
          <t>ÖRKELLJUNGA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1553-2023</t>
        </is>
      </c>
      <c r="B3201" s="1" t="n">
        <v>44937</v>
      </c>
      <c r="C3201" s="1" t="n">
        <v>45190</v>
      </c>
      <c r="D3201" t="inlineStr">
        <is>
          <t>SKÅNE LÄN</t>
        </is>
      </c>
      <c r="E3201" t="inlineStr">
        <is>
          <t>HÄSSLEHOLM</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1560-2023</t>
        </is>
      </c>
      <c r="B3202" s="1" t="n">
        <v>44937</v>
      </c>
      <c r="C3202" s="1" t="n">
        <v>45190</v>
      </c>
      <c r="D3202" t="inlineStr">
        <is>
          <t>SKÅNE LÄN</t>
        </is>
      </c>
      <c r="E3202" t="inlineStr">
        <is>
          <t>HÄSSLEHOLM</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1505-2023</t>
        </is>
      </c>
      <c r="B3203" s="1" t="n">
        <v>44937</v>
      </c>
      <c r="C3203" s="1" t="n">
        <v>45190</v>
      </c>
      <c r="D3203" t="inlineStr">
        <is>
          <t>SKÅNE LÄN</t>
        </is>
      </c>
      <c r="E3203" t="inlineStr">
        <is>
          <t>SIMRISHAMN</t>
        </is>
      </c>
      <c r="F3203" t="inlineStr">
        <is>
          <t>Övriga Aktiebolag</t>
        </is>
      </c>
      <c r="G3203" t="n">
        <v>8.6</v>
      </c>
      <c r="H3203" t="n">
        <v>0</v>
      </c>
      <c r="I3203" t="n">
        <v>0</v>
      </c>
      <c r="J3203" t="n">
        <v>0</v>
      </c>
      <c r="K3203" t="n">
        <v>0</v>
      </c>
      <c r="L3203" t="n">
        <v>0</v>
      </c>
      <c r="M3203" t="n">
        <v>0</v>
      </c>
      <c r="N3203" t="n">
        <v>0</v>
      </c>
      <c r="O3203" t="n">
        <v>0</v>
      </c>
      <c r="P3203" t="n">
        <v>0</v>
      </c>
      <c r="Q3203" t="n">
        <v>0</v>
      </c>
      <c r="R3203" s="2" t="inlineStr"/>
    </row>
    <row r="3204" ht="15" customHeight="1">
      <c r="A3204" t="inlineStr">
        <is>
          <t>A 1557-2023</t>
        </is>
      </c>
      <c r="B3204" s="1" t="n">
        <v>44937</v>
      </c>
      <c r="C3204" s="1" t="n">
        <v>45190</v>
      </c>
      <c r="D3204" t="inlineStr">
        <is>
          <t>SKÅNE LÄN</t>
        </is>
      </c>
      <c r="E3204" t="inlineStr">
        <is>
          <t>HÄSSLEHOLM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1953-2023</t>
        </is>
      </c>
      <c r="B3205" s="1" t="n">
        <v>44937</v>
      </c>
      <c r="C3205" s="1" t="n">
        <v>45190</v>
      </c>
      <c r="D3205" t="inlineStr">
        <is>
          <t>SKÅNE LÄN</t>
        </is>
      </c>
      <c r="E3205" t="inlineStr">
        <is>
          <t>ÖSTRA GÖINGE</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1726-2023</t>
        </is>
      </c>
      <c r="B3206" s="1" t="n">
        <v>44938</v>
      </c>
      <c r="C3206" s="1" t="n">
        <v>45190</v>
      </c>
      <c r="D3206" t="inlineStr">
        <is>
          <t>SKÅNE LÄN</t>
        </is>
      </c>
      <c r="E3206" t="inlineStr">
        <is>
          <t>KRISTIANSTAD</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2090-2023</t>
        </is>
      </c>
      <c r="B3207" s="1" t="n">
        <v>44939</v>
      </c>
      <c r="C3207" s="1" t="n">
        <v>45190</v>
      </c>
      <c r="D3207" t="inlineStr">
        <is>
          <t>SKÅNE LÄN</t>
        </is>
      </c>
      <c r="E3207" t="inlineStr">
        <is>
          <t>ÖRKELLJUNGA</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1900-2023</t>
        </is>
      </c>
      <c r="B3208" s="1" t="n">
        <v>44939</v>
      </c>
      <c r="C3208" s="1" t="n">
        <v>45190</v>
      </c>
      <c r="D3208" t="inlineStr">
        <is>
          <t>SKÅNE LÄN</t>
        </is>
      </c>
      <c r="E3208" t="inlineStr">
        <is>
          <t>ÖRKELLJUNGA</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2086-2023</t>
        </is>
      </c>
      <c r="B3209" s="1" t="n">
        <v>44939</v>
      </c>
      <c r="C3209" s="1" t="n">
        <v>45190</v>
      </c>
      <c r="D3209" t="inlineStr">
        <is>
          <t>SKÅNE LÄN</t>
        </is>
      </c>
      <c r="E3209" t="inlineStr">
        <is>
          <t>ÖRKELLJUNGA</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2015-2023</t>
        </is>
      </c>
      <c r="B3210" s="1" t="n">
        <v>44939</v>
      </c>
      <c r="C3210" s="1" t="n">
        <v>45190</v>
      </c>
      <c r="D3210" t="inlineStr">
        <is>
          <t>SKÅNE LÄN</t>
        </is>
      </c>
      <c r="E3210" t="inlineStr">
        <is>
          <t>PERSTORP</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2092-2023</t>
        </is>
      </c>
      <c r="B3211" s="1" t="n">
        <v>44939</v>
      </c>
      <c r="C3211" s="1" t="n">
        <v>45190</v>
      </c>
      <c r="D3211" t="inlineStr">
        <is>
          <t>SKÅNE LÄN</t>
        </is>
      </c>
      <c r="E3211" t="inlineStr">
        <is>
          <t>ÖRKELLJUNGA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2088-2023</t>
        </is>
      </c>
      <c r="B3212" s="1" t="n">
        <v>44939</v>
      </c>
      <c r="C3212" s="1" t="n">
        <v>45190</v>
      </c>
      <c r="D3212" t="inlineStr">
        <is>
          <t>SKÅNE LÄN</t>
        </is>
      </c>
      <c r="E3212" t="inlineStr">
        <is>
          <t>ÖRKELLJUNGA</t>
        </is>
      </c>
      <c r="G3212" t="n">
        <v>2.4</v>
      </c>
      <c r="H3212" t="n">
        <v>0</v>
      </c>
      <c r="I3212" t="n">
        <v>0</v>
      </c>
      <c r="J3212" t="n">
        <v>0</v>
      </c>
      <c r="K3212" t="n">
        <v>0</v>
      </c>
      <c r="L3212" t="n">
        <v>0</v>
      </c>
      <c r="M3212" t="n">
        <v>0</v>
      </c>
      <c r="N3212" t="n">
        <v>0</v>
      </c>
      <c r="O3212" t="n">
        <v>0</v>
      </c>
      <c r="P3212" t="n">
        <v>0</v>
      </c>
      <c r="Q3212" t="n">
        <v>0</v>
      </c>
      <c r="R3212" s="2" t="inlineStr"/>
    </row>
    <row r="3213" ht="15" customHeight="1">
      <c r="A3213" t="inlineStr">
        <is>
          <t>A 2663-2023</t>
        </is>
      </c>
      <c r="B3213" s="1" t="n">
        <v>44942</v>
      </c>
      <c r="C3213" s="1" t="n">
        <v>45190</v>
      </c>
      <c r="D3213" t="inlineStr">
        <is>
          <t>SKÅNE LÄN</t>
        </is>
      </c>
      <c r="E3213" t="inlineStr">
        <is>
          <t>HÄSSLEHOLM</t>
        </is>
      </c>
      <c r="F3213" t="inlineStr">
        <is>
          <t>Kyrkan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2257-2023</t>
        </is>
      </c>
      <c r="B3214" s="1" t="n">
        <v>44942</v>
      </c>
      <c r="C3214" s="1" t="n">
        <v>45190</v>
      </c>
      <c r="D3214" t="inlineStr">
        <is>
          <t>SKÅNE LÄN</t>
        </is>
      </c>
      <c r="E3214" t="inlineStr">
        <is>
          <t>KRISTIANSTAD</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2359-2023</t>
        </is>
      </c>
      <c r="B3215" s="1" t="n">
        <v>44942</v>
      </c>
      <c r="C3215" s="1" t="n">
        <v>45190</v>
      </c>
      <c r="D3215" t="inlineStr">
        <is>
          <t>SKÅNE LÄN</t>
        </is>
      </c>
      <c r="E3215" t="inlineStr">
        <is>
          <t>ÖRKELLJUNGA</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3183-2023</t>
        </is>
      </c>
      <c r="B3216" s="1" t="n">
        <v>44944</v>
      </c>
      <c r="C3216" s="1" t="n">
        <v>45190</v>
      </c>
      <c r="D3216" t="inlineStr">
        <is>
          <t>SKÅNE LÄN</t>
        </is>
      </c>
      <c r="E3216" t="inlineStr">
        <is>
          <t>KLIPPAN</t>
        </is>
      </c>
      <c r="G3216" t="n">
        <v>6.9</v>
      </c>
      <c r="H3216" t="n">
        <v>0</v>
      </c>
      <c r="I3216" t="n">
        <v>0</v>
      </c>
      <c r="J3216" t="n">
        <v>0</v>
      </c>
      <c r="K3216" t="n">
        <v>0</v>
      </c>
      <c r="L3216" t="n">
        <v>0</v>
      </c>
      <c r="M3216" t="n">
        <v>0</v>
      </c>
      <c r="N3216" t="n">
        <v>0</v>
      </c>
      <c r="O3216" t="n">
        <v>0</v>
      </c>
      <c r="P3216" t="n">
        <v>0</v>
      </c>
      <c r="Q3216" t="n">
        <v>0</v>
      </c>
      <c r="R3216" s="2" t="inlineStr"/>
    </row>
    <row r="3217" ht="15" customHeight="1">
      <c r="A3217" t="inlineStr">
        <is>
          <t>A 2747-2023</t>
        </is>
      </c>
      <c r="B3217" s="1" t="n">
        <v>44944</v>
      </c>
      <c r="C3217" s="1" t="n">
        <v>45190</v>
      </c>
      <c r="D3217" t="inlineStr">
        <is>
          <t>SKÅNE LÄN</t>
        </is>
      </c>
      <c r="E3217" t="inlineStr">
        <is>
          <t>HÖRBY</t>
        </is>
      </c>
      <c r="F3217" t="inlineStr">
        <is>
          <t>Sveaskog</t>
        </is>
      </c>
      <c r="G3217" t="n">
        <v>4.6</v>
      </c>
      <c r="H3217" t="n">
        <v>0</v>
      </c>
      <c r="I3217" t="n">
        <v>0</v>
      </c>
      <c r="J3217" t="n">
        <v>0</v>
      </c>
      <c r="K3217" t="n">
        <v>0</v>
      </c>
      <c r="L3217" t="n">
        <v>0</v>
      </c>
      <c r="M3217" t="n">
        <v>0</v>
      </c>
      <c r="N3217" t="n">
        <v>0</v>
      </c>
      <c r="O3217" t="n">
        <v>0</v>
      </c>
      <c r="P3217" t="n">
        <v>0</v>
      </c>
      <c r="Q3217" t="n">
        <v>0</v>
      </c>
      <c r="R3217" s="2" t="inlineStr"/>
    </row>
    <row r="3218" ht="15" customHeight="1">
      <c r="A3218" t="inlineStr">
        <is>
          <t>A 3198-2023</t>
        </is>
      </c>
      <c r="B3218" s="1" t="n">
        <v>44944</v>
      </c>
      <c r="C3218" s="1" t="n">
        <v>45190</v>
      </c>
      <c r="D3218" t="inlineStr">
        <is>
          <t>SKÅNE LÄN</t>
        </is>
      </c>
      <c r="E3218" t="inlineStr">
        <is>
          <t>KLIPPAN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2743-2023</t>
        </is>
      </c>
      <c r="B3219" s="1" t="n">
        <v>44944</v>
      </c>
      <c r="C3219" s="1" t="n">
        <v>45190</v>
      </c>
      <c r="D3219" t="inlineStr">
        <is>
          <t>SKÅNE LÄN</t>
        </is>
      </c>
      <c r="E3219" t="inlineStr">
        <is>
          <t>HÄSSLEHOLM</t>
        </is>
      </c>
      <c r="F3219" t="inlineStr">
        <is>
          <t>Sveaskog</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2755-2023</t>
        </is>
      </c>
      <c r="B3220" s="1" t="n">
        <v>44944</v>
      </c>
      <c r="C3220" s="1" t="n">
        <v>45190</v>
      </c>
      <c r="D3220" t="inlineStr">
        <is>
          <t>SKÅNE LÄN</t>
        </is>
      </c>
      <c r="E3220" t="inlineStr">
        <is>
          <t>KLIPPAN</t>
        </is>
      </c>
      <c r="F3220" t="inlineStr">
        <is>
          <t>Sveaskog</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2752-2023</t>
        </is>
      </c>
      <c r="B3221" s="1" t="n">
        <v>44944</v>
      </c>
      <c r="C3221" s="1" t="n">
        <v>45190</v>
      </c>
      <c r="D3221" t="inlineStr">
        <is>
          <t>SKÅNE LÄN</t>
        </is>
      </c>
      <c r="E3221" t="inlineStr">
        <is>
          <t>HÖRBY</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2834-2023</t>
        </is>
      </c>
      <c r="B3222" s="1" t="n">
        <v>44945</v>
      </c>
      <c r="C3222" s="1" t="n">
        <v>45190</v>
      </c>
      <c r="D3222" t="inlineStr">
        <is>
          <t>SKÅNE LÄN</t>
        </is>
      </c>
      <c r="E3222" t="inlineStr">
        <is>
          <t>KRISTIANSTAD</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2829-2023</t>
        </is>
      </c>
      <c r="B3223" s="1" t="n">
        <v>44945</v>
      </c>
      <c r="C3223" s="1" t="n">
        <v>45190</v>
      </c>
      <c r="D3223" t="inlineStr">
        <is>
          <t>SKÅNE LÄN</t>
        </is>
      </c>
      <c r="E3223" t="inlineStr">
        <is>
          <t>KRISTIANSTAD</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3608-2023</t>
        </is>
      </c>
      <c r="B3224" s="1" t="n">
        <v>44946</v>
      </c>
      <c r="C3224" s="1" t="n">
        <v>45190</v>
      </c>
      <c r="D3224" t="inlineStr">
        <is>
          <t>SKÅNE LÄN</t>
        </is>
      </c>
      <c r="E3224" t="inlineStr">
        <is>
          <t>KRISTIANSTAD</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3069-2023</t>
        </is>
      </c>
      <c r="B3225" s="1" t="n">
        <v>44946</v>
      </c>
      <c r="C3225" s="1" t="n">
        <v>45190</v>
      </c>
      <c r="D3225" t="inlineStr">
        <is>
          <t>SKÅNE LÄN</t>
        </is>
      </c>
      <c r="E3225" t="inlineStr">
        <is>
          <t>HÄSSLEHOLM</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3258-2023</t>
        </is>
      </c>
      <c r="B3226" s="1" t="n">
        <v>44948</v>
      </c>
      <c r="C3226" s="1" t="n">
        <v>45190</v>
      </c>
      <c r="D3226" t="inlineStr">
        <is>
          <t>SKÅNE LÄN</t>
        </is>
      </c>
      <c r="E3226" t="inlineStr">
        <is>
          <t>SJÖBO</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3349-2023</t>
        </is>
      </c>
      <c r="B3227" s="1" t="n">
        <v>44949</v>
      </c>
      <c r="C3227" s="1" t="n">
        <v>45190</v>
      </c>
      <c r="D3227" t="inlineStr">
        <is>
          <t>SKÅNE LÄN</t>
        </is>
      </c>
      <c r="E3227" t="inlineStr">
        <is>
          <t>HÄSSLEHOLM</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3364-2023</t>
        </is>
      </c>
      <c r="B3228" s="1" t="n">
        <v>44949</v>
      </c>
      <c r="C3228" s="1" t="n">
        <v>45190</v>
      </c>
      <c r="D3228" t="inlineStr">
        <is>
          <t>SKÅNE LÄN</t>
        </is>
      </c>
      <c r="E3228" t="inlineStr">
        <is>
          <t>HÄSSLEHOLM</t>
        </is>
      </c>
      <c r="G3228" t="n">
        <v>5.1</v>
      </c>
      <c r="H3228" t="n">
        <v>0</v>
      </c>
      <c r="I3228" t="n">
        <v>0</v>
      </c>
      <c r="J3228" t="n">
        <v>0</v>
      </c>
      <c r="K3228" t="n">
        <v>0</v>
      </c>
      <c r="L3228" t="n">
        <v>0</v>
      </c>
      <c r="M3228" t="n">
        <v>0</v>
      </c>
      <c r="N3228" t="n">
        <v>0</v>
      </c>
      <c r="O3228" t="n">
        <v>0</v>
      </c>
      <c r="P3228" t="n">
        <v>0</v>
      </c>
      <c r="Q3228" t="n">
        <v>0</v>
      </c>
      <c r="R3228" s="2" t="inlineStr"/>
    </row>
    <row r="3229" ht="15" customHeight="1">
      <c r="A3229" t="inlineStr">
        <is>
          <t>A 3457-2023</t>
        </is>
      </c>
      <c r="B3229" s="1" t="n">
        <v>44949</v>
      </c>
      <c r="C3229" s="1" t="n">
        <v>45190</v>
      </c>
      <c r="D3229" t="inlineStr">
        <is>
          <t>SKÅNE LÄN</t>
        </is>
      </c>
      <c r="E3229" t="inlineStr">
        <is>
          <t>HÄSSLEHOLM</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3291-2023</t>
        </is>
      </c>
      <c r="B3230" s="1" t="n">
        <v>44949</v>
      </c>
      <c r="C3230" s="1" t="n">
        <v>45190</v>
      </c>
      <c r="D3230" t="inlineStr">
        <is>
          <t>SKÅNE LÄN</t>
        </is>
      </c>
      <c r="E3230" t="inlineStr">
        <is>
          <t>HÄSSLEHOLM</t>
        </is>
      </c>
      <c r="G3230" t="n">
        <v>3.6</v>
      </c>
      <c r="H3230" t="n">
        <v>0</v>
      </c>
      <c r="I3230" t="n">
        <v>0</v>
      </c>
      <c r="J3230" t="n">
        <v>0</v>
      </c>
      <c r="K3230" t="n">
        <v>0</v>
      </c>
      <c r="L3230" t="n">
        <v>0</v>
      </c>
      <c r="M3230" t="n">
        <v>0</v>
      </c>
      <c r="N3230" t="n">
        <v>0</v>
      </c>
      <c r="O3230" t="n">
        <v>0</v>
      </c>
      <c r="P3230" t="n">
        <v>0</v>
      </c>
      <c r="Q3230" t="n">
        <v>0</v>
      </c>
      <c r="R3230" s="2" t="inlineStr"/>
    </row>
    <row r="3231" ht="15" customHeight="1">
      <c r="A3231" t="inlineStr">
        <is>
          <t>A 3356-2023</t>
        </is>
      </c>
      <c r="B3231" s="1" t="n">
        <v>44949</v>
      </c>
      <c r="C3231" s="1" t="n">
        <v>45190</v>
      </c>
      <c r="D3231" t="inlineStr">
        <is>
          <t>SKÅNE LÄN</t>
        </is>
      </c>
      <c r="E3231" t="inlineStr">
        <is>
          <t>SJÖBO</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3455-2023</t>
        </is>
      </c>
      <c r="B3232" s="1" t="n">
        <v>44949</v>
      </c>
      <c r="C3232" s="1" t="n">
        <v>45190</v>
      </c>
      <c r="D3232" t="inlineStr">
        <is>
          <t>SKÅNE LÄN</t>
        </is>
      </c>
      <c r="E3232" t="inlineStr">
        <is>
          <t>HÄSSLEHOLM</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3325-2023</t>
        </is>
      </c>
      <c r="B3233" s="1" t="n">
        <v>44949</v>
      </c>
      <c r="C3233" s="1" t="n">
        <v>45190</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3452-2023</t>
        </is>
      </c>
      <c r="B3234" s="1" t="n">
        <v>44949</v>
      </c>
      <c r="C3234" s="1" t="n">
        <v>45190</v>
      </c>
      <c r="D3234" t="inlineStr">
        <is>
          <t>SKÅNE LÄN</t>
        </is>
      </c>
      <c r="E3234" t="inlineStr">
        <is>
          <t>HÄSSLEHOLM</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3747-2023</t>
        </is>
      </c>
      <c r="B3235" s="1" t="n">
        <v>44949</v>
      </c>
      <c r="C3235" s="1" t="n">
        <v>45190</v>
      </c>
      <c r="D3235" t="inlineStr">
        <is>
          <t>SKÅNE LÄN</t>
        </is>
      </c>
      <c r="E3235" t="inlineStr">
        <is>
          <t>ÖSTRA GÖINGE</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3531-2023</t>
        </is>
      </c>
      <c r="B3236" s="1" t="n">
        <v>44950</v>
      </c>
      <c r="C3236" s="1" t="n">
        <v>45190</v>
      </c>
      <c r="D3236" t="inlineStr">
        <is>
          <t>SKÅNE LÄN</t>
        </is>
      </c>
      <c r="E3236" t="inlineStr">
        <is>
          <t>HÄSSLEHOLM</t>
        </is>
      </c>
      <c r="G3236" t="n">
        <v>10.1</v>
      </c>
      <c r="H3236" t="n">
        <v>0</v>
      </c>
      <c r="I3236" t="n">
        <v>0</v>
      </c>
      <c r="J3236" t="n">
        <v>0</v>
      </c>
      <c r="K3236" t="n">
        <v>0</v>
      </c>
      <c r="L3236" t="n">
        <v>0</v>
      </c>
      <c r="M3236" t="n">
        <v>0</v>
      </c>
      <c r="N3236" t="n">
        <v>0</v>
      </c>
      <c r="O3236" t="n">
        <v>0</v>
      </c>
      <c r="P3236" t="n">
        <v>0</v>
      </c>
      <c r="Q3236" t="n">
        <v>0</v>
      </c>
      <c r="R3236" s="2" t="inlineStr"/>
    </row>
    <row r="3237" ht="15" customHeight="1">
      <c r="A3237" t="inlineStr">
        <is>
          <t>A 4677-2023</t>
        </is>
      </c>
      <c r="B3237" s="1" t="n">
        <v>44952</v>
      </c>
      <c r="C3237" s="1" t="n">
        <v>45190</v>
      </c>
      <c r="D3237" t="inlineStr">
        <is>
          <t>SKÅNE LÄN</t>
        </is>
      </c>
      <c r="E3237" t="inlineStr">
        <is>
          <t>TOMELILLA</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4109-2023</t>
        </is>
      </c>
      <c r="B3238" s="1" t="n">
        <v>44952</v>
      </c>
      <c r="C3238" s="1" t="n">
        <v>45190</v>
      </c>
      <c r="D3238" t="inlineStr">
        <is>
          <t>SKÅNE LÄN</t>
        </is>
      </c>
      <c r="E3238" t="inlineStr">
        <is>
          <t>ÄNGELHOLM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4655-2023</t>
        </is>
      </c>
      <c r="B3239" s="1" t="n">
        <v>44952</v>
      </c>
      <c r="C3239" s="1" t="n">
        <v>45190</v>
      </c>
      <c r="D3239" t="inlineStr">
        <is>
          <t>SKÅNE LÄN</t>
        </is>
      </c>
      <c r="E3239" t="inlineStr">
        <is>
          <t>KLIPPAN</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3932-2023</t>
        </is>
      </c>
      <c r="B3240" s="1" t="n">
        <v>44952</v>
      </c>
      <c r="C3240" s="1" t="n">
        <v>45190</v>
      </c>
      <c r="D3240" t="inlineStr">
        <is>
          <t>SKÅNE LÄN</t>
        </is>
      </c>
      <c r="E3240" t="inlineStr">
        <is>
          <t>ÖRKELLJUNGA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4159-2023</t>
        </is>
      </c>
      <c r="B3241" s="1" t="n">
        <v>44953</v>
      </c>
      <c r="C3241" s="1" t="n">
        <v>45190</v>
      </c>
      <c r="D3241" t="inlineStr">
        <is>
          <t>SKÅNE LÄN</t>
        </is>
      </c>
      <c r="E3241" t="inlineStr">
        <is>
          <t>ÅSTORP</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4189-2023</t>
        </is>
      </c>
      <c r="B3242" s="1" t="n">
        <v>44953</v>
      </c>
      <c r="C3242" s="1" t="n">
        <v>45190</v>
      </c>
      <c r="D3242" t="inlineStr">
        <is>
          <t>SKÅNE LÄN</t>
        </is>
      </c>
      <c r="E3242" t="inlineStr">
        <is>
          <t>KRISTIANSTAD</t>
        </is>
      </c>
      <c r="G3242" t="n">
        <v>7.9</v>
      </c>
      <c r="H3242" t="n">
        <v>0</v>
      </c>
      <c r="I3242" t="n">
        <v>0</v>
      </c>
      <c r="J3242" t="n">
        <v>0</v>
      </c>
      <c r="K3242" t="n">
        <v>0</v>
      </c>
      <c r="L3242" t="n">
        <v>0</v>
      </c>
      <c r="M3242" t="n">
        <v>0</v>
      </c>
      <c r="N3242" t="n">
        <v>0</v>
      </c>
      <c r="O3242" t="n">
        <v>0</v>
      </c>
      <c r="P3242" t="n">
        <v>0</v>
      </c>
      <c r="Q3242" t="n">
        <v>0</v>
      </c>
      <c r="R3242" s="2" t="inlineStr"/>
    </row>
    <row r="3243" ht="15" customHeight="1">
      <c r="A3243" t="inlineStr">
        <is>
          <t>A 4287-2023</t>
        </is>
      </c>
      <c r="B3243" s="1" t="n">
        <v>44953</v>
      </c>
      <c r="C3243" s="1" t="n">
        <v>45190</v>
      </c>
      <c r="D3243" t="inlineStr">
        <is>
          <t>SKÅNE LÄN</t>
        </is>
      </c>
      <c r="E3243" t="inlineStr">
        <is>
          <t>ÖSTRA GÖINGE</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4156-2023</t>
        </is>
      </c>
      <c r="B3244" s="1" t="n">
        <v>44953</v>
      </c>
      <c r="C3244" s="1" t="n">
        <v>45190</v>
      </c>
      <c r="D3244" t="inlineStr">
        <is>
          <t>SKÅNE LÄN</t>
        </is>
      </c>
      <c r="E3244" t="inlineStr">
        <is>
          <t>ÅSTORP</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4187-2023</t>
        </is>
      </c>
      <c r="B3245" s="1" t="n">
        <v>44953</v>
      </c>
      <c r="C3245" s="1" t="n">
        <v>45190</v>
      </c>
      <c r="D3245" t="inlineStr">
        <is>
          <t>SKÅNE LÄN</t>
        </is>
      </c>
      <c r="E3245" t="inlineStr">
        <is>
          <t>HÄSSLEHOLM</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4140-2023</t>
        </is>
      </c>
      <c r="B3246" s="1" t="n">
        <v>44953</v>
      </c>
      <c r="C3246" s="1" t="n">
        <v>45190</v>
      </c>
      <c r="D3246" t="inlineStr">
        <is>
          <t>SKÅNE LÄN</t>
        </is>
      </c>
      <c r="E3246" t="inlineStr">
        <is>
          <t>HÄSSLEHOLM</t>
        </is>
      </c>
      <c r="G3246" t="n">
        <v>10.6</v>
      </c>
      <c r="H3246" t="n">
        <v>0</v>
      </c>
      <c r="I3246" t="n">
        <v>0</v>
      </c>
      <c r="J3246" t="n">
        <v>0</v>
      </c>
      <c r="K3246" t="n">
        <v>0</v>
      </c>
      <c r="L3246" t="n">
        <v>0</v>
      </c>
      <c r="M3246" t="n">
        <v>0</v>
      </c>
      <c r="N3246" t="n">
        <v>0</v>
      </c>
      <c r="O3246" t="n">
        <v>0</v>
      </c>
      <c r="P3246" t="n">
        <v>0</v>
      </c>
      <c r="Q3246" t="n">
        <v>0</v>
      </c>
      <c r="R3246" s="2" t="inlineStr"/>
    </row>
    <row r="3247" ht="15" customHeight="1">
      <c r="A3247" t="inlineStr">
        <is>
          <t>A 4838-2023</t>
        </is>
      </c>
      <c r="B3247" s="1" t="n">
        <v>44957</v>
      </c>
      <c r="C3247" s="1" t="n">
        <v>45190</v>
      </c>
      <c r="D3247" t="inlineStr">
        <is>
          <t>SKÅNE LÄN</t>
        </is>
      </c>
      <c r="E3247" t="inlineStr">
        <is>
          <t>SVALÖV</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4831-2023</t>
        </is>
      </c>
      <c r="B3248" s="1" t="n">
        <v>44957</v>
      </c>
      <c r="C3248" s="1" t="n">
        <v>45190</v>
      </c>
      <c r="D3248" t="inlineStr">
        <is>
          <t>SKÅNE LÄN</t>
        </is>
      </c>
      <c r="E3248" t="inlineStr">
        <is>
          <t>SVALÖV</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4767-2023</t>
        </is>
      </c>
      <c r="B3249" s="1" t="n">
        <v>44957</v>
      </c>
      <c r="C3249" s="1" t="n">
        <v>45190</v>
      </c>
      <c r="D3249" t="inlineStr">
        <is>
          <t>SKÅNE LÄN</t>
        </is>
      </c>
      <c r="E3249" t="inlineStr">
        <is>
          <t>OSBY</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4822-2023</t>
        </is>
      </c>
      <c r="B3250" s="1" t="n">
        <v>44957</v>
      </c>
      <c r="C3250" s="1" t="n">
        <v>45190</v>
      </c>
      <c r="D3250" t="inlineStr">
        <is>
          <t>SKÅNE LÄN</t>
        </is>
      </c>
      <c r="E3250" t="inlineStr">
        <is>
          <t>BÅSTAD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5128-2023</t>
        </is>
      </c>
      <c r="B3251" s="1" t="n">
        <v>44958</v>
      </c>
      <c r="C3251" s="1" t="n">
        <v>45190</v>
      </c>
      <c r="D3251" t="inlineStr">
        <is>
          <t>SKÅNE LÄN</t>
        </is>
      </c>
      <c r="E3251" t="inlineStr">
        <is>
          <t>ÖSTRA GÖINGE</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5048-2023</t>
        </is>
      </c>
      <c r="B3252" s="1" t="n">
        <v>44958</v>
      </c>
      <c r="C3252" s="1" t="n">
        <v>45190</v>
      </c>
      <c r="D3252" t="inlineStr">
        <is>
          <t>SKÅNE LÄN</t>
        </is>
      </c>
      <c r="E3252" t="inlineStr">
        <is>
          <t>OSBY</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5130-2023</t>
        </is>
      </c>
      <c r="B3253" s="1" t="n">
        <v>44958</v>
      </c>
      <c r="C3253" s="1" t="n">
        <v>45190</v>
      </c>
      <c r="D3253" t="inlineStr">
        <is>
          <t>SKÅNE LÄN</t>
        </is>
      </c>
      <c r="E3253" t="inlineStr">
        <is>
          <t>ÖSTRA GÖINGE</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5869-2023</t>
        </is>
      </c>
      <c r="B3254" s="1" t="n">
        <v>44958</v>
      </c>
      <c r="C3254" s="1" t="n">
        <v>45190</v>
      </c>
      <c r="D3254" t="inlineStr">
        <is>
          <t>SKÅNE LÄN</t>
        </is>
      </c>
      <c r="E3254" t="inlineStr">
        <is>
          <t>ESLÖV</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5034-2023</t>
        </is>
      </c>
      <c r="B3255" s="1" t="n">
        <v>44958</v>
      </c>
      <c r="C3255" s="1" t="n">
        <v>45190</v>
      </c>
      <c r="D3255" t="inlineStr">
        <is>
          <t>SKÅNE LÄN</t>
        </is>
      </c>
      <c r="E3255" t="inlineStr">
        <is>
          <t>OSBY</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5754-2023</t>
        </is>
      </c>
      <c r="B3256" s="1" t="n">
        <v>44958</v>
      </c>
      <c r="C3256" s="1" t="n">
        <v>45190</v>
      </c>
      <c r="D3256" t="inlineStr">
        <is>
          <t>SKÅNE LÄN</t>
        </is>
      </c>
      <c r="E3256" t="inlineStr">
        <is>
          <t>HÄSSLEHOLM</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5136-2023</t>
        </is>
      </c>
      <c r="B3257" s="1" t="n">
        <v>44958</v>
      </c>
      <c r="C3257" s="1" t="n">
        <v>45190</v>
      </c>
      <c r="D3257" t="inlineStr">
        <is>
          <t>SKÅNE LÄN</t>
        </is>
      </c>
      <c r="E3257" t="inlineStr">
        <is>
          <t>ÖSTRA GÖINGE</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5751-2023</t>
        </is>
      </c>
      <c r="B3258" s="1" t="n">
        <v>44958</v>
      </c>
      <c r="C3258" s="1" t="n">
        <v>45190</v>
      </c>
      <c r="D3258" t="inlineStr">
        <is>
          <t>SKÅNE LÄN</t>
        </is>
      </c>
      <c r="E3258" t="inlineStr">
        <is>
          <t>HÖRBY</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5306-2023</t>
        </is>
      </c>
      <c r="B3259" s="1" t="n">
        <v>44959</v>
      </c>
      <c r="C3259" s="1" t="n">
        <v>45190</v>
      </c>
      <c r="D3259" t="inlineStr">
        <is>
          <t>SKÅNE LÄN</t>
        </is>
      </c>
      <c r="E3259" t="inlineStr">
        <is>
          <t>HÄSSLEHOLM</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6081-2023</t>
        </is>
      </c>
      <c r="B3260" s="1" t="n">
        <v>44959</v>
      </c>
      <c r="C3260" s="1" t="n">
        <v>45190</v>
      </c>
      <c r="D3260" t="inlineStr">
        <is>
          <t>SKÅNE LÄN</t>
        </is>
      </c>
      <c r="E3260" t="inlineStr">
        <is>
          <t>HÖRBY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5316-2023</t>
        </is>
      </c>
      <c r="B3261" s="1" t="n">
        <v>44959</v>
      </c>
      <c r="C3261" s="1" t="n">
        <v>45190</v>
      </c>
      <c r="D3261" t="inlineStr">
        <is>
          <t>SKÅNE LÄN</t>
        </is>
      </c>
      <c r="E3261" t="inlineStr">
        <is>
          <t>HÄSSLEHOLM</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5971-2023</t>
        </is>
      </c>
      <c r="B3262" s="1" t="n">
        <v>44959</v>
      </c>
      <c r="C3262" s="1" t="n">
        <v>45190</v>
      </c>
      <c r="D3262" t="inlineStr">
        <is>
          <t>SKÅNE LÄN</t>
        </is>
      </c>
      <c r="E3262" t="inlineStr">
        <is>
          <t>HÄSSLEHOLM</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6545-2023</t>
        </is>
      </c>
      <c r="B3263" s="1" t="n">
        <v>44960</v>
      </c>
      <c r="C3263" s="1" t="n">
        <v>45190</v>
      </c>
      <c r="D3263" t="inlineStr">
        <is>
          <t>SKÅNE LÄN</t>
        </is>
      </c>
      <c r="E3263" t="inlineStr">
        <is>
          <t>ESLÖV</t>
        </is>
      </c>
      <c r="G3263" t="n">
        <v>4.1</v>
      </c>
      <c r="H3263" t="n">
        <v>0</v>
      </c>
      <c r="I3263" t="n">
        <v>0</v>
      </c>
      <c r="J3263" t="n">
        <v>0</v>
      </c>
      <c r="K3263" t="n">
        <v>0</v>
      </c>
      <c r="L3263" t="n">
        <v>0</v>
      </c>
      <c r="M3263" t="n">
        <v>0</v>
      </c>
      <c r="N3263" t="n">
        <v>0</v>
      </c>
      <c r="O3263" t="n">
        <v>0</v>
      </c>
      <c r="P3263" t="n">
        <v>0</v>
      </c>
      <c r="Q3263" t="n">
        <v>0</v>
      </c>
      <c r="R3263" s="2" t="inlineStr"/>
    </row>
    <row r="3264" ht="15" customHeight="1">
      <c r="A3264" t="inlineStr">
        <is>
          <t>A 5502-2023</t>
        </is>
      </c>
      <c r="B3264" s="1" t="n">
        <v>44960</v>
      </c>
      <c r="C3264" s="1" t="n">
        <v>45190</v>
      </c>
      <c r="D3264" t="inlineStr">
        <is>
          <t>SKÅNE LÄN</t>
        </is>
      </c>
      <c r="E3264" t="inlineStr">
        <is>
          <t>HÄSSLEHOLM</t>
        </is>
      </c>
      <c r="F3264" t="inlineStr">
        <is>
          <t>Övriga Aktiebolag</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5723-2023</t>
        </is>
      </c>
      <c r="B3265" s="1" t="n">
        <v>44961</v>
      </c>
      <c r="C3265" s="1" t="n">
        <v>45190</v>
      </c>
      <c r="D3265" t="inlineStr">
        <is>
          <t>SKÅNE LÄN</t>
        </is>
      </c>
      <c r="E3265" t="inlineStr">
        <is>
          <t>KRISTIANSTAD</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5927-2023</t>
        </is>
      </c>
      <c r="B3266" s="1" t="n">
        <v>44963</v>
      </c>
      <c r="C3266" s="1" t="n">
        <v>45190</v>
      </c>
      <c r="D3266" t="inlineStr">
        <is>
          <t>SKÅNE LÄN</t>
        </is>
      </c>
      <c r="E3266" t="inlineStr">
        <is>
          <t>ÖRKELLJUNGA</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6094-2023</t>
        </is>
      </c>
      <c r="B3267" s="1" t="n">
        <v>44964</v>
      </c>
      <c r="C3267" s="1" t="n">
        <v>45190</v>
      </c>
      <c r="D3267" t="inlineStr">
        <is>
          <t>SKÅNE LÄN</t>
        </is>
      </c>
      <c r="E3267" t="inlineStr">
        <is>
          <t>ÖSTRA GÖINGE</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5974-2023</t>
        </is>
      </c>
      <c r="B3268" s="1" t="n">
        <v>44964</v>
      </c>
      <c r="C3268" s="1" t="n">
        <v>45190</v>
      </c>
      <c r="D3268" t="inlineStr">
        <is>
          <t>SKÅNE LÄN</t>
        </is>
      </c>
      <c r="E3268" t="inlineStr">
        <is>
          <t>KRISTIANSTAD</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5975-2023</t>
        </is>
      </c>
      <c r="B3269" s="1" t="n">
        <v>44964</v>
      </c>
      <c r="C3269" s="1" t="n">
        <v>45190</v>
      </c>
      <c r="D3269" t="inlineStr">
        <is>
          <t>SKÅNE LÄN</t>
        </is>
      </c>
      <c r="E3269" t="inlineStr">
        <is>
          <t>KRISTIANSTAD</t>
        </is>
      </c>
      <c r="F3269" t="inlineStr">
        <is>
          <t>Sveaskog</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6089-2023</t>
        </is>
      </c>
      <c r="B3270" s="1" t="n">
        <v>44964</v>
      </c>
      <c r="C3270" s="1" t="n">
        <v>45190</v>
      </c>
      <c r="D3270" t="inlineStr">
        <is>
          <t>SKÅNE LÄN</t>
        </is>
      </c>
      <c r="E3270" t="inlineStr">
        <is>
          <t>ÖSTRA GÖINGE</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7086-2023</t>
        </is>
      </c>
      <c r="B3271" s="1" t="n">
        <v>44965</v>
      </c>
      <c r="C3271" s="1" t="n">
        <v>45190</v>
      </c>
      <c r="D3271" t="inlineStr">
        <is>
          <t>SKÅNE LÄN</t>
        </is>
      </c>
      <c r="E3271" t="inlineStr">
        <is>
          <t>OSBY</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6248-2023</t>
        </is>
      </c>
      <c r="B3272" s="1" t="n">
        <v>44965</v>
      </c>
      <c r="C3272" s="1" t="n">
        <v>45190</v>
      </c>
      <c r="D3272" t="inlineStr">
        <is>
          <t>SKÅNE LÄN</t>
        </is>
      </c>
      <c r="E3272" t="inlineStr">
        <is>
          <t>KLIPPAN</t>
        </is>
      </c>
      <c r="F3272" t="inlineStr">
        <is>
          <t>Sveaskog</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6314-2023</t>
        </is>
      </c>
      <c r="B3273" s="1" t="n">
        <v>44965</v>
      </c>
      <c r="C3273" s="1" t="n">
        <v>45190</v>
      </c>
      <c r="D3273" t="inlineStr">
        <is>
          <t>SKÅNE LÄN</t>
        </is>
      </c>
      <c r="E3273" t="inlineStr">
        <is>
          <t>ÖSTRA GÖINGE</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6249-2023</t>
        </is>
      </c>
      <c r="B3274" s="1" t="n">
        <v>44965</v>
      </c>
      <c r="C3274" s="1" t="n">
        <v>45190</v>
      </c>
      <c r="D3274" t="inlineStr">
        <is>
          <t>SKÅNE LÄN</t>
        </is>
      </c>
      <c r="E3274" t="inlineStr">
        <is>
          <t>KLIPPAN</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7079-2023</t>
        </is>
      </c>
      <c r="B3275" s="1" t="n">
        <v>44965</v>
      </c>
      <c r="C3275" s="1" t="n">
        <v>45190</v>
      </c>
      <c r="D3275" t="inlineStr">
        <is>
          <t>SKÅNE LÄN</t>
        </is>
      </c>
      <c r="E3275" t="inlineStr">
        <is>
          <t>OSBY</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6698-2023</t>
        </is>
      </c>
      <c r="B3276" s="1" t="n">
        <v>44966</v>
      </c>
      <c r="C3276" s="1" t="n">
        <v>45190</v>
      </c>
      <c r="D3276" t="inlineStr">
        <is>
          <t>SKÅNE LÄN</t>
        </is>
      </c>
      <c r="E3276" t="inlineStr">
        <is>
          <t>OSBY</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6842-2023</t>
        </is>
      </c>
      <c r="B3277" s="1" t="n">
        <v>44967</v>
      </c>
      <c r="C3277" s="1" t="n">
        <v>45190</v>
      </c>
      <c r="D3277" t="inlineStr">
        <is>
          <t>SKÅNE LÄN</t>
        </is>
      </c>
      <c r="E3277" t="inlineStr">
        <is>
          <t>HÄSSLEHOLM</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6845-2023</t>
        </is>
      </c>
      <c r="B3278" s="1" t="n">
        <v>44967</v>
      </c>
      <c r="C3278" s="1" t="n">
        <v>45190</v>
      </c>
      <c r="D3278" t="inlineStr">
        <is>
          <t>SKÅNE LÄN</t>
        </is>
      </c>
      <c r="E3278" t="inlineStr">
        <is>
          <t>HÄSSLEHOLM</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6835-2023</t>
        </is>
      </c>
      <c r="B3279" s="1" t="n">
        <v>44967</v>
      </c>
      <c r="C3279" s="1" t="n">
        <v>45190</v>
      </c>
      <c r="D3279" t="inlineStr">
        <is>
          <t>SKÅNE LÄN</t>
        </is>
      </c>
      <c r="E3279" t="inlineStr">
        <is>
          <t>HÄSSLEHOLM</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6836-2023</t>
        </is>
      </c>
      <c r="B3280" s="1" t="n">
        <v>44967</v>
      </c>
      <c r="C3280" s="1" t="n">
        <v>45190</v>
      </c>
      <c r="D3280" t="inlineStr">
        <is>
          <t>SKÅNE LÄN</t>
        </is>
      </c>
      <c r="E3280" t="inlineStr">
        <is>
          <t>HÄSSLEHOLM</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7306-2023</t>
        </is>
      </c>
      <c r="B3281" s="1" t="n">
        <v>44970</v>
      </c>
      <c r="C3281" s="1" t="n">
        <v>45190</v>
      </c>
      <c r="D3281" t="inlineStr">
        <is>
          <t>SKÅNE LÄN</t>
        </is>
      </c>
      <c r="E3281" t="inlineStr">
        <is>
          <t>HÖÖR</t>
        </is>
      </c>
      <c r="G3281" t="n">
        <v>3.2</v>
      </c>
      <c r="H3281" t="n">
        <v>0</v>
      </c>
      <c r="I3281" t="n">
        <v>0</v>
      </c>
      <c r="J3281" t="n">
        <v>0</v>
      </c>
      <c r="K3281" t="n">
        <v>0</v>
      </c>
      <c r="L3281" t="n">
        <v>0</v>
      </c>
      <c r="M3281" t="n">
        <v>0</v>
      </c>
      <c r="N3281" t="n">
        <v>0</v>
      </c>
      <c r="O3281" t="n">
        <v>0</v>
      </c>
      <c r="P3281" t="n">
        <v>0</v>
      </c>
      <c r="Q3281" t="n">
        <v>0</v>
      </c>
      <c r="R3281" s="2" t="inlineStr"/>
    </row>
    <row r="3282" ht="15" customHeight="1">
      <c r="A3282" t="inlineStr">
        <is>
          <t>A 7481-2023</t>
        </is>
      </c>
      <c r="B3282" s="1" t="n">
        <v>44971</v>
      </c>
      <c r="C3282" s="1" t="n">
        <v>45190</v>
      </c>
      <c r="D3282" t="inlineStr">
        <is>
          <t>SKÅNE LÄN</t>
        </is>
      </c>
      <c r="E3282" t="inlineStr">
        <is>
          <t>HÄSSLEHOLM</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8378-2023</t>
        </is>
      </c>
      <c r="B3283" s="1" t="n">
        <v>44971</v>
      </c>
      <c r="C3283" s="1" t="n">
        <v>45190</v>
      </c>
      <c r="D3283" t="inlineStr">
        <is>
          <t>SKÅNE LÄN</t>
        </is>
      </c>
      <c r="E3283" t="inlineStr">
        <is>
          <t>HÄSSLEHOLM</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7340-2023</t>
        </is>
      </c>
      <c r="B3284" s="1" t="n">
        <v>44971</v>
      </c>
      <c r="C3284" s="1" t="n">
        <v>45190</v>
      </c>
      <c r="D3284" t="inlineStr">
        <is>
          <t>SKÅNE LÄN</t>
        </is>
      </c>
      <c r="E3284" t="inlineStr">
        <is>
          <t>SIMRISHAMN</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8204-2023</t>
        </is>
      </c>
      <c r="B3285" s="1" t="n">
        <v>44971</v>
      </c>
      <c r="C3285" s="1" t="n">
        <v>45190</v>
      </c>
      <c r="D3285" t="inlineStr">
        <is>
          <t>SKÅNE LÄN</t>
        </is>
      </c>
      <c r="E3285" t="inlineStr">
        <is>
          <t>ÖRKELLJUNGA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8208-2023</t>
        </is>
      </c>
      <c r="B3286" s="1" t="n">
        <v>44971</v>
      </c>
      <c r="C3286" s="1" t="n">
        <v>45190</v>
      </c>
      <c r="D3286" t="inlineStr">
        <is>
          <t>SKÅNE LÄN</t>
        </is>
      </c>
      <c r="E3286" t="inlineStr">
        <is>
          <t>KRISTIANSTAD</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7811-2023</t>
        </is>
      </c>
      <c r="B3287" s="1" t="n">
        <v>44973</v>
      </c>
      <c r="C3287" s="1" t="n">
        <v>45190</v>
      </c>
      <c r="D3287" t="inlineStr">
        <is>
          <t>SKÅNE LÄN</t>
        </is>
      </c>
      <c r="E3287" t="inlineStr">
        <is>
          <t>ÄNGELHOLM</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7762-2023</t>
        </is>
      </c>
      <c r="B3288" s="1" t="n">
        <v>44973</v>
      </c>
      <c r="C3288" s="1" t="n">
        <v>45190</v>
      </c>
      <c r="D3288" t="inlineStr">
        <is>
          <t>SKÅNE LÄN</t>
        </is>
      </c>
      <c r="E3288" t="inlineStr">
        <is>
          <t>ÄNGELHOLM</t>
        </is>
      </c>
      <c r="G3288" t="n">
        <v>4.4</v>
      </c>
      <c r="H3288" t="n">
        <v>0</v>
      </c>
      <c r="I3288" t="n">
        <v>0</v>
      </c>
      <c r="J3288" t="n">
        <v>0</v>
      </c>
      <c r="K3288" t="n">
        <v>0</v>
      </c>
      <c r="L3288" t="n">
        <v>0</v>
      </c>
      <c r="M3288" t="n">
        <v>0</v>
      </c>
      <c r="N3288" t="n">
        <v>0</v>
      </c>
      <c r="O3288" t="n">
        <v>0</v>
      </c>
      <c r="P3288" t="n">
        <v>0</v>
      </c>
      <c r="Q3288" t="n">
        <v>0</v>
      </c>
      <c r="R3288" s="2" t="inlineStr"/>
    </row>
    <row r="3289" ht="15" customHeight="1">
      <c r="A3289" t="inlineStr">
        <is>
          <t>A 8246-2023</t>
        </is>
      </c>
      <c r="B3289" s="1" t="n">
        <v>44974</v>
      </c>
      <c r="C3289" s="1" t="n">
        <v>45190</v>
      </c>
      <c r="D3289" t="inlineStr">
        <is>
          <t>SKÅNE LÄN</t>
        </is>
      </c>
      <c r="E3289" t="inlineStr">
        <is>
          <t>HÄSSLEHOLM</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8295-2023</t>
        </is>
      </c>
      <c r="B3290" s="1" t="n">
        <v>44974</v>
      </c>
      <c r="C3290" s="1" t="n">
        <v>45190</v>
      </c>
      <c r="D3290" t="inlineStr">
        <is>
          <t>SKÅNE LÄN</t>
        </is>
      </c>
      <c r="E3290" t="inlineStr">
        <is>
          <t>HÖÖR</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8925-2023</t>
        </is>
      </c>
      <c r="B3291" s="1" t="n">
        <v>44974</v>
      </c>
      <c r="C3291" s="1" t="n">
        <v>45190</v>
      </c>
      <c r="D3291" t="inlineStr">
        <is>
          <t>SKÅNE LÄN</t>
        </is>
      </c>
      <c r="E3291" t="inlineStr">
        <is>
          <t>SVALÖV</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8244-2023</t>
        </is>
      </c>
      <c r="B3292" s="1" t="n">
        <v>44974</v>
      </c>
      <c r="C3292" s="1" t="n">
        <v>45190</v>
      </c>
      <c r="D3292" t="inlineStr">
        <is>
          <t>SKÅNE LÄN</t>
        </is>
      </c>
      <c r="E3292" t="inlineStr">
        <is>
          <t>HÄSSLEHOLM</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8249-2023</t>
        </is>
      </c>
      <c r="B3293" s="1" t="n">
        <v>44974</v>
      </c>
      <c r="C3293" s="1" t="n">
        <v>45190</v>
      </c>
      <c r="D3293" t="inlineStr">
        <is>
          <t>SKÅNE LÄN</t>
        </is>
      </c>
      <c r="E3293" t="inlineStr">
        <is>
          <t>HÄSSLEHOLM</t>
        </is>
      </c>
      <c r="G3293" t="n">
        <v>5.8</v>
      </c>
      <c r="H3293" t="n">
        <v>0</v>
      </c>
      <c r="I3293" t="n">
        <v>0</v>
      </c>
      <c r="J3293" t="n">
        <v>0</v>
      </c>
      <c r="K3293" t="n">
        <v>0</v>
      </c>
      <c r="L3293" t="n">
        <v>0</v>
      </c>
      <c r="M3293" t="n">
        <v>0</v>
      </c>
      <c r="N3293" t="n">
        <v>0</v>
      </c>
      <c r="O3293" t="n">
        <v>0</v>
      </c>
      <c r="P3293" t="n">
        <v>0</v>
      </c>
      <c r="Q3293" t="n">
        <v>0</v>
      </c>
      <c r="R3293" s="2" t="inlineStr"/>
    </row>
    <row r="3294" ht="15" customHeight="1">
      <c r="A3294" t="inlineStr">
        <is>
          <t>A 8250-2023</t>
        </is>
      </c>
      <c r="B3294" s="1" t="n">
        <v>44974</v>
      </c>
      <c r="C3294" s="1" t="n">
        <v>45190</v>
      </c>
      <c r="D3294" t="inlineStr">
        <is>
          <t>SKÅNE LÄN</t>
        </is>
      </c>
      <c r="E3294" t="inlineStr">
        <is>
          <t>HÄSSLEHOLM</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8924-2023</t>
        </is>
      </c>
      <c r="B3295" s="1" t="n">
        <v>44974</v>
      </c>
      <c r="C3295" s="1" t="n">
        <v>45190</v>
      </c>
      <c r="D3295" t="inlineStr">
        <is>
          <t>SKÅNE LÄN</t>
        </is>
      </c>
      <c r="E3295" t="inlineStr">
        <is>
          <t>SVALÖV</t>
        </is>
      </c>
      <c r="G3295" t="n">
        <v>7</v>
      </c>
      <c r="H3295" t="n">
        <v>0</v>
      </c>
      <c r="I3295" t="n">
        <v>0</v>
      </c>
      <c r="J3295" t="n">
        <v>0</v>
      </c>
      <c r="K3295" t="n">
        <v>0</v>
      </c>
      <c r="L3295" t="n">
        <v>0</v>
      </c>
      <c r="M3295" t="n">
        <v>0</v>
      </c>
      <c r="N3295" t="n">
        <v>0</v>
      </c>
      <c r="O3295" t="n">
        <v>0</v>
      </c>
      <c r="P3295" t="n">
        <v>0</v>
      </c>
      <c r="Q3295" t="n">
        <v>0</v>
      </c>
      <c r="R3295" s="2" t="inlineStr"/>
    </row>
    <row r="3296" ht="15" customHeight="1">
      <c r="A3296" t="inlineStr">
        <is>
          <t>A 8367-2023</t>
        </is>
      </c>
      <c r="B3296" s="1" t="n">
        <v>44977</v>
      </c>
      <c r="C3296" s="1" t="n">
        <v>45190</v>
      </c>
      <c r="D3296" t="inlineStr">
        <is>
          <t>SKÅNE LÄN</t>
        </is>
      </c>
      <c r="E3296" t="inlineStr">
        <is>
          <t>ÖSTRA GÖINGE</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8380-2023</t>
        </is>
      </c>
      <c r="B3297" s="1" t="n">
        <v>44977</v>
      </c>
      <c r="C3297" s="1" t="n">
        <v>45190</v>
      </c>
      <c r="D3297" t="inlineStr">
        <is>
          <t>SKÅNE LÄN</t>
        </is>
      </c>
      <c r="E3297" t="inlineStr">
        <is>
          <t>ÖSTRA GÖINGE</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8568-2023</t>
        </is>
      </c>
      <c r="B3298" s="1" t="n">
        <v>44977</v>
      </c>
      <c r="C3298" s="1" t="n">
        <v>45190</v>
      </c>
      <c r="D3298" t="inlineStr">
        <is>
          <t>SKÅNE LÄN</t>
        </is>
      </c>
      <c r="E3298" t="inlineStr">
        <is>
          <t>SJÖBO</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8500-2023</t>
        </is>
      </c>
      <c r="B3299" s="1" t="n">
        <v>44977</v>
      </c>
      <c r="C3299" s="1" t="n">
        <v>45190</v>
      </c>
      <c r="D3299" t="inlineStr">
        <is>
          <t>SKÅNE LÄN</t>
        </is>
      </c>
      <c r="E3299" t="inlineStr">
        <is>
          <t>KLIPPAN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8565-2023</t>
        </is>
      </c>
      <c r="B3300" s="1" t="n">
        <v>44977</v>
      </c>
      <c r="C3300" s="1" t="n">
        <v>45190</v>
      </c>
      <c r="D3300" t="inlineStr">
        <is>
          <t>SKÅNE LÄN</t>
        </is>
      </c>
      <c r="E3300" t="inlineStr">
        <is>
          <t>PERSTORP</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8601-2023</t>
        </is>
      </c>
      <c r="B3301" s="1" t="n">
        <v>44977</v>
      </c>
      <c r="C3301" s="1" t="n">
        <v>45190</v>
      </c>
      <c r="D3301" t="inlineStr">
        <is>
          <t>SKÅNE LÄN</t>
        </is>
      </c>
      <c r="E3301" t="inlineStr">
        <is>
          <t>LUND</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8638-2023</t>
        </is>
      </c>
      <c r="B3302" s="1" t="n">
        <v>44977</v>
      </c>
      <c r="C3302" s="1" t="n">
        <v>45190</v>
      </c>
      <c r="D3302" t="inlineStr">
        <is>
          <t>SKÅNE LÄN</t>
        </is>
      </c>
      <c r="E3302" t="inlineStr">
        <is>
          <t>HÖÖR</t>
        </is>
      </c>
      <c r="G3302" t="n">
        <v>8.5</v>
      </c>
      <c r="H3302" t="n">
        <v>0</v>
      </c>
      <c r="I3302" t="n">
        <v>0</v>
      </c>
      <c r="J3302" t="n">
        <v>0</v>
      </c>
      <c r="K3302" t="n">
        <v>0</v>
      </c>
      <c r="L3302" t="n">
        <v>0</v>
      </c>
      <c r="M3302" t="n">
        <v>0</v>
      </c>
      <c r="N3302" t="n">
        <v>0</v>
      </c>
      <c r="O3302" t="n">
        <v>0</v>
      </c>
      <c r="P3302" t="n">
        <v>0</v>
      </c>
      <c r="Q3302" t="n">
        <v>0</v>
      </c>
      <c r="R3302" s="2" t="inlineStr"/>
    </row>
    <row r="3303" ht="15" customHeight="1">
      <c r="A3303" t="inlineStr">
        <is>
          <t>A 8721-2023</t>
        </is>
      </c>
      <c r="B3303" s="1" t="n">
        <v>44978</v>
      </c>
      <c r="C3303" s="1" t="n">
        <v>45190</v>
      </c>
      <c r="D3303" t="inlineStr">
        <is>
          <t>SKÅNE LÄN</t>
        </is>
      </c>
      <c r="E3303" t="inlineStr">
        <is>
          <t>SIMRISHAMN</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9670-2023</t>
        </is>
      </c>
      <c r="B3304" s="1" t="n">
        <v>44978</v>
      </c>
      <c r="C3304" s="1" t="n">
        <v>45190</v>
      </c>
      <c r="D3304" t="inlineStr">
        <is>
          <t>SKÅNE LÄN</t>
        </is>
      </c>
      <c r="E3304" t="inlineStr">
        <is>
          <t>OSBY</t>
        </is>
      </c>
      <c r="F3304" t="inlineStr">
        <is>
          <t>Naturvårdsverket</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10123-2023</t>
        </is>
      </c>
      <c r="B3305" s="1" t="n">
        <v>44980</v>
      </c>
      <c r="C3305" s="1" t="n">
        <v>45190</v>
      </c>
      <c r="D3305" t="inlineStr">
        <is>
          <t>SKÅNE LÄN</t>
        </is>
      </c>
      <c r="E3305" t="inlineStr">
        <is>
          <t>ESLÖV</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9482-2023</t>
        </is>
      </c>
      <c r="B3306" s="1" t="n">
        <v>44981</v>
      </c>
      <c r="C3306" s="1" t="n">
        <v>45190</v>
      </c>
      <c r="D3306" t="inlineStr">
        <is>
          <t>SKÅNE LÄN</t>
        </is>
      </c>
      <c r="E3306" t="inlineStr">
        <is>
          <t>ESLÖV</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9537-2023</t>
        </is>
      </c>
      <c r="B3307" s="1" t="n">
        <v>44981</v>
      </c>
      <c r="C3307" s="1" t="n">
        <v>45190</v>
      </c>
      <c r="D3307" t="inlineStr">
        <is>
          <t>SKÅNE LÄN</t>
        </is>
      </c>
      <c r="E3307" t="inlineStr">
        <is>
          <t>ÖSTRA GÖINGE</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9487-2023</t>
        </is>
      </c>
      <c r="B3308" s="1" t="n">
        <v>44981</v>
      </c>
      <c r="C3308" s="1" t="n">
        <v>45190</v>
      </c>
      <c r="D3308" t="inlineStr">
        <is>
          <t>SKÅNE LÄN</t>
        </is>
      </c>
      <c r="E3308" t="inlineStr">
        <is>
          <t>ESLÖV</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10452-2023</t>
        </is>
      </c>
      <c r="B3309" s="1" t="n">
        <v>44981</v>
      </c>
      <c r="C3309" s="1" t="n">
        <v>45190</v>
      </c>
      <c r="D3309" t="inlineStr">
        <is>
          <t>SKÅNE LÄN</t>
        </is>
      </c>
      <c r="E3309" t="inlineStr">
        <is>
          <t>HÖÖR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9368-2023</t>
        </is>
      </c>
      <c r="B3310" s="1" t="n">
        <v>44981</v>
      </c>
      <c r="C3310" s="1" t="n">
        <v>45190</v>
      </c>
      <c r="D3310" t="inlineStr">
        <is>
          <t>SKÅNE LÄN</t>
        </is>
      </c>
      <c r="E3310" t="inlineStr">
        <is>
          <t>PERSTORP</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9375-2023</t>
        </is>
      </c>
      <c r="B3311" s="1" t="n">
        <v>44981</v>
      </c>
      <c r="C3311" s="1" t="n">
        <v>45190</v>
      </c>
      <c r="D3311" t="inlineStr">
        <is>
          <t>SKÅNE LÄN</t>
        </is>
      </c>
      <c r="E3311" t="inlineStr">
        <is>
          <t>HÄSSLEHOLM</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9484-2023</t>
        </is>
      </c>
      <c r="B3312" s="1" t="n">
        <v>44981</v>
      </c>
      <c r="C3312" s="1" t="n">
        <v>45190</v>
      </c>
      <c r="D3312" t="inlineStr">
        <is>
          <t>SKÅNE LÄN</t>
        </is>
      </c>
      <c r="E3312" t="inlineStr">
        <is>
          <t>ESLÖV</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9691-2023</t>
        </is>
      </c>
      <c r="B3313" s="1" t="n">
        <v>44984</v>
      </c>
      <c r="C3313" s="1" t="n">
        <v>45190</v>
      </c>
      <c r="D3313" t="inlineStr">
        <is>
          <t>SKÅNE LÄN</t>
        </is>
      </c>
      <c r="E3313" t="inlineStr">
        <is>
          <t>ÖRKELLJUNGA</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9696-2023</t>
        </is>
      </c>
      <c r="B3314" s="1" t="n">
        <v>44984</v>
      </c>
      <c r="C3314" s="1" t="n">
        <v>45190</v>
      </c>
      <c r="D3314" t="inlineStr">
        <is>
          <t>SKÅNE LÄN</t>
        </is>
      </c>
      <c r="E3314" t="inlineStr">
        <is>
          <t>ÖRKELLJUNGA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9695-2023</t>
        </is>
      </c>
      <c r="B3315" s="1" t="n">
        <v>44984</v>
      </c>
      <c r="C3315" s="1" t="n">
        <v>45190</v>
      </c>
      <c r="D3315" t="inlineStr">
        <is>
          <t>SKÅNE LÄN</t>
        </is>
      </c>
      <c r="E3315" t="inlineStr">
        <is>
          <t>ÖRKELLJUNGA</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9686-2023</t>
        </is>
      </c>
      <c r="B3316" s="1" t="n">
        <v>44984</v>
      </c>
      <c r="C3316" s="1" t="n">
        <v>45190</v>
      </c>
      <c r="D3316" t="inlineStr">
        <is>
          <t>SKÅNE LÄN</t>
        </is>
      </c>
      <c r="E3316" t="inlineStr">
        <is>
          <t>ESLÖV</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9693-2023</t>
        </is>
      </c>
      <c r="B3317" s="1" t="n">
        <v>44984</v>
      </c>
      <c r="C3317" s="1" t="n">
        <v>45190</v>
      </c>
      <c r="D3317" t="inlineStr">
        <is>
          <t>SKÅNE LÄN</t>
        </is>
      </c>
      <c r="E3317" t="inlineStr">
        <is>
          <t>ÖRKELLJUNGA</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9701-2023</t>
        </is>
      </c>
      <c r="B3318" s="1" t="n">
        <v>44984</v>
      </c>
      <c r="C3318" s="1" t="n">
        <v>45190</v>
      </c>
      <c r="D3318" t="inlineStr">
        <is>
          <t>SKÅNE LÄN</t>
        </is>
      </c>
      <c r="E3318" t="inlineStr">
        <is>
          <t>HÖÖR</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9750-2023</t>
        </is>
      </c>
      <c r="B3319" s="1" t="n">
        <v>44984</v>
      </c>
      <c r="C3319" s="1" t="n">
        <v>45190</v>
      </c>
      <c r="D3319" t="inlineStr">
        <is>
          <t>SKÅNE LÄN</t>
        </is>
      </c>
      <c r="E3319" t="inlineStr">
        <is>
          <t>KRISTIANSTAD</t>
        </is>
      </c>
      <c r="G3319" t="n">
        <v>5.7</v>
      </c>
      <c r="H3319" t="n">
        <v>0</v>
      </c>
      <c r="I3319" t="n">
        <v>0</v>
      </c>
      <c r="J3319" t="n">
        <v>0</v>
      </c>
      <c r="K3319" t="n">
        <v>0</v>
      </c>
      <c r="L3319" t="n">
        <v>0</v>
      </c>
      <c r="M3319" t="n">
        <v>0</v>
      </c>
      <c r="N3319" t="n">
        <v>0</v>
      </c>
      <c r="O3319" t="n">
        <v>0</v>
      </c>
      <c r="P3319" t="n">
        <v>0</v>
      </c>
      <c r="Q3319" t="n">
        <v>0</v>
      </c>
      <c r="R3319" s="2" t="inlineStr"/>
    </row>
    <row r="3320" ht="15" customHeight="1">
      <c r="A3320" t="inlineStr">
        <is>
          <t>A 9809-2023</t>
        </is>
      </c>
      <c r="B3320" s="1" t="n">
        <v>44984</v>
      </c>
      <c r="C3320" s="1" t="n">
        <v>45190</v>
      </c>
      <c r="D3320" t="inlineStr">
        <is>
          <t>SKÅNE LÄN</t>
        </is>
      </c>
      <c r="E3320" t="inlineStr">
        <is>
          <t>HÖRBY</t>
        </is>
      </c>
      <c r="F3320" t="inlineStr">
        <is>
          <t>Sveaskog</t>
        </is>
      </c>
      <c r="G3320" t="n">
        <v>4.6</v>
      </c>
      <c r="H3320" t="n">
        <v>0</v>
      </c>
      <c r="I3320" t="n">
        <v>0</v>
      </c>
      <c r="J3320" t="n">
        <v>0</v>
      </c>
      <c r="K3320" t="n">
        <v>0</v>
      </c>
      <c r="L3320" t="n">
        <v>0</v>
      </c>
      <c r="M3320" t="n">
        <v>0</v>
      </c>
      <c r="N3320" t="n">
        <v>0</v>
      </c>
      <c r="O3320" t="n">
        <v>0</v>
      </c>
      <c r="P3320" t="n">
        <v>0</v>
      </c>
      <c r="Q3320" t="n">
        <v>0</v>
      </c>
      <c r="R3320" s="2" t="inlineStr"/>
    </row>
    <row r="3321" ht="15" customHeight="1">
      <c r="A3321" t="inlineStr">
        <is>
          <t>A 10748-2023</t>
        </is>
      </c>
      <c r="B3321" s="1" t="n">
        <v>44984</v>
      </c>
      <c r="C3321" s="1" t="n">
        <v>45190</v>
      </c>
      <c r="D3321" t="inlineStr">
        <is>
          <t>SKÅNE LÄN</t>
        </is>
      </c>
      <c r="E3321" t="inlineStr">
        <is>
          <t>KRISTIANSTAD</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9684-2023</t>
        </is>
      </c>
      <c r="B3322" s="1" t="n">
        <v>44984</v>
      </c>
      <c r="C3322" s="1" t="n">
        <v>45190</v>
      </c>
      <c r="D3322" t="inlineStr">
        <is>
          <t>SKÅNE LÄN</t>
        </is>
      </c>
      <c r="E3322" t="inlineStr">
        <is>
          <t>KRISTIANSTAD</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9692-2023</t>
        </is>
      </c>
      <c r="B3323" s="1" t="n">
        <v>44984</v>
      </c>
      <c r="C3323" s="1" t="n">
        <v>45190</v>
      </c>
      <c r="D3323" t="inlineStr">
        <is>
          <t>SKÅNE LÄN</t>
        </is>
      </c>
      <c r="E3323" t="inlineStr">
        <is>
          <t>HÄSSLEHOLM</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9697-2023</t>
        </is>
      </c>
      <c r="B3324" s="1" t="n">
        <v>44984</v>
      </c>
      <c r="C3324" s="1" t="n">
        <v>45190</v>
      </c>
      <c r="D3324" t="inlineStr">
        <is>
          <t>SKÅNE LÄN</t>
        </is>
      </c>
      <c r="E3324" t="inlineStr">
        <is>
          <t>HÄSSLEHOLM</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9760-2023</t>
        </is>
      </c>
      <c r="B3325" s="1" t="n">
        <v>44984</v>
      </c>
      <c r="C3325" s="1" t="n">
        <v>45190</v>
      </c>
      <c r="D3325" t="inlineStr">
        <is>
          <t>SKÅNE LÄN</t>
        </is>
      </c>
      <c r="E3325" t="inlineStr">
        <is>
          <t>KRISTIANSTAD</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9794-2023</t>
        </is>
      </c>
      <c r="B3326" s="1" t="n">
        <v>44984</v>
      </c>
      <c r="C3326" s="1" t="n">
        <v>45190</v>
      </c>
      <c r="D3326" t="inlineStr">
        <is>
          <t>SKÅNE LÄN</t>
        </is>
      </c>
      <c r="E3326" t="inlineStr">
        <is>
          <t>KRISTIANSTAD</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10897-2023</t>
        </is>
      </c>
      <c r="B3327" s="1" t="n">
        <v>44985</v>
      </c>
      <c r="C3327" s="1" t="n">
        <v>45190</v>
      </c>
      <c r="D3327" t="inlineStr">
        <is>
          <t>SKÅNE LÄN</t>
        </is>
      </c>
      <c r="E3327" t="inlineStr">
        <is>
          <t>HÄSSLEHOLM</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10058-2023</t>
        </is>
      </c>
      <c r="B3328" s="1" t="n">
        <v>44985</v>
      </c>
      <c r="C3328" s="1" t="n">
        <v>45190</v>
      </c>
      <c r="D3328" t="inlineStr">
        <is>
          <t>SKÅNE LÄN</t>
        </is>
      </c>
      <c r="E3328" t="inlineStr">
        <is>
          <t>KRISTIANSTAD</t>
        </is>
      </c>
      <c r="G3328" t="n">
        <v>5.8</v>
      </c>
      <c r="H3328" t="n">
        <v>0</v>
      </c>
      <c r="I3328" t="n">
        <v>0</v>
      </c>
      <c r="J3328" t="n">
        <v>0</v>
      </c>
      <c r="K3328" t="n">
        <v>0</v>
      </c>
      <c r="L3328" t="n">
        <v>0</v>
      </c>
      <c r="M3328" t="n">
        <v>0</v>
      </c>
      <c r="N3328" t="n">
        <v>0</v>
      </c>
      <c r="O3328" t="n">
        <v>0</v>
      </c>
      <c r="P3328" t="n">
        <v>0</v>
      </c>
      <c r="Q3328" t="n">
        <v>0</v>
      </c>
      <c r="R3328" s="2" t="inlineStr"/>
    </row>
    <row r="3329" ht="15" customHeight="1">
      <c r="A3329" t="inlineStr">
        <is>
          <t>A 10277-2023</t>
        </is>
      </c>
      <c r="B3329" s="1" t="n">
        <v>44986</v>
      </c>
      <c r="C3329" s="1" t="n">
        <v>45190</v>
      </c>
      <c r="D3329" t="inlineStr">
        <is>
          <t>SKÅNE LÄN</t>
        </is>
      </c>
      <c r="E3329" t="inlineStr">
        <is>
          <t>HÄSSLEHOLM</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10290-2023</t>
        </is>
      </c>
      <c r="B3330" s="1" t="n">
        <v>44986</v>
      </c>
      <c r="C3330" s="1" t="n">
        <v>45190</v>
      </c>
      <c r="D3330" t="inlineStr">
        <is>
          <t>SKÅNE LÄN</t>
        </is>
      </c>
      <c r="E3330" t="inlineStr">
        <is>
          <t>HÄSSLEHOLM</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11121-2023</t>
        </is>
      </c>
      <c r="B3331" s="1" t="n">
        <v>44986</v>
      </c>
      <c r="C3331" s="1" t="n">
        <v>45190</v>
      </c>
      <c r="D3331" t="inlineStr">
        <is>
          <t>SKÅNE LÄN</t>
        </is>
      </c>
      <c r="E3331" t="inlineStr">
        <is>
          <t>HÄSSLEHOLM</t>
        </is>
      </c>
      <c r="F3331" t="inlineStr">
        <is>
          <t>Kommuner</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10217-2023</t>
        </is>
      </c>
      <c r="B3332" s="1" t="n">
        <v>44986</v>
      </c>
      <c r="C3332" s="1" t="n">
        <v>45190</v>
      </c>
      <c r="D3332" t="inlineStr">
        <is>
          <t>SKÅNE LÄN</t>
        </is>
      </c>
      <c r="E3332" t="inlineStr">
        <is>
          <t>BJUV</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10209-2023</t>
        </is>
      </c>
      <c r="B3333" s="1" t="n">
        <v>44986</v>
      </c>
      <c r="C3333" s="1" t="n">
        <v>45190</v>
      </c>
      <c r="D3333" t="inlineStr">
        <is>
          <t>SKÅNE LÄN</t>
        </is>
      </c>
      <c r="E3333" t="inlineStr">
        <is>
          <t>SVALÖV</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10272-2023</t>
        </is>
      </c>
      <c r="B3334" s="1" t="n">
        <v>44986</v>
      </c>
      <c r="C3334" s="1" t="n">
        <v>45190</v>
      </c>
      <c r="D3334" t="inlineStr">
        <is>
          <t>SKÅNE LÄN</t>
        </is>
      </c>
      <c r="E3334" t="inlineStr">
        <is>
          <t>TOMELILLA</t>
        </is>
      </c>
      <c r="F3334" t="inlineStr">
        <is>
          <t>Övriga Aktiebolag</t>
        </is>
      </c>
      <c r="G3334" t="n">
        <v>7.7</v>
      </c>
      <c r="H3334" t="n">
        <v>0</v>
      </c>
      <c r="I3334" t="n">
        <v>0</v>
      </c>
      <c r="J3334" t="n">
        <v>0</v>
      </c>
      <c r="K3334" t="n">
        <v>0</v>
      </c>
      <c r="L3334" t="n">
        <v>0</v>
      </c>
      <c r="M3334" t="n">
        <v>0</v>
      </c>
      <c r="N3334" t="n">
        <v>0</v>
      </c>
      <c r="O3334" t="n">
        <v>0</v>
      </c>
      <c r="P3334" t="n">
        <v>0</v>
      </c>
      <c r="Q3334" t="n">
        <v>0</v>
      </c>
      <c r="R3334" s="2" t="inlineStr"/>
    </row>
    <row r="3335" ht="15" customHeight="1">
      <c r="A3335" t="inlineStr">
        <is>
          <t>A 10270-2023</t>
        </is>
      </c>
      <c r="B3335" s="1" t="n">
        <v>44986</v>
      </c>
      <c r="C3335" s="1" t="n">
        <v>45190</v>
      </c>
      <c r="D3335" t="inlineStr">
        <is>
          <t>SKÅNE LÄN</t>
        </is>
      </c>
      <c r="E3335" t="inlineStr">
        <is>
          <t>HÄSSLEHOLM</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11101-2023</t>
        </is>
      </c>
      <c r="B3336" s="1" t="n">
        <v>44986</v>
      </c>
      <c r="C3336" s="1" t="n">
        <v>45190</v>
      </c>
      <c r="D3336" t="inlineStr">
        <is>
          <t>SKÅNE LÄN</t>
        </is>
      </c>
      <c r="E3336" t="inlineStr">
        <is>
          <t>SVALÖV</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11116-2023</t>
        </is>
      </c>
      <c r="B3337" s="1" t="n">
        <v>44986</v>
      </c>
      <c r="C3337" s="1" t="n">
        <v>45190</v>
      </c>
      <c r="D3337" t="inlineStr">
        <is>
          <t>SKÅNE LÄN</t>
        </is>
      </c>
      <c r="E3337" t="inlineStr">
        <is>
          <t>HÄSSLEHOLM</t>
        </is>
      </c>
      <c r="F3337" t="inlineStr">
        <is>
          <t>Kommuner</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10389-2023</t>
        </is>
      </c>
      <c r="B3338" s="1" t="n">
        <v>44987</v>
      </c>
      <c r="C3338" s="1" t="n">
        <v>45190</v>
      </c>
      <c r="D3338" t="inlineStr">
        <is>
          <t>SKÅNE LÄN</t>
        </is>
      </c>
      <c r="E3338" t="inlineStr">
        <is>
          <t>HÄSSLEHOLM</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11170-2023</t>
        </is>
      </c>
      <c r="B3339" s="1" t="n">
        <v>44987</v>
      </c>
      <c r="C3339" s="1" t="n">
        <v>45190</v>
      </c>
      <c r="D3339" t="inlineStr">
        <is>
          <t>SKÅNE LÄN</t>
        </is>
      </c>
      <c r="E3339" t="inlineStr">
        <is>
          <t>SVALÖV</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11177-2023</t>
        </is>
      </c>
      <c r="B3340" s="1" t="n">
        <v>44987</v>
      </c>
      <c r="C3340" s="1" t="n">
        <v>45190</v>
      </c>
      <c r="D3340" t="inlineStr">
        <is>
          <t>SKÅNE LÄN</t>
        </is>
      </c>
      <c r="E3340" t="inlineStr">
        <is>
          <t>SVALÖV</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10695-2023</t>
        </is>
      </c>
      <c r="B3341" s="1" t="n">
        <v>44988</v>
      </c>
      <c r="C3341" s="1" t="n">
        <v>45190</v>
      </c>
      <c r="D3341" t="inlineStr">
        <is>
          <t>SKÅNE LÄN</t>
        </is>
      </c>
      <c r="E3341" t="inlineStr">
        <is>
          <t>KLIPPAN</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10580-2023</t>
        </is>
      </c>
      <c r="B3342" s="1" t="n">
        <v>44988</v>
      </c>
      <c r="C3342" s="1" t="n">
        <v>45190</v>
      </c>
      <c r="D3342" t="inlineStr">
        <is>
          <t>SKÅNE LÄN</t>
        </is>
      </c>
      <c r="E3342" t="inlineStr">
        <is>
          <t>KRISTIANSTAD</t>
        </is>
      </c>
      <c r="F3342" t="inlineStr">
        <is>
          <t>Övriga Aktiebolag</t>
        </is>
      </c>
      <c r="G3342" t="n">
        <v>3.2</v>
      </c>
      <c r="H3342" t="n">
        <v>0</v>
      </c>
      <c r="I3342" t="n">
        <v>0</v>
      </c>
      <c r="J3342" t="n">
        <v>0</v>
      </c>
      <c r="K3342" t="n">
        <v>0</v>
      </c>
      <c r="L3342" t="n">
        <v>0</v>
      </c>
      <c r="M3342" t="n">
        <v>0</v>
      </c>
      <c r="N3342" t="n">
        <v>0</v>
      </c>
      <c r="O3342" t="n">
        <v>0</v>
      </c>
      <c r="P3342" t="n">
        <v>0</v>
      </c>
      <c r="Q3342" t="n">
        <v>0</v>
      </c>
      <c r="R3342" s="2" t="inlineStr"/>
    </row>
    <row r="3343" ht="15" customHeight="1">
      <c r="A3343" t="inlineStr">
        <is>
          <t>A 10971-2023</t>
        </is>
      </c>
      <c r="B3343" s="1" t="n">
        <v>44991</v>
      </c>
      <c r="C3343" s="1" t="n">
        <v>45190</v>
      </c>
      <c r="D3343" t="inlineStr">
        <is>
          <t>SKÅNE LÄN</t>
        </is>
      </c>
      <c r="E3343" t="inlineStr">
        <is>
          <t>KRISTIANSTAD</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11491-2023</t>
        </is>
      </c>
      <c r="B3344" s="1" t="n">
        <v>44991</v>
      </c>
      <c r="C3344" s="1" t="n">
        <v>45190</v>
      </c>
      <c r="D3344" t="inlineStr">
        <is>
          <t>SKÅNE LÄN</t>
        </is>
      </c>
      <c r="E3344" t="inlineStr">
        <is>
          <t>SVALÖV</t>
        </is>
      </c>
      <c r="G3344" t="n">
        <v>2.8</v>
      </c>
      <c r="H3344" t="n">
        <v>0</v>
      </c>
      <c r="I3344" t="n">
        <v>0</v>
      </c>
      <c r="J3344" t="n">
        <v>0</v>
      </c>
      <c r="K3344" t="n">
        <v>0</v>
      </c>
      <c r="L3344" t="n">
        <v>0</v>
      </c>
      <c r="M3344" t="n">
        <v>0</v>
      </c>
      <c r="N3344" t="n">
        <v>0</v>
      </c>
      <c r="O3344" t="n">
        <v>0</v>
      </c>
      <c r="P3344" t="n">
        <v>0</v>
      </c>
      <c r="Q3344" t="n">
        <v>0</v>
      </c>
      <c r="R3344" s="2" t="inlineStr"/>
    </row>
    <row r="3345" ht="15" customHeight="1">
      <c r="A3345" t="inlineStr">
        <is>
          <t>A 11002-2023</t>
        </is>
      </c>
      <c r="B3345" s="1" t="n">
        <v>44991</v>
      </c>
      <c r="C3345" s="1" t="n">
        <v>45190</v>
      </c>
      <c r="D3345" t="inlineStr">
        <is>
          <t>SKÅNE LÄN</t>
        </is>
      </c>
      <c r="E3345" t="inlineStr">
        <is>
          <t>TOMELILLA</t>
        </is>
      </c>
      <c r="F3345" t="inlineStr">
        <is>
          <t>Övriga Aktiebolag</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10988-2023</t>
        </is>
      </c>
      <c r="B3346" s="1" t="n">
        <v>44991</v>
      </c>
      <c r="C3346" s="1" t="n">
        <v>45190</v>
      </c>
      <c r="D3346" t="inlineStr">
        <is>
          <t>SKÅNE LÄN</t>
        </is>
      </c>
      <c r="E3346" t="inlineStr">
        <is>
          <t>KRISTIANSTAD</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11497-2023</t>
        </is>
      </c>
      <c r="B3347" s="1" t="n">
        <v>44991</v>
      </c>
      <c r="C3347" s="1" t="n">
        <v>45190</v>
      </c>
      <c r="D3347" t="inlineStr">
        <is>
          <t>SKÅNE LÄN</t>
        </is>
      </c>
      <c r="E3347" t="inlineStr">
        <is>
          <t>KLIPPAN</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11240-2023</t>
        </is>
      </c>
      <c r="B3348" s="1" t="n">
        <v>44992</v>
      </c>
      <c r="C3348" s="1" t="n">
        <v>45190</v>
      </c>
      <c r="D3348" t="inlineStr">
        <is>
          <t>SKÅNE LÄN</t>
        </is>
      </c>
      <c r="E3348" t="inlineStr">
        <is>
          <t>HÄSSLEHOLM</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11663-2023</t>
        </is>
      </c>
      <c r="B3349" s="1" t="n">
        <v>44992</v>
      </c>
      <c r="C3349" s="1" t="n">
        <v>45190</v>
      </c>
      <c r="D3349" t="inlineStr">
        <is>
          <t>SKÅNE LÄN</t>
        </is>
      </c>
      <c r="E3349" t="inlineStr">
        <is>
          <t>PERSTORP</t>
        </is>
      </c>
      <c r="F3349" t="inlineStr">
        <is>
          <t>Övriga Aktiebolag</t>
        </is>
      </c>
      <c r="G3349" t="n">
        <v>7.6</v>
      </c>
      <c r="H3349" t="n">
        <v>0</v>
      </c>
      <c r="I3349" t="n">
        <v>0</v>
      </c>
      <c r="J3349" t="n">
        <v>0</v>
      </c>
      <c r="K3349" t="n">
        <v>0</v>
      </c>
      <c r="L3349" t="n">
        <v>0</v>
      </c>
      <c r="M3349" t="n">
        <v>0</v>
      </c>
      <c r="N3349" t="n">
        <v>0</v>
      </c>
      <c r="O3349" t="n">
        <v>0</v>
      </c>
      <c r="P3349" t="n">
        <v>0</v>
      </c>
      <c r="Q3349" t="n">
        <v>0</v>
      </c>
      <c r="R3349" s="2" t="inlineStr"/>
    </row>
    <row r="3350" ht="15" customHeight="1">
      <c r="A3350" t="inlineStr">
        <is>
          <t>A 11669-2023</t>
        </is>
      </c>
      <c r="B3350" s="1" t="n">
        <v>44992</v>
      </c>
      <c r="C3350" s="1" t="n">
        <v>45190</v>
      </c>
      <c r="D3350" t="inlineStr">
        <is>
          <t>SKÅNE LÄN</t>
        </is>
      </c>
      <c r="E3350" t="inlineStr">
        <is>
          <t>PERSTORP</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11237-2023</t>
        </is>
      </c>
      <c r="B3351" s="1" t="n">
        <v>44992</v>
      </c>
      <c r="C3351" s="1" t="n">
        <v>45190</v>
      </c>
      <c r="D3351" t="inlineStr">
        <is>
          <t>SKÅNE LÄN</t>
        </is>
      </c>
      <c r="E3351" t="inlineStr">
        <is>
          <t>HÄSSLEHOLM</t>
        </is>
      </c>
      <c r="G3351" t="n">
        <v>5.8</v>
      </c>
      <c r="H3351" t="n">
        <v>0</v>
      </c>
      <c r="I3351" t="n">
        <v>0</v>
      </c>
      <c r="J3351" t="n">
        <v>0</v>
      </c>
      <c r="K3351" t="n">
        <v>0</v>
      </c>
      <c r="L3351" t="n">
        <v>0</v>
      </c>
      <c r="M3351" t="n">
        <v>0</v>
      </c>
      <c r="N3351" t="n">
        <v>0</v>
      </c>
      <c r="O3351" t="n">
        <v>0</v>
      </c>
      <c r="P3351" t="n">
        <v>0</v>
      </c>
      <c r="Q3351" t="n">
        <v>0</v>
      </c>
      <c r="R3351" s="2" t="inlineStr"/>
    </row>
    <row r="3352" ht="15" customHeight="1">
      <c r="A3352" t="inlineStr">
        <is>
          <t>A 11676-2023</t>
        </is>
      </c>
      <c r="B3352" s="1" t="n">
        <v>44992</v>
      </c>
      <c r="C3352" s="1" t="n">
        <v>45190</v>
      </c>
      <c r="D3352" t="inlineStr">
        <is>
          <t>SKÅNE LÄN</t>
        </is>
      </c>
      <c r="E3352" t="inlineStr">
        <is>
          <t>KLIPPAN</t>
        </is>
      </c>
      <c r="F3352" t="inlineStr">
        <is>
          <t>Övriga Aktiebolag</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11701-2023</t>
        </is>
      </c>
      <c r="B3353" s="1" t="n">
        <v>44992</v>
      </c>
      <c r="C3353" s="1" t="n">
        <v>45190</v>
      </c>
      <c r="D3353" t="inlineStr">
        <is>
          <t>SKÅNE LÄN</t>
        </is>
      </c>
      <c r="E3353" t="inlineStr">
        <is>
          <t>PERSTORP</t>
        </is>
      </c>
      <c r="F3353" t="inlineStr">
        <is>
          <t>Övriga Aktiebolag</t>
        </is>
      </c>
      <c r="G3353" t="n">
        <v>6</v>
      </c>
      <c r="H3353" t="n">
        <v>0</v>
      </c>
      <c r="I3353" t="n">
        <v>0</v>
      </c>
      <c r="J3353" t="n">
        <v>0</v>
      </c>
      <c r="K3353" t="n">
        <v>0</v>
      </c>
      <c r="L3353" t="n">
        <v>0</v>
      </c>
      <c r="M3353" t="n">
        <v>0</v>
      </c>
      <c r="N3353" t="n">
        <v>0</v>
      </c>
      <c r="O3353" t="n">
        <v>0</v>
      </c>
      <c r="P3353" t="n">
        <v>0</v>
      </c>
      <c r="Q3353" t="n">
        <v>0</v>
      </c>
      <c r="R3353" s="2" t="inlineStr"/>
    </row>
    <row r="3354" ht="15" customHeight="1">
      <c r="A3354" t="inlineStr">
        <is>
          <t>A 11715-2023</t>
        </is>
      </c>
      <c r="B3354" s="1" t="n">
        <v>44992</v>
      </c>
      <c r="C3354" s="1" t="n">
        <v>45190</v>
      </c>
      <c r="D3354" t="inlineStr">
        <is>
          <t>SKÅNE LÄN</t>
        </is>
      </c>
      <c r="E3354" t="inlineStr">
        <is>
          <t>HÄSSLEHOLM</t>
        </is>
      </c>
      <c r="F3354" t="inlineStr">
        <is>
          <t>Övriga Aktiebolag</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11150-2023</t>
        </is>
      </c>
      <c r="B3355" s="1" t="n">
        <v>44992</v>
      </c>
      <c r="C3355" s="1" t="n">
        <v>45190</v>
      </c>
      <c r="D3355" t="inlineStr">
        <is>
          <t>SKÅNE LÄN</t>
        </is>
      </c>
      <c r="E3355" t="inlineStr">
        <is>
          <t>KRISTIANSTAD</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11681-2023</t>
        </is>
      </c>
      <c r="B3356" s="1" t="n">
        <v>44992</v>
      </c>
      <c r="C3356" s="1" t="n">
        <v>45190</v>
      </c>
      <c r="D3356" t="inlineStr">
        <is>
          <t>SKÅNE LÄN</t>
        </is>
      </c>
      <c r="E3356" t="inlineStr">
        <is>
          <t>HÄSSLEHOLM</t>
        </is>
      </c>
      <c r="F3356" t="inlineStr">
        <is>
          <t>Övriga Aktiebolag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11705-2023</t>
        </is>
      </c>
      <c r="B3357" s="1" t="n">
        <v>44992</v>
      </c>
      <c r="C3357" s="1" t="n">
        <v>45190</v>
      </c>
      <c r="D3357" t="inlineStr">
        <is>
          <t>SKÅNE LÄN</t>
        </is>
      </c>
      <c r="E3357" t="inlineStr">
        <is>
          <t>KLIPPAN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11722-2023</t>
        </is>
      </c>
      <c r="B3358" s="1" t="n">
        <v>44992</v>
      </c>
      <c r="C3358" s="1" t="n">
        <v>45190</v>
      </c>
      <c r="D3358" t="inlineStr">
        <is>
          <t>SKÅNE LÄN</t>
        </is>
      </c>
      <c r="E3358" t="inlineStr">
        <is>
          <t>ÖSTRA GÖINGE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11335-2023</t>
        </is>
      </c>
      <c r="B3359" s="1" t="n">
        <v>44993</v>
      </c>
      <c r="C3359" s="1" t="n">
        <v>45190</v>
      </c>
      <c r="D3359" t="inlineStr">
        <is>
          <t>SKÅNE LÄN</t>
        </is>
      </c>
      <c r="E3359" t="inlineStr">
        <is>
          <t>KLIPPAN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11922-2023</t>
        </is>
      </c>
      <c r="B3360" s="1" t="n">
        <v>44993</v>
      </c>
      <c r="C3360" s="1" t="n">
        <v>45190</v>
      </c>
      <c r="D3360" t="inlineStr">
        <is>
          <t>SKÅNE LÄN</t>
        </is>
      </c>
      <c r="E3360" t="inlineStr">
        <is>
          <t>SVALÖV</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11454-2023</t>
        </is>
      </c>
      <c r="B3361" s="1" t="n">
        <v>44993</v>
      </c>
      <c r="C3361" s="1" t="n">
        <v>45190</v>
      </c>
      <c r="D3361" t="inlineStr">
        <is>
          <t>SKÅNE LÄN</t>
        </is>
      </c>
      <c r="E3361" t="inlineStr">
        <is>
          <t>BROMÖLLA</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11505-2023</t>
        </is>
      </c>
      <c r="B3362" s="1" t="n">
        <v>44993</v>
      </c>
      <c r="C3362" s="1" t="n">
        <v>45190</v>
      </c>
      <c r="D3362" t="inlineStr">
        <is>
          <t>SKÅNE LÄN</t>
        </is>
      </c>
      <c r="E3362" t="inlineStr">
        <is>
          <t>KRISTIANSTAD</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11515-2023</t>
        </is>
      </c>
      <c r="B3363" s="1" t="n">
        <v>44993</v>
      </c>
      <c r="C3363" s="1" t="n">
        <v>45190</v>
      </c>
      <c r="D3363" t="inlineStr">
        <is>
          <t>SKÅNE LÄN</t>
        </is>
      </c>
      <c r="E3363" t="inlineStr">
        <is>
          <t>OSBY</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12806-2023</t>
        </is>
      </c>
      <c r="B3364" s="1" t="n">
        <v>44994</v>
      </c>
      <c r="C3364" s="1" t="n">
        <v>45190</v>
      </c>
      <c r="D3364" t="inlineStr">
        <is>
          <t>SKÅNE LÄN</t>
        </is>
      </c>
      <c r="E3364" t="inlineStr">
        <is>
          <t>KRISTIANSTAD</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11759-2023</t>
        </is>
      </c>
      <c r="B3365" s="1" t="n">
        <v>44994</v>
      </c>
      <c r="C3365" s="1" t="n">
        <v>45190</v>
      </c>
      <c r="D3365" t="inlineStr">
        <is>
          <t>SKÅNE LÄN</t>
        </is>
      </c>
      <c r="E3365" t="inlineStr">
        <is>
          <t>HÄSSLEHOLM</t>
        </is>
      </c>
      <c r="G3365" t="n">
        <v>2.8</v>
      </c>
      <c r="H3365" t="n">
        <v>0</v>
      </c>
      <c r="I3365" t="n">
        <v>0</v>
      </c>
      <c r="J3365" t="n">
        <v>0</v>
      </c>
      <c r="K3365" t="n">
        <v>0</v>
      </c>
      <c r="L3365" t="n">
        <v>0</v>
      </c>
      <c r="M3365" t="n">
        <v>0</v>
      </c>
      <c r="N3365" t="n">
        <v>0</v>
      </c>
      <c r="O3365" t="n">
        <v>0</v>
      </c>
      <c r="P3365" t="n">
        <v>0</v>
      </c>
      <c r="Q3365" t="n">
        <v>0</v>
      </c>
      <c r="R3365" s="2" t="inlineStr"/>
    </row>
    <row r="3366" ht="15" customHeight="1">
      <c r="A3366" t="inlineStr">
        <is>
          <t>A 11997-2023</t>
        </is>
      </c>
      <c r="B3366" s="1" t="n">
        <v>44995</v>
      </c>
      <c r="C3366" s="1" t="n">
        <v>45190</v>
      </c>
      <c r="D3366" t="inlineStr">
        <is>
          <t>SKÅNE LÄN</t>
        </is>
      </c>
      <c r="E3366" t="inlineStr">
        <is>
          <t>KRISTIANSTAD</t>
        </is>
      </c>
      <c r="G3366" t="n">
        <v>5.4</v>
      </c>
      <c r="H3366" t="n">
        <v>0</v>
      </c>
      <c r="I3366" t="n">
        <v>0</v>
      </c>
      <c r="J3366" t="n">
        <v>0</v>
      </c>
      <c r="K3366" t="n">
        <v>0</v>
      </c>
      <c r="L3366" t="n">
        <v>0</v>
      </c>
      <c r="M3366" t="n">
        <v>0</v>
      </c>
      <c r="N3366" t="n">
        <v>0</v>
      </c>
      <c r="O3366" t="n">
        <v>0</v>
      </c>
      <c r="P3366" t="n">
        <v>0</v>
      </c>
      <c r="Q3366" t="n">
        <v>0</v>
      </c>
      <c r="R3366" s="2" t="inlineStr"/>
    </row>
    <row r="3367" ht="15" customHeight="1">
      <c r="A3367" t="inlineStr">
        <is>
          <t>A 11840-2023</t>
        </is>
      </c>
      <c r="B3367" s="1" t="n">
        <v>44995</v>
      </c>
      <c r="C3367" s="1" t="n">
        <v>45190</v>
      </c>
      <c r="D3367" t="inlineStr">
        <is>
          <t>SKÅNE LÄN</t>
        </is>
      </c>
      <c r="E3367" t="inlineStr">
        <is>
          <t>HÄSSLEHOLM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12317-2023</t>
        </is>
      </c>
      <c r="B3368" s="1" t="n">
        <v>44997</v>
      </c>
      <c r="C3368" s="1" t="n">
        <v>45190</v>
      </c>
      <c r="D3368" t="inlineStr">
        <is>
          <t>SKÅNE LÄN</t>
        </is>
      </c>
      <c r="E3368" t="inlineStr">
        <is>
          <t>KRISTIANSTAD</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12068-2023</t>
        </is>
      </c>
      <c r="B3369" s="1" t="n">
        <v>44997</v>
      </c>
      <c r="C3369" s="1" t="n">
        <v>45190</v>
      </c>
      <c r="D3369" t="inlineStr">
        <is>
          <t>SKÅNE LÄN</t>
        </is>
      </c>
      <c r="E3369" t="inlineStr">
        <is>
          <t>OSBY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12070-2023</t>
        </is>
      </c>
      <c r="B3370" s="1" t="n">
        <v>44997</v>
      </c>
      <c r="C3370" s="1" t="n">
        <v>45190</v>
      </c>
      <c r="D3370" t="inlineStr">
        <is>
          <t>SKÅNE LÄN</t>
        </is>
      </c>
      <c r="E3370" t="inlineStr">
        <is>
          <t>OSBY</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12235-2023</t>
        </is>
      </c>
      <c r="B3371" s="1" t="n">
        <v>44998</v>
      </c>
      <c r="C3371" s="1" t="n">
        <v>45190</v>
      </c>
      <c r="D3371" t="inlineStr">
        <is>
          <t>SKÅNE LÄN</t>
        </is>
      </c>
      <c r="E3371" t="inlineStr">
        <is>
          <t>KRISTIANSTAD</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12310-2023</t>
        </is>
      </c>
      <c r="B3372" s="1" t="n">
        <v>44999</v>
      </c>
      <c r="C3372" s="1" t="n">
        <v>45190</v>
      </c>
      <c r="D3372" t="inlineStr">
        <is>
          <t>SKÅNE LÄN</t>
        </is>
      </c>
      <c r="E3372" t="inlineStr">
        <is>
          <t>TOMELILLA</t>
        </is>
      </c>
      <c r="F3372" t="inlineStr">
        <is>
          <t>Sveaskog</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12354-2023</t>
        </is>
      </c>
      <c r="B3373" s="1" t="n">
        <v>44999</v>
      </c>
      <c r="C3373" s="1" t="n">
        <v>45190</v>
      </c>
      <c r="D3373" t="inlineStr">
        <is>
          <t>SKÅNE LÄN</t>
        </is>
      </c>
      <c r="E3373" t="inlineStr">
        <is>
          <t>TOMELILLA</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12623-2023</t>
        </is>
      </c>
      <c r="B3374" s="1" t="n">
        <v>44999</v>
      </c>
      <c r="C3374" s="1" t="n">
        <v>45190</v>
      </c>
      <c r="D3374" t="inlineStr">
        <is>
          <t>SKÅNE LÄN</t>
        </is>
      </c>
      <c r="E3374" t="inlineStr">
        <is>
          <t>SVALÖV</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12346-2023</t>
        </is>
      </c>
      <c r="B3375" s="1" t="n">
        <v>44999</v>
      </c>
      <c r="C3375" s="1" t="n">
        <v>45190</v>
      </c>
      <c r="D3375" t="inlineStr">
        <is>
          <t>SKÅNE LÄN</t>
        </is>
      </c>
      <c r="E3375" t="inlineStr">
        <is>
          <t>HÄSSLEHOLM</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12344-2023</t>
        </is>
      </c>
      <c r="B3376" s="1" t="n">
        <v>44999</v>
      </c>
      <c r="C3376" s="1" t="n">
        <v>45190</v>
      </c>
      <c r="D3376" t="inlineStr">
        <is>
          <t>SKÅNE LÄN</t>
        </is>
      </c>
      <c r="E3376" t="inlineStr">
        <is>
          <t>HÄSSLEHOLM</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12570-2023</t>
        </is>
      </c>
      <c r="B3377" s="1" t="n">
        <v>44999</v>
      </c>
      <c r="C3377" s="1" t="n">
        <v>45190</v>
      </c>
      <c r="D3377" t="inlineStr">
        <is>
          <t>SKÅNE LÄN</t>
        </is>
      </c>
      <c r="E3377" t="inlineStr">
        <is>
          <t>HÄSSLEHOLM</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11935-2023</t>
        </is>
      </c>
      <c r="B3378" s="1" t="n">
        <v>45000</v>
      </c>
      <c r="C3378" s="1" t="n">
        <v>45190</v>
      </c>
      <c r="D3378" t="inlineStr">
        <is>
          <t>SKÅNE LÄN</t>
        </is>
      </c>
      <c r="E3378" t="inlineStr">
        <is>
          <t>KRISTIANSTAD</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12718-2023</t>
        </is>
      </c>
      <c r="B3379" s="1" t="n">
        <v>45000</v>
      </c>
      <c r="C3379" s="1" t="n">
        <v>45190</v>
      </c>
      <c r="D3379" t="inlineStr">
        <is>
          <t>SKÅNE LÄN</t>
        </is>
      </c>
      <c r="E3379" t="inlineStr">
        <is>
          <t>BROMÖLLA</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12839-2023</t>
        </is>
      </c>
      <c r="B3380" s="1" t="n">
        <v>45000</v>
      </c>
      <c r="C3380" s="1" t="n">
        <v>45190</v>
      </c>
      <c r="D3380" t="inlineStr">
        <is>
          <t>SKÅNE LÄN</t>
        </is>
      </c>
      <c r="E3380" t="inlineStr">
        <is>
          <t>HÄSSLEHOLM</t>
        </is>
      </c>
      <c r="G3380" t="n">
        <v>5</v>
      </c>
      <c r="H3380" t="n">
        <v>0</v>
      </c>
      <c r="I3380" t="n">
        <v>0</v>
      </c>
      <c r="J3380" t="n">
        <v>0</v>
      </c>
      <c r="K3380" t="n">
        <v>0</v>
      </c>
      <c r="L3380" t="n">
        <v>0</v>
      </c>
      <c r="M3380" t="n">
        <v>0</v>
      </c>
      <c r="N3380" t="n">
        <v>0</v>
      </c>
      <c r="O3380" t="n">
        <v>0</v>
      </c>
      <c r="P3380" t="n">
        <v>0</v>
      </c>
      <c r="Q3380" t="n">
        <v>0</v>
      </c>
      <c r="R3380" s="2" t="inlineStr"/>
    </row>
    <row r="3381" ht="15" customHeight="1">
      <c r="A3381" t="inlineStr">
        <is>
          <t>A 12842-2023</t>
        </is>
      </c>
      <c r="B3381" s="1" t="n">
        <v>45001</v>
      </c>
      <c r="C3381" s="1" t="n">
        <v>45190</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12855-2023</t>
        </is>
      </c>
      <c r="B3382" s="1" t="n">
        <v>45001</v>
      </c>
      <c r="C3382" s="1" t="n">
        <v>45190</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12833-2023</t>
        </is>
      </c>
      <c r="B3383" s="1" t="n">
        <v>45001</v>
      </c>
      <c r="C3383" s="1" t="n">
        <v>45190</v>
      </c>
      <c r="D3383" t="inlineStr">
        <is>
          <t>SKÅNE LÄN</t>
        </is>
      </c>
      <c r="E3383" t="inlineStr">
        <is>
          <t>HÖÖR</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13087-2023</t>
        </is>
      </c>
      <c r="B3384" s="1" t="n">
        <v>45001</v>
      </c>
      <c r="C3384" s="1" t="n">
        <v>45190</v>
      </c>
      <c r="D3384" t="inlineStr">
        <is>
          <t>SKÅNE LÄN</t>
        </is>
      </c>
      <c r="E3384" t="inlineStr">
        <is>
          <t>HÄSSLEHOLM</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13070-2023</t>
        </is>
      </c>
      <c r="B3385" s="1" t="n">
        <v>45002</v>
      </c>
      <c r="C3385" s="1" t="n">
        <v>45190</v>
      </c>
      <c r="D3385" t="inlineStr">
        <is>
          <t>SKÅNE LÄN</t>
        </is>
      </c>
      <c r="E3385" t="inlineStr">
        <is>
          <t>KRISTIANSTAD</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45190</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45190</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13267-2023</t>
        </is>
      </c>
      <c r="B3388" s="1" t="n">
        <v>45003</v>
      </c>
      <c r="C3388" s="1" t="n">
        <v>45190</v>
      </c>
      <c r="D3388" t="inlineStr">
        <is>
          <t>SKÅNE LÄN</t>
        </is>
      </c>
      <c r="E3388" t="inlineStr">
        <is>
          <t>PERSTORP</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13291-2023</t>
        </is>
      </c>
      <c r="B3389" s="1" t="n">
        <v>45004</v>
      </c>
      <c r="C3389" s="1" t="n">
        <v>45190</v>
      </c>
      <c r="D3389" t="inlineStr">
        <is>
          <t>SKÅNE LÄN</t>
        </is>
      </c>
      <c r="E3389" t="inlineStr">
        <is>
          <t>HÖÖR</t>
        </is>
      </c>
      <c r="G3389" t="n">
        <v>3.9</v>
      </c>
      <c r="H3389" t="n">
        <v>0</v>
      </c>
      <c r="I3389" t="n">
        <v>0</v>
      </c>
      <c r="J3389" t="n">
        <v>0</v>
      </c>
      <c r="K3389" t="n">
        <v>0</v>
      </c>
      <c r="L3389" t="n">
        <v>0</v>
      </c>
      <c r="M3389" t="n">
        <v>0</v>
      </c>
      <c r="N3389" t="n">
        <v>0</v>
      </c>
      <c r="O3389" t="n">
        <v>0</v>
      </c>
      <c r="P3389" t="n">
        <v>0</v>
      </c>
      <c r="Q3389" t="n">
        <v>0</v>
      </c>
      <c r="R3389" s="2" t="inlineStr"/>
    </row>
    <row r="3390" ht="15" customHeight="1">
      <c r="A3390" t="inlineStr">
        <is>
          <t>A 13358-2023</t>
        </is>
      </c>
      <c r="B3390" s="1" t="n">
        <v>45005</v>
      </c>
      <c r="C3390" s="1" t="n">
        <v>45190</v>
      </c>
      <c r="D3390" t="inlineStr">
        <is>
          <t>SKÅNE LÄN</t>
        </is>
      </c>
      <c r="E3390" t="inlineStr">
        <is>
          <t>HÄSSLEHOLM</t>
        </is>
      </c>
      <c r="F3390" t="inlineStr">
        <is>
          <t>Övriga Aktiebolag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13420-2023</t>
        </is>
      </c>
      <c r="B3391" s="1" t="n">
        <v>45005</v>
      </c>
      <c r="C3391" s="1" t="n">
        <v>45190</v>
      </c>
      <c r="D3391" t="inlineStr">
        <is>
          <t>SKÅNE LÄN</t>
        </is>
      </c>
      <c r="E3391" t="inlineStr">
        <is>
          <t>KLIPPAN</t>
        </is>
      </c>
      <c r="F3391" t="inlineStr">
        <is>
          <t>Övriga Aktiebolag</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13344-2023</t>
        </is>
      </c>
      <c r="B3392" s="1" t="n">
        <v>45005</v>
      </c>
      <c r="C3392" s="1" t="n">
        <v>45190</v>
      </c>
      <c r="D3392" t="inlineStr">
        <is>
          <t>SKÅNE LÄN</t>
        </is>
      </c>
      <c r="E3392" t="inlineStr">
        <is>
          <t>SVEDALA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13363-2023</t>
        </is>
      </c>
      <c r="B3393" s="1" t="n">
        <v>45005</v>
      </c>
      <c r="C3393" s="1" t="n">
        <v>45190</v>
      </c>
      <c r="D3393" t="inlineStr">
        <is>
          <t>SKÅNE LÄN</t>
        </is>
      </c>
      <c r="E3393" t="inlineStr">
        <is>
          <t>KLIPPAN</t>
        </is>
      </c>
      <c r="F3393" t="inlineStr">
        <is>
          <t>Övriga Aktiebolag</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13410-2023</t>
        </is>
      </c>
      <c r="B3394" s="1" t="n">
        <v>45005</v>
      </c>
      <c r="C3394" s="1" t="n">
        <v>45190</v>
      </c>
      <c r="D3394" t="inlineStr">
        <is>
          <t>SKÅNE LÄN</t>
        </is>
      </c>
      <c r="E3394" t="inlineStr">
        <is>
          <t>PERSTORP</t>
        </is>
      </c>
      <c r="F3394" t="inlineStr">
        <is>
          <t>Övriga Aktiebolag</t>
        </is>
      </c>
      <c r="G3394" t="n">
        <v>2.6</v>
      </c>
      <c r="H3394" t="n">
        <v>0</v>
      </c>
      <c r="I3394" t="n">
        <v>0</v>
      </c>
      <c r="J3394" t="n">
        <v>0</v>
      </c>
      <c r="K3394" t="n">
        <v>0</v>
      </c>
      <c r="L3394" t="n">
        <v>0</v>
      </c>
      <c r="M3394" t="n">
        <v>0</v>
      </c>
      <c r="N3394" t="n">
        <v>0</v>
      </c>
      <c r="O3394" t="n">
        <v>0</v>
      </c>
      <c r="P3394" t="n">
        <v>0</v>
      </c>
      <c r="Q3394" t="n">
        <v>0</v>
      </c>
      <c r="R3394" s="2" t="inlineStr"/>
    </row>
    <row r="3395" ht="15" customHeight="1">
      <c r="A3395" t="inlineStr">
        <is>
          <t>A 13437-2023</t>
        </is>
      </c>
      <c r="B3395" s="1" t="n">
        <v>45005</v>
      </c>
      <c r="C3395" s="1" t="n">
        <v>45190</v>
      </c>
      <c r="D3395" t="inlineStr">
        <is>
          <t>SKÅNE LÄN</t>
        </is>
      </c>
      <c r="E3395" t="inlineStr">
        <is>
          <t>HÖÖR</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13637-2023</t>
        </is>
      </c>
      <c r="B3396" s="1" t="n">
        <v>45006</v>
      </c>
      <c r="C3396" s="1" t="n">
        <v>45190</v>
      </c>
      <c r="D3396" t="inlineStr">
        <is>
          <t>SKÅNE LÄN</t>
        </is>
      </c>
      <c r="E3396" t="inlineStr">
        <is>
          <t>HELSINGBORG</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13651-2023</t>
        </is>
      </c>
      <c r="B3397" s="1" t="n">
        <v>45006</v>
      </c>
      <c r="C3397" s="1" t="n">
        <v>45190</v>
      </c>
      <c r="D3397" t="inlineStr">
        <is>
          <t>SKÅNE LÄN</t>
        </is>
      </c>
      <c r="E3397" t="inlineStr">
        <is>
          <t>HELSINGBORG</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13954-2023</t>
        </is>
      </c>
      <c r="B3398" s="1" t="n">
        <v>45008</v>
      </c>
      <c r="C3398" s="1" t="n">
        <v>45190</v>
      </c>
      <c r="D3398" t="inlineStr">
        <is>
          <t>SKÅNE LÄN</t>
        </is>
      </c>
      <c r="E3398" t="inlineStr">
        <is>
          <t>HÄSSLEHOLM</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13961-2023</t>
        </is>
      </c>
      <c r="B3399" s="1" t="n">
        <v>45008</v>
      </c>
      <c r="C3399" s="1" t="n">
        <v>45190</v>
      </c>
      <c r="D3399" t="inlineStr">
        <is>
          <t>SKÅNE LÄN</t>
        </is>
      </c>
      <c r="E3399" t="inlineStr">
        <is>
          <t>HÄSSLEHOLM</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14002-2023</t>
        </is>
      </c>
      <c r="B3400" s="1" t="n">
        <v>45008</v>
      </c>
      <c r="C3400" s="1" t="n">
        <v>45190</v>
      </c>
      <c r="D3400" t="inlineStr">
        <is>
          <t>SKÅNE LÄN</t>
        </is>
      </c>
      <c r="E3400" t="inlineStr">
        <is>
          <t>HÄSSLEHOLM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14150-2023</t>
        </is>
      </c>
      <c r="B3401" s="1" t="n">
        <v>45009</v>
      </c>
      <c r="C3401" s="1" t="n">
        <v>45190</v>
      </c>
      <c r="D3401" t="inlineStr">
        <is>
          <t>SKÅNE LÄN</t>
        </is>
      </c>
      <c r="E3401" t="inlineStr">
        <is>
          <t>SVEDALA</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14239-2023</t>
        </is>
      </c>
      <c r="B3402" s="1" t="n">
        <v>45009</v>
      </c>
      <c r="C3402" s="1" t="n">
        <v>45190</v>
      </c>
      <c r="D3402" t="inlineStr">
        <is>
          <t>SKÅNE LÄN</t>
        </is>
      </c>
      <c r="E3402" t="inlineStr">
        <is>
          <t>KRISTIANSTAD</t>
        </is>
      </c>
      <c r="G3402" t="n">
        <v>11.3</v>
      </c>
      <c r="H3402" t="n">
        <v>0</v>
      </c>
      <c r="I3402" t="n">
        <v>0</v>
      </c>
      <c r="J3402" t="n">
        <v>0</v>
      </c>
      <c r="K3402" t="n">
        <v>0</v>
      </c>
      <c r="L3402" t="n">
        <v>0</v>
      </c>
      <c r="M3402" t="n">
        <v>0</v>
      </c>
      <c r="N3402" t="n">
        <v>0</v>
      </c>
      <c r="O3402" t="n">
        <v>0</v>
      </c>
      <c r="P3402" t="n">
        <v>0</v>
      </c>
      <c r="Q3402" t="n">
        <v>0</v>
      </c>
      <c r="R3402" s="2" t="inlineStr"/>
    </row>
    <row r="3403" ht="15" customHeight="1">
      <c r="A3403" t="inlineStr">
        <is>
          <t>A 14148-2023</t>
        </is>
      </c>
      <c r="B3403" s="1" t="n">
        <v>45009</v>
      </c>
      <c r="C3403" s="1" t="n">
        <v>45190</v>
      </c>
      <c r="D3403" t="inlineStr">
        <is>
          <t>SKÅNE LÄN</t>
        </is>
      </c>
      <c r="E3403" t="inlineStr">
        <is>
          <t>OSBY</t>
        </is>
      </c>
      <c r="G3403" t="n">
        <v>15.7</v>
      </c>
      <c r="H3403" t="n">
        <v>0</v>
      </c>
      <c r="I3403" t="n">
        <v>0</v>
      </c>
      <c r="J3403" t="n">
        <v>0</v>
      </c>
      <c r="K3403" t="n">
        <v>0</v>
      </c>
      <c r="L3403" t="n">
        <v>0</v>
      </c>
      <c r="M3403" t="n">
        <v>0</v>
      </c>
      <c r="N3403" t="n">
        <v>0</v>
      </c>
      <c r="O3403" t="n">
        <v>0</v>
      </c>
      <c r="P3403" t="n">
        <v>0</v>
      </c>
      <c r="Q3403" t="n">
        <v>0</v>
      </c>
      <c r="R3403" s="2" t="inlineStr"/>
    </row>
    <row r="3404" ht="15" customHeight="1">
      <c r="A3404" t="inlineStr">
        <is>
          <t>A 14145-2023</t>
        </is>
      </c>
      <c r="B3404" s="1" t="n">
        <v>45009</v>
      </c>
      <c r="C3404" s="1" t="n">
        <v>45190</v>
      </c>
      <c r="D3404" t="inlineStr">
        <is>
          <t>SKÅNE LÄN</t>
        </is>
      </c>
      <c r="E3404" t="inlineStr">
        <is>
          <t>HÄSSLEHOLM</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14154-2023</t>
        </is>
      </c>
      <c r="B3405" s="1" t="n">
        <v>45009</v>
      </c>
      <c r="C3405" s="1" t="n">
        <v>45190</v>
      </c>
      <c r="D3405" t="inlineStr">
        <is>
          <t>SKÅNE LÄN</t>
        </is>
      </c>
      <c r="E3405" t="inlineStr">
        <is>
          <t>TOMELILLA</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14152-2023</t>
        </is>
      </c>
      <c r="B3406" s="1" t="n">
        <v>45009</v>
      </c>
      <c r="C3406" s="1" t="n">
        <v>45190</v>
      </c>
      <c r="D3406" t="inlineStr">
        <is>
          <t>SKÅNE LÄN</t>
        </is>
      </c>
      <c r="E3406" t="inlineStr">
        <is>
          <t>TOMELILLA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14223-2023</t>
        </is>
      </c>
      <c r="B3407" s="1" t="n">
        <v>45009</v>
      </c>
      <c r="C3407" s="1" t="n">
        <v>45190</v>
      </c>
      <c r="D3407" t="inlineStr">
        <is>
          <t>SKÅNE LÄN</t>
        </is>
      </c>
      <c r="E3407" t="inlineStr">
        <is>
          <t>KRISTIANSTAD</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14305-2023</t>
        </is>
      </c>
      <c r="B3408" s="1" t="n">
        <v>45011</v>
      </c>
      <c r="C3408" s="1" t="n">
        <v>45190</v>
      </c>
      <c r="D3408" t="inlineStr">
        <is>
          <t>SKÅNE LÄN</t>
        </is>
      </c>
      <c r="E3408" t="inlineStr">
        <is>
          <t>ÖRKELLJUNGA</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14302-2023</t>
        </is>
      </c>
      <c r="B3409" s="1" t="n">
        <v>45011</v>
      </c>
      <c r="C3409" s="1" t="n">
        <v>45190</v>
      </c>
      <c r="D3409" t="inlineStr">
        <is>
          <t>SKÅNE LÄN</t>
        </is>
      </c>
      <c r="E3409" t="inlineStr">
        <is>
          <t>ÖSTRA GÖINGE</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14307-2023</t>
        </is>
      </c>
      <c r="B3410" s="1" t="n">
        <v>45011</v>
      </c>
      <c r="C3410" s="1" t="n">
        <v>45190</v>
      </c>
      <c r="D3410" t="inlineStr">
        <is>
          <t>SKÅNE LÄN</t>
        </is>
      </c>
      <c r="E3410" t="inlineStr">
        <is>
          <t>OSBY</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14442-2023</t>
        </is>
      </c>
      <c r="B3411" s="1" t="n">
        <v>45012</v>
      </c>
      <c r="C3411" s="1" t="n">
        <v>45190</v>
      </c>
      <c r="D3411" t="inlineStr">
        <is>
          <t>SKÅNE LÄN</t>
        </is>
      </c>
      <c r="E3411" t="inlineStr">
        <is>
          <t>KRISTIANSTAD</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14495-2023</t>
        </is>
      </c>
      <c r="B3412" s="1" t="n">
        <v>45012</v>
      </c>
      <c r="C3412" s="1" t="n">
        <v>45190</v>
      </c>
      <c r="D3412" t="inlineStr">
        <is>
          <t>SKÅNE LÄN</t>
        </is>
      </c>
      <c r="E3412" t="inlineStr">
        <is>
          <t>OSBY</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14400-2023</t>
        </is>
      </c>
      <c r="B3413" s="1" t="n">
        <v>45012</v>
      </c>
      <c r="C3413" s="1" t="n">
        <v>45190</v>
      </c>
      <c r="D3413" t="inlineStr">
        <is>
          <t>SKÅNE LÄN</t>
        </is>
      </c>
      <c r="E3413" t="inlineStr">
        <is>
          <t>ÄNGELHOLM</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14515-2023</t>
        </is>
      </c>
      <c r="B3414" s="1" t="n">
        <v>45012</v>
      </c>
      <c r="C3414" s="1" t="n">
        <v>45190</v>
      </c>
      <c r="D3414" t="inlineStr">
        <is>
          <t>SKÅNE LÄN</t>
        </is>
      </c>
      <c r="E3414" t="inlineStr">
        <is>
          <t>HÖÖR</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14517-2023</t>
        </is>
      </c>
      <c r="B3415" s="1" t="n">
        <v>45012</v>
      </c>
      <c r="C3415" s="1" t="n">
        <v>45190</v>
      </c>
      <c r="D3415" t="inlineStr">
        <is>
          <t>SKÅNE LÄN</t>
        </is>
      </c>
      <c r="E3415" t="inlineStr">
        <is>
          <t>ÅSTORP</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14430-2023</t>
        </is>
      </c>
      <c r="B3416" s="1" t="n">
        <v>45012</v>
      </c>
      <c r="C3416" s="1" t="n">
        <v>45190</v>
      </c>
      <c r="D3416" t="inlineStr">
        <is>
          <t>SKÅNE LÄN</t>
        </is>
      </c>
      <c r="E3416" t="inlineStr">
        <is>
          <t>ÖRKELLJUNGA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14444-2023</t>
        </is>
      </c>
      <c r="B3417" s="1" t="n">
        <v>45012</v>
      </c>
      <c r="C3417" s="1" t="n">
        <v>45190</v>
      </c>
      <c r="D3417" t="inlineStr">
        <is>
          <t>SKÅNE LÄN</t>
        </is>
      </c>
      <c r="E3417" t="inlineStr">
        <is>
          <t>KLIPPAN</t>
        </is>
      </c>
      <c r="F3417" t="inlineStr">
        <is>
          <t>Sveaskog</t>
        </is>
      </c>
      <c r="G3417" t="n">
        <v>10.4</v>
      </c>
      <c r="H3417" t="n">
        <v>0</v>
      </c>
      <c r="I3417" t="n">
        <v>0</v>
      </c>
      <c r="J3417" t="n">
        <v>0</v>
      </c>
      <c r="K3417" t="n">
        <v>0</v>
      </c>
      <c r="L3417" t="n">
        <v>0</v>
      </c>
      <c r="M3417" t="n">
        <v>0</v>
      </c>
      <c r="N3417" t="n">
        <v>0</v>
      </c>
      <c r="O3417" t="n">
        <v>0</v>
      </c>
      <c r="P3417" t="n">
        <v>0</v>
      </c>
      <c r="Q3417" t="n">
        <v>0</v>
      </c>
      <c r="R3417" s="2" t="inlineStr"/>
    </row>
    <row r="3418" ht="15" customHeight="1">
      <c r="A3418" t="inlineStr">
        <is>
          <t>A 14514-2023</t>
        </is>
      </c>
      <c r="B3418" s="1" t="n">
        <v>45012</v>
      </c>
      <c r="C3418" s="1" t="n">
        <v>45190</v>
      </c>
      <c r="D3418" t="inlineStr">
        <is>
          <t>SKÅNE LÄN</t>
        </is>
      </c>
      <c r="E3418" t="inlineStr">
        <is>
          <t>HÖÖR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14619-2023</t>
        </is>
      </c>
      <c r="B3419" s="1" t="n">
        <v>45013</v>
      </c>
      <c r="C3419" s="1" t="n">
        <v>45190</v>
      </c>
      <c r="D3419" t="inlineStr">
        <is>
          <t>SKÅNE LÄN</t>
        </is>
      </c>
      <c r="E3419" t="inlineStr">
        <is>
          <t>KLIPPAN</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14633-2023</t>
        </is>
      </c>
      <c r="B3420" s="1" t="n">
        <v>45013</v>
      </c>
      <c r="C3420" s="1" t="n">
        <v>45190</v>
      </c>
      <c r="D3420" t="inlineStr">
        <is>
          <t>SKÅNE LÄN</t>
        </is>
      </c>
      <c r="E3420" t="inlineStr">
        <is>
          <t>HÄSSLEHOLM</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14666-2023</t>
        </is>
      </c>
      <c r="B3421" s="1" t="n">
        <v>45013</v>
      </c>
      <c r="C3421" s="1" t="n">
        <v>45190</v>
      </c>
      <c r="D3421" t="inlineStr">
        <is>
          <t>SKÅNE LÄN</t>
        </is>
      </c>
      <c r="E3421" t="inlineStr">
        <is>
          <t>HÄSSLEHOLM</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14614-2023</t>
        </is>
      </c>
      <c r="B3422" s="1" t="n">
        <v>45013</v>
      </c>
      <c r="C3422" s="1" t="n">
        <v>45190</v>
      </c>
      <c r="D3422" t="inlineStr">
        <is>
          <t>SKÅNE LÄN</t>
        </is>
      </c>
      <c r="E3422" t="inlineStr">
        <is>
          <t>KLIPPAN</t>
        </is>
      </c>
      <c r="G3422" t="n">
        <v>5.1</v>
      </c>
      <c r="H3422" t="n">
        <v>0</v>
      </c>
      <c r="I3422" t="n">
        <v>0</v>
      </c>
      <c r="J3422" t="n">
        <v>0</v>
      </c>
      <c r="K3422" t="n">
        <v>0</v>
      </c>
      <c r="L3422" t="n">
        <v>0</v>
      </c>
      <c r="M3422" t="n">
        <v>0</v>
      </c>
      <c r="N3422" t="n">
        <v>0</v>
      </c>
      <c r="O3422" t="n">
        <v>0</v>
      </c>
      <c r="P3422" t="n">
        <v>0</v>
      </c>
      <c r="Q3422" t="n">
        <v>0</v>
      </c>
      <c r="R3422" s="2" t="inlineStr"/>
    </row>
    <row r="3423" ht="15" customHeight="1">
      <c r="A3423" t="inlineStr">
        <is>
          <t>A 14682-2023</t>
        </is>
      </c>
      <c r="B3423" s="1" t="n">
        <v>45014</v>
      </c>
      <c r="C3423" s="1" t="n">
        <v>45190</v>
      </c>
      <c r="D3423" t="inlineStr">
        <is>
          <t>SKÅNE LÄN</t>
        </is>
      </c>
      <c r="E3423" t="inlineStr">
        <is>
          <t>KRISTIANSTAD</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14747-2023</t>
        </is>
      </c>
      <c r="B3424" s="1" t="n">
        <v>45014</v>
      </c>
      <c r="C3424" s="1" t="n">
        <v>45190</v>
      </c>
      <c r="D3424" t="inlineStr">
        <is>
          <t>SKÅNE LÄN</t>
        </is>
      </c>
      <c r="E3424" t="inlineStr">
        <is>
          <t>SJÖBO</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14837-2023</t>
        </is>
      </c>
      <c r="B3425" s="1" t="n">
        <v>45014</v>
      </c>
      <c r="C3425" s="1" t="n">
        <v>45190</v>
      </c>
      <c r="D3425" t="inlineStr">
        <is>
          <t>SKÅNE LÄN</t>
        </is>
      </c>
      <c r="E3425" t="inlineStr">
        <is>
          <t>KRISTIANSTAD</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14939-2023</t>
        </is>
      </c>
      <c r="B3426" s="1" t="n">
        <v>45014</v>
      </c>
      <c r="C3426" s="1" t="n">
        <v>45190</v>
      </c>
      <c r="D3426" t="inlineStr">
        <is>
          <t>SKÅNE LÄN</t>
        </is>
      </c>
      <c r="E3426" t="inlineStr">
        <is>
          <t>HÄSSLEHOLM</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14746-2023</t>
        </is>
      </c>
      <c r="B3427" s="1" t="n">
        <v>45014</v>
      </c>
      <c r="C3427" s="1" t="n">
        <v>45190</v>
      </c>
      <c r="D3427" t="inlineStr">
        <is>
          <t>SKÅNE LÄN</t>
        </is>
      </c>
      <c r="E3427" t="inlineStr">
        <is>
          <t>HÄSSLEHOLM</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14744-2023</t>
        </is>
      </c>
      <c r="B3428" s="1" t="n">
        <v>45014</v>
      </c>
      <c r="C3428" s="1" t="n">
        <v>45190</v>
      </c>
      <c r="D3428" t="inlineStr">
        <is>
          <t>SKÅNE LÄN</t>
        </is>
      </c>
      <c r="E3428" t="inlineStr">
        <is>
          <t>HÄSSLEHOLM</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15055-2023</t>
        </is>
      </c>
      <c r="B3429" s="1" t="n">
        <v>45015</v>
      </c>
      <c r="C3429" s="1" t="n">
        <v>45190</v>
      </c>
      <c r="D3429" t="inlineStr">
        <is>
          <t>SKÅNE LÄN</t>
        </is>
      </c>
      <c r="E3429" t="inlineStr">
        <is>
          <t>HÄSSLEHOLM</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15105-2023</t>
        </is>
      </c>
      <c r="B3430" s="1" t="n">
        <v>45015</v>
      </c>
      <c r="C3430" s="1" t="n">
        <v>45190</v>
      </c>
      <c r="D3430" t="inlineStr">
        <is>
          <t>SKÅNE LÄN</t>
        </is>
      </c>
      <c r="E3430" t="inlineStr">
        <is>
          <t>KRISTIANSTAD</t>
        </is>
      </c>
      <c r="F3430" t="inlineStr">
        <is>
          <t>Kyrkan</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15149-2023</t>
        </is>
      </c>
      <c r="B3431" s="1" t="n">
        <v>45015</v>
      </c>
      <c r="C3431" s="1" t="n">
        <v>45190</v>
      </c>
      <c r="D3431" t="inlineStr">
        <is>
          <t>SKÅNE LÄN</t>
        </is>
      </c>
      <c r="E3431" t="inlineStr">
        <is>
          <t>OSBY</t>
        </is>
      </c>
      <c r="F3431" t="inlineStr">
        <is>
          <t>Naturvårdsverket</t>
        </is>
      </c>
      <c r="G3431" t="n">
        <v>2.8</v>
      </c>
      <c r="H3431" t="n">
        <v>0</v>
      </c>
      <c r="I3431" t="n">
        <v>0</v>
      </c>
      <c r="J3431" t="n">
        <v>0</v>
      </c>
      <c r="K3431" t="n">
        <v>0</v>
      </c>
      <c r="L3431" t="n">
        <v>0</v>
      </c>
      <c r="M3431" t="n">
        <v>0</v>
      </c>
      <c r="N3431" t="n">
        <v>0</v>
      </c>
      <c r="O3431" t="n">
        <v>0</v>
      </c>
      <c r="P3431" t="n">
        <v>0</v>
      </c>
      <c r="Q3431" t="n">
        <v>0</v>
      </c>
      <c r="R3431" s="2" t="inlineStr"/>
    </row>
    <row r="3432" ht="15" customHeight="1">
      <c r="A3432" t="inlineStr">
        <is>
          <t>A 14892-2023</t>
        </is>
      </c>
      <c r="B3432" s="1" t="n">
        <v>45015</v>
      </c>
      <c r="C3432" s="1" t="n">
        <v>45190</v>
      </c>
      <c r="D3432" t="inlineStr">
        <is>
          <t>SKÅNE LÄN</t>
        </is>
      </c>
      <c r="E3432" t="inlineStr">
        <is>
          <t>KLIPPAN</t>
        </is>
      </c>
      <c r="G3432" t="n">
        <v>2.7</v>
      </c>
      <c r="H3432" t="n">
        <v>0</v>
      </c>
      <c r="I3432" t="n">
        <v>0</v>
      </c>
      <c r="J3432" t="n">
        <v>0</v>
      </c>
      <c r="K3432" t="n">
        <v>0</v>
      </c>
      <c r="L3432" t="n">
        <v>0</v>
      </c>
      <c r="M3432" t="n">
        <v>0</v>
      </c>
      <c r="N3432" t="n">
        <v>0</v>
      </c>
      <c r="O3432" t="n">
        <v>0</v>
      </c>
      <c r="P3432" t="n">
        <v>0</v>
      </c>
      <c r="Q3432" t="n">
        <v>0</v>
      </c>
      <c r="R3432" s="2" t="inlineStr"/>
    </row>
    <row r="3433" ht="15" customHeight="1">
      <c r="A3433" t="inlineStr">
        <is>
          <t>A 15053-2023</t>
        </is>
      </c>
      <c r="B3433" s="1" t="n">
        <v>45015</v>
      </c>
      <c r="C3433" s="1" t="n">
        <v>45190</v>
      </c>
      <c r="D3433" t="inlineStr">
        <is>
          <t>SKÅNE LÄN</t>
        </is>
      </c>
      <c r="E3433" t="inlineStr">
        <is>
          <t>HÄSSLEHOLM</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15143-2023</t>
        </is>
      </c>
      <c r="B3434" s="1" t="n">
        <v>45015</v>
      </c>
      <c r="C3434" s="1" t="n">
        <v>45190</v>
      </c>
      <c r="D3434" t="inlineStr">
        <is>
          <t>SKÅNE LÄN</t>
        </is>
      </c>
      <c r="E3434" t="inlineStr">
        <is>
          <t>OSBY</t>
        </is>
      </c>
      <c r="F3434" t="inlineStr">
        <is>
          <t>Naturvårdsverket</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15051-2023</t>
        </is>
      </c>
      <c r="B3435" s="1" t="n">
        <v>45015</v>
      </c>
      <c r="C3435" s="1" t="n">
        <v>45190</v>
      </c>
      <c r="D3435" t="inlineStr">
        <is>
          <t>SKÅNE LÄN</t>
        </is>
      </c>
      <c r="E3435" t="inlineStr">
        <is>
          <t>HÖRBY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15111-2023</t>
        </is>
      </c>
      <c r="B3436" s="1" t="n">
        <v>45015</v>
      </c>
      <c r="C3436" s="1" t="n">
        <v>45190</v>
      </c>
      <c r="D3436" t="inlineStr">
        <is>
          <t>SKÅNE LÄN</t>
        </is>
      </c>
      <c r="E3436" t="inlineStr">
        <is>
          <t>KRISTIANSTAD</t>
        </is>
      </c>
      <c r="F3436" t="inlineStr">
        <is>
          <t>Kyrkan</t>
        </is>
      </c>
      <c r="G3436" t="n">
        <v>5.9</v>
      </c>
      <c r="H3436" t="n">
        <v>0</v>
      </c>
      <c r="I3436" t="n">
        <v>0</v>
      </c>
      <c r="J3436" t="n">
        <v>0</v>
      </c>
      <c r="K3436" t="n">
        <v>0</v>
      </c>
      <c r="L3436" t="n">
        <v>0</v>
      </c>
      <c r="M3436" t="n">
        <v>0</v>
      </c>
      <c r="N3436" t="n">
        <v>0</v>
      </c>
      <c r="O3436" t="n">
        <v>0</v>
      </c>
      <c r="P3436" t="n">
        <v>0</v>
      </c>
      <c r="Q3436" t="n">
        <v>0</v>
      </c>
      <c r="R3436" s="2" t="inlineStr"/>
    </row>
    <row r="3437" ht="15" customHeight="1">
      <c r="A3437" t="inlineStr">
        <is>
          <t>A 15152-2023</t>
        </is>
      </c>
      <c r="B3437" s="1" t="n">
        <v>45015</v>
      </c>
      <c r="C3437" s="1" t="n">
        <v>45190</v>
      </c>
      <c r="D3437" t="inlineStr">
        <is>
          <t>SKÅNE LÄN</t>
        </is>
      </c>
      <c r="E3437" t="inlineStr">
        <is>
          <t>OSBY</t>
        </is>
      </c>
      <c r="F3437" t="inlineStr">
        <is>
          <t>Naturvårdsverket</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15227-2023</t>
        </is>
      </c>
      <c r="B3438" s="1" t="n">
        <v>45016</v>
      </c>
      <c r="C3438" s="1" t="n">
        <v>45190</v>
      </c>
      <c r="D3438" t="inlineStr">
        <is>
          <t>SKÅNE LÄN</t>
        </is>
      </c>
      <c r="E3438" t="inlineStr">
        <is>
          <t>KRISTIANSTAD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15157-2023</t>
        </is>
      </c>
      <c r="B3439" s="1" t="n">
        <v>45016</v>
      </c>
      <c r="C3439" s="1" t="n">
        <v>45190</v>
      </c>
      <c r="D3439" t="inlineStr">
        <is>
          <t>SKÅNE LÄN</t>
        </is>
      </c>
      <c r="E3439" t="inlineStr">
        <is>
          <t>SVALÖV</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15525-2023</t>
        </is>
      </c>
      <c r="B3440" s="1" t="n">
        <v>45016</v>
      </c>
      <c r="C3440" s="1" t="n">
        <v>45190</v>
      </c>
      <c r="D3440" t="inlineStr">
        <is>
          <t>SKÅNE LÄN</t>
        </is>
      </c>
      <c r="E3440" t="inlineStr">
        <is>
          <t>OSBY</t>
        </is>
      </c>
      <c r="F3440" t="inlineStr">
        <is>
          <t>Naturvårdsverket</t>
        </is>
      </c>
      <c r="G3440" t="n">
        <v>4.4</v>
      </c>
      <c r="H3440" t="n">
        <v>0</v>
      </c>
      <c r="I3440" t="n">
        <v>0</v>
      </c>
      <c r="J3440" t="n">
        <v>0</v>
      </c>
      <c r="K3440" t="n">
        <v>0</v>
      </c>
      <c r="L3440" t="n">
        <v>0</v>
      </c>
      <c r="M3440" t="n">
        <v>0</v>
      </c>
      <c r="N3440" t="n">
        <v>0</v>
      </c>
      <c r="O3440" t="n">
        <v>0</v>
      </c>
      <c r="P3440" t="n">
        <v>0</v>
      </c>
      <c r="Q3440" t="n">
        <v>0</v>
      </c>
      <c r="R3440" s="2" t="inlineStr"/>
    </row>
    <row r="3441" ht="15" customHeight="1">
      <c r="A3441" t="inlineStr">
        <is>
          <t>A 15133-2023</t>
        </is>
      </c>
      <c r="B3441" s="1" t="n">
        <v>45016</v>
      </c>
      <c r="C3441" s="1" t="n">
        <v>45190</v>
      </c>
      <c r="D3441" t="inlineStr">
        <is>
          <t>SKÅNE LÄN</t>
        </is>
      </c>
      <c r="E3441" t="inlineStr">
        <is>
          <t>HÄSSLEHOLM</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15161-2023</t>
        </is>
      </c>
      <c r="B3442" s="1" t="n">
        <v>45016</v>
      </c>
      <c r="C3442" s="1" t="n">
        <v>45190</v>
      </c>
      <c r="D3442" t="inlineStr">
        <is>
          <t>SKÅNE LÄN</t>
        </is>
      </c>
      <c r="E3442" t="inlineStr">
        <is>
          <t>SVALÖV</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15174-2023</t>
        </is>
      </c>
      <c r="B3443" s="1" t="n">
        <v>45016</v>
      </c>
      <c r="C3443" s="1" t="n">
        <v>45190</v>
      </c>
      <c r="D3443" t="inlineStr">
        <is>
          <t>SKÅNE LÄN</t>
        </is>
      </c>
      <c r="E3443" t="inlineStr">
        <is>
          <t>KRISTIANSTAD</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15154-2023</t>
        </is>
      </c>
      <c r="B3444" s="1" t="n">
        <v>45016</v>
      </c>
      <c r="C3444" s="1" t="n">
        <v>45190</v>
      </c>
      <c r="D3444" t="inlineStr">
        <is>
          <t>SKÅNE LÄN</t>
        </is>
      </c>
      <c r="E3444" t="inlineStr">
        <is>
          <t>ÄNGELHOLM</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15546-2023</t>
        </is>
      </c>
      <c r="B3445" s="1" t="n">
        <v>45018</v>
      </c>
      <c r="C3445" s="1" t="n">
        <v>45190</v>
      </c>
      <c r="D3445" t="inlineStr">
        <is>
          <t>SKÅNE LÄN</t>
        </is>
      </c>
      <c r="E3445" t="inlineStr">
        <is>
          <t>HÄSSLEHOLM</t>
        </is>
      </c>
      <c r="G3445" t="n">
        <v>4.2</v>
      </c>
      <c r="H3445" t="n">
        <v>0</v>
      </c>
      <c r="I3445" t="n">
        <v>0</v>
      </c>
      <c r="J3445" t="n">
        <v>0</v>
      </c>
      <c r="K3445" t="n">
        <v>0</v>
      </c>
      <c r="L3445" t="n">
        <v>0</v>
      </c>
      <c r="M3445" t="n">
        <v>0</v>
      </c>
      <c r="N3445" t="n">
        <v>0</v>
      </c>
      <c r="O3445" t="n">
        <v>0</v>
      </c>
      <c r="P3445" t="n">
        <v>0</v>
      </c>
      <c r="Q3445" t="n">
        <v>0</v>
      </c>
      <c r="R3445" s="2" t="inlineStr"/>
    </row>
    <row r="3446" ht="15" customHeight="1">
      <c r="A3446" t="inlineStr">
        <is>
          <t>A 15359-2023</t>
        </is>
      </c>
      <c r="B3446" s="1" t="n">
        <v>45019</v>
      </c>
      <c r="C3446" s="1" t="n">
        <v>45190</v>
      </c>
      <c r="D3446" t="inlineStr">
        <is>
          <t>SKÅNE LÄN</t>
        </is>
      </c>
      <c r="E3446" t="inlineStr">
        <is>
          <t>OSBY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15357-2023</t>
        </is>
      </c>
      <c r="B3447" s="1" t="n">
        <v>45019</v>
      </c>
      <c r="C3447" s="1" t="n">
        <v>45190</v>
      </c>
      <c r="D3447" t="inlineStr">
        <is>
          <t>SKÅNE LÄN</t>
        </is>
      </c>
      <c r="E3447" t="inlineStr">
        <is>
          <t>ESLÖV</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15492-2023</t>
        </is>
      </c>
      <c r="B3448" s="1" t="n">
        <v>45020</v>
      </c>
      <c r="C3448" s="1" t="n">
        <v>45190</v>
      </c>
      <c r="D3448" t="inlineStr">
        <is>
          <t>SKÅNE LÄN</t>
        </is>
      </c>
      <c r="E3448" t="inlineStr">
        <is>
          <t>KRISTIANSTAD</t>
        </is>
      </c>
      <c r="F3448" t="inlineStr">
        <is>
          <t>Sveaskog</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15514-2023</t>
        </is>
      </c>
      <c r="B3449" s="1" t="n">
        <v>45020</v>
      </c>
      <c r="C3449" s="1" t="n">
        <v>45190</v>
      </c>
      <c r="D3449" t="inlineStr">
        <is>
          <t>SKÅNE LÄN</t>
        </is>
      </c>
      <c r="E3449" t="inlineStr">
        <is>
          <t>TOMELILLA</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15512-2023</t>
        </is>
      </c>
      <c r="B3450" s="1" t="n">
        <v>45020</v>
      </c>
      <c r="C3450" s="1" t="n">
        <v>45190</v>
      </c>
      <c r="D3450" t="inlineStr">
        <is>
          <t>SKÅNE LÄN</t>
        </is>
      </c>
      <c r="E3450" t="inlineStr">
        <is>
          <t>TOMELILLA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15474-2023</t>
        </is>
      </c>
      <c r="B3451" s="1" t="n">
        <v>45020</v>
      </c>
      <c r="C3451" s="1" t="n">
        <v>45190</v>
      </c>
      <c r="D3451" t="inlineStr">
        <is>
          <t>SKÅNE LÄN</t>
        </is>
      </c>
      <c r="E3451" t="inlineStr">
        <is>
          <t>ÅSTORP</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15603-2023</t>
        </is>
      </c>
      <c r="B3452" s="1" t="n">
        <v>45020</v>
      </c>
      <c r="C3452" s="1" t="n">
        <v>45190</v>
      </c>
      <c r="D3452" t="inlineStr">
        <is>
          <t>SKÅNE LÄN</t>
        </is>
      </c>
      <c r="E3452" t="inlineStr">
        <is>
          <t>HÄSSLEHOLM</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15698-2023</t>
        </is>
      </c>
      <c r="B3453" s="1" t="n">
        <v>45021</v>
      </c>
      <c r="C3453" s="1" t="n">
        <v>45190</v>
      </c>
      <c r="D3453" t="inlineStr">
        <is>
          <t>SKÅNE LÄN</t>
        </is>
      </c>
      <c r="E3453" t="inlineStr">
        <is>
          <t>HÄSSLEHOLM</t>
        </is>
      </c>
      <c r="F3453" t="inlineStr">
        <is>
          <t>Kommuner</t>
        </is>
      </c>
      <c r="G3453" t="n">
        <v>5.5</v>
      </c>
      <c r="H3453" t="n">
        <v>0</v>
      </c>
      <c r="I3453" t="n">
        <v>0</v>
      </c>
      <c r="J3453" t="n">
        <v>0</v>
      </c>
      <c r="K3453" t="n">
        <v>0</v>
      </c>
      <c r="L3453" t="n">
        <v>0</v>
      </c>
      <c r="M3453" t="n">
        <v>0</v>
      </c>
      <c r="N3453" t="n">
        <v>0</v>
      </c>
      <c r="O3453" t="n">
        <v>0</v>
      </c>
      <c r="P3453" t="n">
        <v>0</v>
      </c>
      <c r="Q3453" t="n">
        <v>0</v>
      </c>
      <c r="R3453" s="2" t="inlineStr"/>
    </row>
    <row r="3454" ht="15" customHeight="1">
      <c r="A3454" t="inlineStr">
        <is>
          <t>A 15701-2023</t>
        </is>
      </c>
      <c r="B3454" s="1" t="n">
        <v>45021</v>
      </c>
      <c r="C3454" s="1" t="n">
        <v>45190</v>
      </c>
      <c r="D3454" t="inlineStr">
        <is>
          <t>SKÅNE LÄN</t>
        </is>
      </c>
      <c r="E3454" t="inlineStr">
        <is>
          <t>HÄSSLEHOLM</t>
        </is>
      </c>
      <c r="F3454" t="inlineStr">
        <is>
          <t>Kommuner</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15889-2023</t>
        </is>
      </c>
      <c r="B3455" s="1" t="n">
        <v>45022</v>
      </c>
      <c r="C3455" s="1" t="n">
        <v>45190</v>
      </c>
      <c r="D3455" t="inlineStr">
        <is>
          <t>SKÅNE LÄN</t>
        </is>
      </c>
      <c r="E3455" t="inlineStr">
        <is>
          <t>KLIPPAN</t>
        </is>
      </c>
      <c r="G3455" t="n">
        <v>7.4</v>
      </c>
      <c r="H3455" t="n">
        <v>0</v>
      </c>
      <c r="I3455" t="n">
        <v>0</v>
      </c>
      <c r="J3455" t="n">
        <v>0</v>
      </c>
      <c r="K3455" t="n">
        <v>0</v>
      </c>
      <c r="L3455" t="n">
        <v>0</v>
      </c>
      <c r="M3455" t="n">
        <v>0</v>
      </c>
      <c r="N3455" t="n">
        <v>0</v>
      </c>
      <c r="O3455" t="n">
        <v>0</v>
      </c>
      <c r="P3455" t="n">
        <v>0</v>
      </c>
      <c r="Q3455" t="n">
        <v>0</v>
      </c>
      <c r="R3455" s="2" t="inlineStr"/>
    </row>
    <row r="3456" ht="15" customHeight="1">
      <c r="A3456" t="inlineStr">
        <is>
          <t>A 15957-2023</t>
        </is>
      </c>
      <c r="B3456" s="1" t="n">
        <v>45022</v>
      </c>
      <c r="C3456" s="1" t="n">
        <v>45190</v>
      </c>
      <c r="D3456" t="inlineStr">
        <is>
          <t>SKÅNE LÄN</t>
        </is>
      </c>
      <c r="E3456" t="inlineStr">
        <is>
          <t>KRISTIANSTAD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16261-2023</t>
        </is>
      </c>
      <c r="B3457" s="1" t="n">
        <v>45022</v>
      </c>
      <c r="C3457" s="1" t="n">
        <v>45190</v>
      </c>
      <c r="D3457" t="inlineStr">
        <is>
          <t>SKÅNE LÄN</t>
        </is>
      </c>
      <c r="E3457" t="inlineStr">
        <is>
          <t>ÖSTRA GÖINGE</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16419-2023</t>
        </is>
      </c>
      <c r="B3458" s="1" t="n">
        <v>45022</v>
      </c>
      <c r="C3458" s="1" t="n">
        <v>45190</v>
      </c>
      <c r="D3458" t="inlineStr">
        <is>
          <t>SKÅNE LÄN</t>
        </is>
      </c>
      <c r="E3458" t="inlineStr">
        <is>
          <t>ÄNGELHOLM</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15891-2023</t>
        </is>
      </c>
      <c r="B3459" s="1" t="n">
        <v>45022</v>
      </c>
      <c r="C3459" s="1" t="n">
        <v>45190</v>
      </c>
      <c r="D3459" t="inlineStr">
        <is>
          <t>SKÅNE LÄN</t>
        </is>
      </c>
      <c r="E3459" t="inlineStr">
        <is>
          <t>KLIPPAN</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16287-2023</t>
        </is>
      </c>
      <c r="B3460" s="1" t="n">
        <v>45022</v>
      </c>
      <c r="C3460" s="1" t="n">
        <v>45190</v>
      </c>
      <c r="D3460" t="inlineStr">
        <is>
          <t>SKÅNE LÄN</t>
        </is>
      </c>
      <c r="E3460" t="inlineStr">
        <is>
          <t>ÖSTRA GÖINGE</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16017-2023</t>
        </is>
      </c>
      <c r="B3461" s="1" t="n">
        <v>45026</v>
      </c>
      <c r="C3461" s="1" t="n">
        <v>45190</v>
      </c>
      <c r="D3461" t="inlineStr">
        <is>
          <t>SKÅNE LÄN</t>
        </is>
      </c>
      <c r="E3461" t="inlineStr">
        <is>
          <t>HÄSSLEHOLM</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16056-2023</t>
        </is>
      </c>
      <c r="B3462" s="1" t="n">
        <v>45027</v>
      </c>
      <c r="C3462" s="1" t="n">
        <v>45190</v>
      </c>
      <c r="D3462" t="inlineStr">
        <is>
          <t>SKÅNE LÄN</t>
        </is>
      </c>
      <c r="E3462" t="inlineStr">
        <is>
          <t>KLIPPAN</t>
        </is>
      </c>
      <c r="F3462" t="inlineStr">
        <is>
          <t>Sveaskog</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16131-2023</t>
        </is>
      </c>
      <c r="B3463" s="1" t="n">
        <v>45027</v>
      </c>
      <c r="C3463" s="1" t="n">
        <v>45190</v>
      </c>
      <c r="D3463" t="inlineStr">
        <is>
          <t>SKÅNE LÄN</t>
        </is>
      </c>
      <c r="E3463" t="inlineStr">
        <is>
          <t>KRISTIANSTAD</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16304-2023</t>
        </is>
      </c>
      <c r="B3464" s="1" t="n">
        <v>45028</v>
      </c>
      <c r="C3464" s="1" t="n">
        <v>45190</v>
      </c>
      <c r="D3464" t="inlineStr">
        <is>
          <t>SKÅNE LÄN</t>
        </is>
      </c>
      <c r="E3464" t="inlineStr">
        <is>
          <t>KRISTIANSTAD</t>
        </is>
      </c>
      <c r="G3464" t="n">
        <v>2.7</v>
      </c>
      <c r="H3464" t="n">
        <v>0</v>
      </c>
      <c r="I3464" t="n">
        <v>0</v>
      </c>
      <c r="J3464" t="n">
        <v>0</v>
      </c>
      <c r="K3464" t="n">
        <v>0</v>
      </c>
      <c r="L3464" t="n">
        <v>0</v>
      </c>
      <c r="M3464" t="n">
        <v>0</v>
      </c>
      <c r="N3464" t="n">
        <v>0</v>
      </c>
      <c r="O3464" t="n">
        <v>0</v>
      </c>
      <c r="P3464" t="n">
        <v>0</v>
      </c>
      <c r="Q3464" t="n">
        <v>0</v>
      </c>
      <c r="R3464" s="2" t="inlineStr"/>
    </row>
    <row r="3465" ht="15" customHeight="1">
      <c r="A3465" t="inlineStr">
        <is>
          <t>A 16874-2023</t>
        </is>
      </c>
      <c r="B3465" s="1" t="n">
        <v>45028</v>
      </c>
      <c r="C3465" s="1" t="n">
        <v>45190</v>
      </c>
      <c r="D3465" t="inlineStr">
        <is>
          <t>SKÅNE LÄN</t>
        </is>
      </c>
      <c r="E3465" t="inlineStr">
        <is>
          <t>HÄSSLEHOLM</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16441-2023</t>
        </is>
      </c>
      <c r="B3466" s="1" t="n">
        <v>45029</v>
      </c>
      <c r="C3466" s="1" t="n">
        <v>45190</v>
      </c>
      <c r="D3466" t="inlineStr">
        <is>
          <t>SKÅNE LÄN</t>
        </is>
      </c>
      <c r="E3466" t="inlineStr">
        <is>
          <t>ÖSTRA GÖINGE</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16429-2023</t>
        </is>
      </c>
      <c r="B3467" s="1" t="n">
        <v>45029</v>
      </c>
      <c r="C3467" s="1" t="n">
        <v>45190</v>
      </c>
      <c r="D3467" t="inlineStr">
        <is>
          <t>SKÅNE LÄN</t>
        </is>
      </c>
      <c r="E3467" t="inlineStr">
        <is>
          <t>SJÖBO</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16438-2023</t>
        </is>
      </c>
      <c r="B3468" s="1" t="n">
        <v>45029</v>
      </c>
      <c r="C3468" s="1" t="n">
        <v>45190</v>
      </c>
      <c r="D3468" t="inlineStr">
        <is>
          <t>SKÅNE LÄN</t>
        </is>
      </c>
      <c r="E3468" t="inlineStr">
        <is>
          <t>ÖSTRA GÖINGE</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16667-2023</t>
        </is>
      </c>
      <c r="B3469" s="1" t="n">
        <v>45030</v>
      </c>
      <c r="C3469" s="1" t="n">
        <v>45190</v>
      </c>
      <c r="D3469" t="inlineStr">
        <is>
          <t>SKÅNE LÄN</t>
        </is>
      </c>
      <c r="E3469" t="inlineStr">
        <is>
          <t>SVALÖV</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16690-2023</t>
        </is>
      </c>
      <c r="B3470" s="1" t="n">
        <v>45030</v>
      </c>
      <c r="C3470" s="1" t="n">
        <v>45190</v>
      </c>
      <c r="D3470" t="inlineStr">
        <is>
          <t>SKÅNE LÄN</t>
        </is>
      </c>
      <c r="E3470" t="inlineStr">
        <is>
          <t>SVEDALA</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16733-2023</t>
        </is>
      </c>
      <c r="B3471" s="1" t="n">
        <v>45030</v>
      </c>
      <c r="C3471" s="1" t="n">
        <v>45190</v>
      </c>
      <c r="D3471" t="inlineStr">
        <is>
          <t>SKÅNE LÄN</t>
        </is>
      </c>
      <c r="E3471" t="inlineStr">
        <is>
          <t>ESLÖV</t>
        </is>
      </c>
      <c r="G3471" t="n">
        <v>2.6</v>
      </c>
      <c r="H3471" t="n">
        <v>0</v>
      </c>
      <c r="I3471" t="n">
        <v>0</v>
      </c>
      <c r="J3471" t="n">
        <v>0</v>
      </c>
      <c r="K3471" t="n">
        <v>0</v>
      </c>
      <c r="L3471" t="n">
        <v>0</v>
      </c>
      <c r="M3471" t="n">
        <v>0</v>
      </c>
      <c r="N3471" t="n">
        <v>0</v>
      </c>
      <c r="O3471" t="n">
        <v>0</v>
      </c>
      <c r="P3471" t="n">
        <v>0</v>
      </c>
      <c r="Q3471" t="n">
        <v>0</v>
      </c>
      <c r="R3471" s="2" t="inlineStr"/>
    </row>
    <row r="3472" ht="15" customHeight="1">
      <c r="A3472" t="inlineStr">
        <is>
          <t>A 16891-2023</t>
        </is>
      </c>
      <c r="B3472" s="1" t="n">
        <v>45033</v>
      </c>
      <c r="C3472" s="1" t="n">
        <v>45190</v>
      </c>
      <c r="D3472" t="inlineStr">
        <is>
          <t>SKÅNE LÄN</t>
        </is>
      </c>
      <c r="E3472" t="inlineStr">
        <is>
          <t>HÄSSLEHOLM</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16863-2023</t>
        </is>
      </c>
      <c r="B3473" s="1" t="n">
        <v>45033</v>
      </c>
      <c r="C3473" s="1" t="n">
        <v>45190</v>
      </c>
      <c r="D3473" t="inlineStr">
        <is>
          <t>SKÅNE LÄN</t>
        </is>
      </c>
      <c r="E3473" t="inlineStr">
        <is>
          <t>TOMELILLA</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17253-2023</t>
        </is>
      </c>
      <c r="B3474" s="1" t="n">
        <v>45033</v>
      </c>
      <c r="C3474" s="1" t="n">
        <v>45190</v>
      </c>
      <c r="D3474" t="inlineStr">
        <is>
          <t>SKÅNE LÄN</t>
        </is>
      </c>
      <c r="E3474" t="inlineStr">
        <is>
          <t>BROMÖLLA</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17176-2023</t>
        </is>
      </c>
      <c r="B3475" s="1" t="n">
        <v>45034</v>
      </c>
      <c r="C3475" s="1" t="n">
        <v>45190</v>
      </c>
      <c r="D3475" t="inlineStr">
        <is>
          <t>SKÅNE LÄN</t>
        </is>
      </c>
      <c r="E3475" t="inlineStr">
        <is>
          <t>HÄSSLEHOLM</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17458-2023</t>
        </is>
      </c>
      <c r="B3476" s="1" t="n">
        <v>45034</v>
      </c>
      <c r="C3476" s="1" t="n">
        <v>45190</v>
      </c>
      <c r="D3476" t="inlineStr">
        <is>
          <t>SKÅNE LÄN</t>
        </is>
      </c>
      <c r="E3476" t="inlineStr">
        <is>
          <t>ÖRKELLJUNGA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17073-2023</t>
        </is>
      </c>
      <c r="B3477" s="1" t="n">
        <v>45034</v>
      </c>
      <c r="C3477" s="1" t="n">
        <v>45190</v>
      </c>
      <c r="D3477" t="inlineStr">
        <is>
          <t>SKÅNE LÄN</t>
        </is>
      </c>
      <c r="E3477" t="inlineStr">
        <is>
          <t>HÖRBY</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17649-2023</t>
        </is>
      </c>
      <c r="B3478" s="1" t="n">
        <v>45035</v>
      </c>
      <c r="C3478" s="1" t="n">
        <v>45190</v>
      </c>
      <c r="D3478" t="inlineStr">
        <is>
          <t>SKÅNE LÄN</t>
        </is>
      </c>
      <c r="E3478" t="inlineStr">
        <is>
          <t>OSBY</t>
        </is>
      </c>
      <c r="G3478" t="n">
        <v>11.3</v>
      </c>
      <c r="H3478" t="n">
        <v>0</v>
      </c>
      <c r="I3478" t="n">
        <v>0</v>
      </c>
      <c r="J3478" t="n">
        <v>0</v>
      </c>
      <c r="K3478" t="n">
        <v>0</v>
      </c>
      <c r="L3478" t="n">
        <v>0</v>
      </c>
      <c r="M3478" t="n">
        <v>0</v>
      </c>
      <c r="N3478" t="n">
        <v>0</v>
      </c>
      <c r="O3478" t="n">
        <v>0</v>
      </c>
      <c r="P3478" t="n">
        <v>0</v>
      </c>
      <c r="Q3478" t="n">
        <v>0</v>
      </c>
      <c r="R3478" s="2" t="inlineStr"/>
    </row>
    <row r="3479" ht="15" customHeight="1">
      <c r="A3479" t="inlineStr">
        <is>
          <t>A 17673-2023</t>
        </is>
      </c>
      <c r="B3479" s="1" t="n">
        <v>45035</v>
      </c>
      <c r="C3479" s="1" t="n">
        <v>45190</v>
      </c>
      <c r="D3479" t="inlineStr">
        <is>
          <t>SKÅNE LÄN</t>
        </is>
      </c>
      <c r="E3479" t="inlineStr">
        <is>
          <t>OSBY</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17641-2023</t>
        </is>
      </c>
      <c r="B3480" s="1" t="n">
        <v>45035</v>
      </c>
      <c r="C3480" s="1" t="n">
        <v>45190</v>
      </c>
      <c r="D3480" t="inlineStr">
        <is>
          <t>SKÅNE LÄN</t>
        </is>
      </c>
      <c r="E3480" t="inlineStr">
        <is>
          <t>ÖRKELLJUNGA</t>
        </is>
      </c>
      <c r="G3480" t="n">
        <v>7.3</v>
      </c>
      <c r="H3480" t="n">
        <v>0</v>
      </c>
      <c r="I3480" t="n">
        <v>0</v>
      </c>
      <c r="J3480" t="n">
        <v>0</v>
      </c>
      <c r="K3480" t="n">
        <v>0</v>
      </c>
      <c r="L3480" t="n">
        <v>0</v>
      </c>
      <c r="M3480" t="n">
        <v>0</v>
      </c>
      <c r="N3480" t="n">
        <v>0</v>
      </c>
      <c r="O3480" t="n">
        <v>0</v>
      </c>
      <c r="P3480" t="n">
        <v>0</v>
      </c>
      <c r="Q3480" t="n">
        <v>0</v>
      </c>
      <c r="R3480" s="2" t="inlineStr"/>
    </row>
    <row r="3481" ht="15" customHeight="1">
      <c r="A3481" t="inlineStr">
        <is>
          <t>A 17675-2023</t>
        </is>
      </c>
      <c r="B3481" s="1" t="n">
        <v>45035</v>
      </c>
      <c r="C3481" s="1" t="n">
        <v>45190</v>
      </c>
      <c r="D3481" t="inlineStr">
        <is>
          <t>SKÅNE LÄN</t>
        </is>
      </c>
      <c r="E3481" t="inlineStr">
        <is>
          <t>OSBY</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17400-2023</t>
        </is>
      </c>
      <c r="B3482" s="1" t="n">
        <v>45035</v>
      </c>
      <c r="C3482" s="1" t="n">
        <v>45190</v>
      </c>
      <c r="D3482" t="inlineStr">
        <is>
          <t>SKÅNE LÄN</t>
        </is>
      </c>
      <c r="E3482" t="inlineStr">
        <is>
          <t>KRISTIANSTAD</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17519-2023</t>
        </is>
      </c>
      <c r="B3483" s="1" t="n">
        <v>45036</v>
      </c>
      <c r="C3483" s="1" t="n">
        <v>45190</v>
      </c>
      <c r="D3483" t="inlineStr">
        <is>
          <t>SKÅNE LÄN</t>
        </is>
      </c>
      <c r="E3483" t="inlineStr">
        <is>
          <t>LUND</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17535-2023</t>
        </is>
      </c>
      <c r="B3484" s="1" t="n">
        <v>45036</v>
      </c>
      <c r="C3484" s="1" t="n">
        <v>45190</v>
      </c>
      <c r="D3484" t="inlineStr">
        <is>
          <t>SKÅNE LÄN</t>
        </is>
      </c>
      <c r="E3484" t="inlineStr">
        <is>
          <t>HÄSSLEHOLM</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17592-2023</t>
        </is>
      </c>
      <c r="B3485" s="1" t="n">
        <v>45036</v>
      </c>
      <c r="C3485" s="1" t="n">
        <v>45190</v>
      </c>
      <c r="D3485" t="inlineStr">
        <is>
          <t>SKÅNE LÄN</t>
        </is>
      </c>
      <c r="E3485" t="inlineStr">
        <is>
          <t>OSBY</t>
        </is>
      </c>
      <c r="G3485" t="n">
        <v>5.9</v>
      </c>
      <c r="H3485" t="n">
        <v>0</v>
      </c>
      <c r="I3485" t="n">
        <v>0</v>
      </c>
      <c r="J3485" t="n">
        <v>0</v>
      </c>
      <c r="K3485" t="n">
        <v>0</v>
      </c>
      <c r="L3485" t="n">
        <v>0</v>
      </c>
      <c r="M3485" t="n">
        <v>0</v>
      </c>
      <c r="N3485" t="n">
        <v>0</v>
      </c>
      <c r="O3485" t="n">
        <v>0</v>
      </c>
      <c r="P3485" t="n">
        <v>0</v>
      </c>
      <c r="Q3485" t="n">
        <v>0</v>
      </c>
      <c r="R3485" s="2" t="inlineStr"/>
    </row>
    <row r="3486" ht="15" customHeight="1">
      <c r="A3486" t="inlineStr">
        <is>
          <t>A 17612-2023</t>
        </is>
      </c>
      <c r="B3486" s="1" t="n">
        <v>45036</v>
      </c>
      <c r="C3486" s="1" t="n">
        <v>45190</v>
      </c>
      <c r="D3486" t="inlineStr">
        <is>
          <t>SKÅNE LÄN</t>
        </is>
      </c>
      <c r="E3486" t="inlineStr">
        <is>
          <t>OSBY</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17587-2023</t>
        </is>
      </c>
      <c r="B3487" s="1" t="n">
        <v>45036</v>
      </c>
      <c r="C3487" s="1" t="n">
        <v>45190</v>
      </c>
      <c r="D3487" t="inlineStr">
        <is>
          <t>SKÅNE LÄN</t>
        </is>
      </c>
      <c r="E3487" t="inlineStr">
        <is>
          <t>OSBY</t>
        </is>
      </c>
      <c r="G3487" t="n">
        <v>2.6</v>
      </c>
      <c r="H3487" t="n">
        <v>0</v>
      </c>
      <c r="I3487" t="n">
        <v>0</v>
      </c>
      <c r="J3487" t="n">
        <v>0</v>
      </c>
      <c r="K3487" t="n">
        <v>0</v>
      </c>
      <c r="L3487" t="n">
        <v>0</v>
      </c>
      <c r="M3487" t="n">
        <v>0</v>
      </c>
      <c r="N3487" t="n">
        <v>0</v>
      </c>
      <c r="O3487" t="n">
        <v>0</v>
      </c>
      <c r="P3487" t="n">
        <v>0</v>
      </c>
      <c r="Q3487" t="n">
        <v>0</v>
      </c>
      <c r="R3487" s="2" t="inlineStr"/>
    </row>
    <row r="3488" ht="15" customHeight="1">
      <c r="A3488" t="inlineStr">
        <is>
          <t>A 17616-2023</t>
        </is>
      </c>
      <c r="B3488" s="1" t="n">
        <v>45036</v>
      </c>
      <c r="C3488" s="1" t="n">
        <v>45190</v>
      </c>
      <c r="D3488" t="inlineStr">
        <is>
          <t>SKÅNE LÄN</t>
        </is>
      </c>
      <c r="E3488" t="inlineStr">
        <is>
          <t>OSBY</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17723-2023</t>
        </is>
      </c>
      <c r="B3489" s="1" t="n">
        <v>45037</v>
      </c>
      <c r="C3489" s="1" t="n">
        <v>45190</v>
      </c>
      <c r="D3489" t="inlineStr">
        <is>
          <t>SKÅNE LÄN</t>
        </is>
      </c>
      <c r="E3489" t="inlineStr">
        <is>
          <t>HÖÖR</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17715-2023</t>
        </is>
      </c>
      <c r="B3490" s="1" t="n">
        <v>45037</v>
      </c>
      <c r="C3490" s="1" t="n">
        <v>45190</v>
      </c>
      <c r="D3490" t="inlineStr">
        <is>
          <t>SKÅNE LÄN</t>
        </is>
      </c>
      <c r="E3490" t="inlineStr">
        <is>
          <t>OSBY</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17774-2023</t>
        </is>
      </c>
      <c r="B3491" s="1" t="n">
        <v>45037</v>
      </c>
      <c r="C3491" s="1" t="n">
        <v>45190</v>
      </c>
      <c r="D3491" t="inlineStr">
        <is>
          <t>SKÅNE LÄN</t>
        </is>
      </c>
      <c r="E3491" t="inlineStr">
        <is>
          <t>HÄSSLEHOLM</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18240-2023</t>
        </is>
      </c>
      <c r="B3492" s="1" t="n">
        <v>45040</v>
      </c>
      <c r="C3492" s="1" t="n">
        <v>45190</v>
      </c>
      <c r="D3492" t="inlineStr">
        <is>
          <t>SKÅNE LÄN</t>
        </is>
      </c>
      <c r="E3492" t="inlineStr">
        <is>
          <t>ESLÖV</t>
        </is>
      </c>
      <c r="F3492" t="inlineStr">
        <is>
          <t>Övriga Aktiebolag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18041-2023</t>
        </is>
      </c>
      <c r="B3493" s="1" t="n">
        <v>45040</v>
      </c>
      <c r="C3493" s="1" t="n">
        <v>45190</v>
      </c>
      <c r="D3493" t="inlineStr">
        <is>
          <t>SKÅNE LÄN</t>
        </is>
      </c>
      <c r="E3493" t="inlineStr">
        <is>
          <t>HÄSSLEHOLM</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18086-2023</t>
        </is>
      </c>
      <c r="B3494" s="1" t="n">
        <v>45040</v>
      </c>
      <c r="C3494" s="1" t="n">
        <v>45190</v>
      </c>
      <c r="D3494" t="inlineStr">
        <is>
          <t>SKÅNE LÄN</t>
        </is>
      </c>
      <c r="E3494" t="inlineStr">
        <is>
          <t>HÄSSLEHOLM</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18214-2023</t>
        </is>
      </c>
      <c r="B3495" s="1" t="n">
        <v>45040</v>
      </c>
      <c r="C3495" s="1" t="n">
        <v>45190</v>
      </c>
      <c r="D3495" t="inlineStr">
        <is>
          <t>SKÅNE LÄN</t>
        </is>
      </c>
      <c r="E3495" t="inlineStr">
        <is>
          <t>KLIPPAN</t>
        </is>
      </c>
      <c r="G3495" t="n">
        <v>6.6</v>
      </c>
      <c r="H3495" t="n">
        <v>0</v>
      </c>
      <c r="I3495" t="n">
        <v>0</v>
      </c>
      <c r="J3495" t="n">
        <v>0</v>
      </c>
      <c r="K3495" t="n">
        <v>0</v>
      </c>
      <c r="L3495" t="n">
        <v>0</v>
      </c>
      <c r="M3495" t="n">
        <v>0</v>
      </c>
      <c r="N3495" t="n">
        <v>0</v>
      </c>
      <c r="O3495" t="n">
        <v>0</v>
      </c>
      <c r="P3495" t="n">
        <v>0</v>
      </c>
      <c r="Q3495" t="n">
        <v>0</v>
      </c>
      <c r="R3495" s="2" t="inlineStr"/>
    </row>
    <row r="3496" ht="15" customHeight="1">
      <c r="A3496" t="inlineStr">
        <is>
          <t>A 18354-2023</t>
        </is>
      </c>
      <c r="B3496" s="1" t="n">
        <v>45041</v>
      </c>
      <c r="C3496" s="1" t="n">
        <v>45190</v>
      </c>
      <c r="D3496" t="inlineStr">
        <is>
          <t>SKÅNE LÄN</t>
        </is>
      </c>
      <c r="E3496" t="inlineStr">
        <is>
          <t>ÖSTRA GÖINGE</t>
        </is>
      </c>
      <c r="G3496" t="n">
        <v>5.4</v>
      </c>
      <c r="H3496" t="n">
        <v>0</v>
      </c>
      <c r="I3496" t="n">
        <v>0</v>
      </c>
      <c r="J3496" t="n">
        <v>0</v>
      </c>
      <c r="K3496" t="n">
        <v>0</v>
      </c>
      <c r="L3496" t="n">
        <v>0</v>
      </c>
      <c r="M3496" t="n">
        <v>0</v>
      </c>
      <c r="N3496" t="n">
        <v>0</v>
      </c>
      <c r="O3496" t="n">
        <v>0</v>
      </c>
      <c r="P3496" t="n">
        <v>0</v>
      </c>
      <c r="Q3496" t="n">
        <v>0</v>
      </c>
      <c r="R3496" s="2" t="inlineStr"/>
    </row>
    <row r="3497" ht="15" customHeight="1">
      <c r="A3497" t="inlineStr">
        <is>
          <t>A 18227-2023</t>
        </is>
      </c>
      <c r="B3497" s="1" t="n">
        <v>45041</v>
      </c>
      <c r="C3497" s="1" t="n">
        <v>45190</v>
      </c>
      <c r="D3497" t="inlineStr">
        <is>
          <t>SKÅNE LÄN</t>
        </is>
      </c>
      <c r="E3497" t="inlineStr">
        <is>
          <t>SJÖBO</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18231-2023</t>
        </is>
      </c>
      <c r="B3498" s="1" t="n">
        <v>45041</v>
      </c>
      <c r="C3498" s="1" t="n">
        <v>45190</v>
      </c>
      <c r="D3498" t="inlineStr">
        <is>
          <t>SKÅNE LÄN</t>
        </is>
      </c>
      <c r="E3498" t="inlineStr">
        <is>
          <t>ESLÖV</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18246-2023</t>
        </is>
      </c>
      <c r="B3499" s="1" t="n">
        <v>45041</v>
      </c>
      <c r="C3499" s="1" t="n">
        <v>45190</v>
      </c>
      <c r="D3499" t="inlineStr">
        <is>
          <t>SKÅNE LÄN</t>
        </is>
      </c>
      <c r="E3499" t="inlineStr">
        <is>
          <t>HÖÖR</t>
        </is>
      </c>
      <c r="G3499" t="n">
        <v>0.2</v>
      </c>
      <c r="H3499" t="n">
        <v>0</v>
      </c>
      <c r="I3499" t="n">
        <v>0</v>
      </c>
      <c r="J3499" t="n">
        <v>0</v>
      </c>
      <c r="K3499" t="n">
        <v>0</v>
      </c>
      <c r="L3499" t="n">
        <v>0</v>
      </c>
      <c r="M3499" t="n">
        <v>0</v>
      </c>
      <c r="N3499" t="n">
        <v>0</v>
      </c>
      <c r="O3499" t="n">
        <v>0</v>
      </c>
      <c r="P3499" t="n">
        <v>0</v>
      </c>
      <c r="Q3499" t="n">
        <v>0</v>
      </c>
      <c r="R3499" s="2" t="inlineStr"/>
    </row>
    <row r="3500" ht="15" customHeight="1">
      <c r="A3500" t="inlineStr">
        <is>
          <t>A 18434-2023</t>
        </is>
      </c>
      <c r="B3500" s="1" t="n">
        <v>45042</v>
      </c>
      <c r="C3500" s="1" t="n">
        <v>45190</v>
      </c>
      <c r="D3500" t="inlineStr">
        <is>
          <t>SKÅNE LÄN</t>
        </is>
      </c>
      <c r="E3500" t="inlineStr">
        <is>
          <t>BÅSTAD</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18623-2023</t>
        </is>
      </c>
      <c r="B3501" s="1" t="n">
        <v>45043</v>
      </c>
      <c r="C3501" s="1" t="n">
        <v>45190</v>
      </c>
      <c r="D3501" t="inlineStr">
        <is>
          <t>SKÅNE LÄN</t>
        </is>
      </c>
      <c r="E3501" t="inlineStr">
        <is>
          <t>HÄSSLEHOLM</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18629-2023</t>
        </is>
      </c>
      <c r="B3502" s="1" t="n">
        <v>45043</v>
      </c>
      <c r="C3502" s="1" t="n">
        <v>45190</v>
      </c>
      <c r="D3502" t="inlineStr">
        <is>
          <t>SKÅNE LÄN</t>
        </is>
      </c>
      <c r="E3502" t="inlineStr">
        <is>
          <t>ÖSTRA GÖINGE</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18800-2023</t>
        </is>
      </c>
      <c r="B3503" s="1" t="n">
        <v>45044</v>
      </c>
      <c r="C3503" s="1" t="n">
        <v>45190</v>
      </c>
      <c r="D3503" t="inlineStr">
        <is>
          <t>SKÅNE LÄN</t>
        </is>
      </c>
      <c r="E3503" t="inlineStr">
        <is>
          <t>HÄSSLEHOLM</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18973-2023</t>
        </is>
      </c>
      <c r="B3504" s="1" t="n">
        <v>45044</v>
      </c>
      <c r="C3504" s="1" t="n">
        <v>45190</v>
      </c>
      <c r="D3504" t="inlineStr">
        <is>
          <t>SKÅNE LÄN</t>
        </is>
      </c>
      <c r="E3504" t="inlineStr">
        <is>
          <t>SJÖBO</t>
        </is>
      </c>
      <c r="G3504" t="n">
        <v>9.4</v>
      </c>
      <c r="H3504" t="n">
        <v>0</v>
      </c>
      <c r="I3504" t="n">
        <v>0</v>
      </c>
      <c r="J3504" t="n">
        <v>0</v>
      </c>
      <c r="K3504" t="n">
        <v>0</v>
      </c>
      <c r="L3504" t="n">
        <v>0</v>
      </c>
      <c r="M3504" t="n">
        <v>0</v>
      </c>
      <c r="N3504" t="n">
        <v>0</v>
      </c>
      <c r="O3504" t="n">
        <v>0</v>
      </c>
      <c r="P3504" t="n">
        <v>0</v>
      </c>
      <c r="Q3504" t="n">
        <v>0</v>
      </c>
      <c r="R3504" s="2" t="inlineStr"/>
    </row>
    <row r="3505" ht="15" customHeight="1">
      <c r="A3505" t="inlineStr">
        <is>
          <t>A 18908-2023</t>
        </is>
      </c>
      <c r="B3505" s="1" t="n">
        <v>45044</v>
      </c>
      <c r="C3505" s="1" t="n">
        <v>45190</v>
      </c>
      <c r="D3505" t="inlineStr">
        <is>
          <t>SKÅNE LÄN</t>
        </is>
      </c>
      <c r="E3505" t="inlineStr">
        <is>
          <t>HÄSSLEHOLM</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19151-2023</t>
        </is>
      </c>
      <c r="B3506" s="1" t="n">
        <v>45044</v>
      </c>
      <c r="C3506" s="1" t="n">
        <v>45190</v>
      </c>
      <c r="D3506" t="inlineStr">
        <is>
          <t>SKÅNE LÄN</t>
        </is>
      </c>
      <c r="E3506" t="inlineStr">
        <is>
          <t>HÄSSLEHOLM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19190-2023</t>
        </is>
      </c>
      <c r="B3507" s="1" t="n">
        <v>45048</v>
      </c>
      <c r="C3507" s="1" t="n">
        <v>45190</v>
      </c>
      <c r="D3507" t="inlineStr">
        <is>
          <t>SKÅNE LÄN</t>
        </is>
      </c>
      <c r="E3507" t="inlineStr">
        <is>
          <t>SVEDALA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19140-2023</t>
        </is>
      </c>
      <c r="B3508" s="1" t="n">
        <v>45048</v>
      </c>
      <c r="C3508" s="1" t="n">
        <v>45190</v>
      </c>
      <c r="D3508" t="inlineStr">
        <is>
          <t>SKÅNE LÄN</t>
        </is>
      </c>
      <c r="E3508" t="inlineStr">
        <is>
          <t>ÄNGELHOLM</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19141-2023</t>
        </is>
      </c>
      <c r="B3509" s="1" t="n">
        <v>45048</v>
      </c>
      <c r="C3509" s="1" t="n">
        <v>45190</v>
      </c>
      <c r="D3509" t="inlineStr">
        <is>
          <t>SKÅNE LÄN</t>
        </is>
      </c>
      <c r="E3509" t="inlineStr">
        <is>
          <t>HÄSSLEHOLM</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19390-2023</t>
        </is>
      </c>
      <c r="B3510" s="1" t="n">
        <v>45048</v>
      </c>
      <c r="C3510" s="1" t="n">
        <v>45190</v>
      </c>
      <c r="D3510" t="inlineStr">
        <is>
          <t>SKÅNE LÄN</t>
        </is>
      </c>
      <c r="E3510" t="inlineStr">
        <is>
          <t>ÖRKELLJUNGA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19302-2023</t>
        </is>
      </c>
      <c r="B3511" s="1" t="n">
        <v>45049</v>
      </c>
      <c r="C3511" s="1" t="n">
        <v>45190</v>
      </c>
      <c r="D3511" t="inlineStr">
        <is>
          <t>SKÅNE LÄN</t>
        </is>
      </c>
      <c r="E3511" t="inlineStr">
        <is>
          <t>HÖÖR</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19357-2023</t>
        </is>
      </c>
      <c r="B3512" s="1" t="n">
        <v>45049</v>
      </c>
      <c r="C3512" s="1" t="n">
        <v>45190</v>
      </c>
      <c r="D3512" t="inlineStr">
        <is>
          <t>SKÅNE LÄN</t>
        </is>
      </c>
      <c r="E3512" t="inlineStr">
        <is>
          <t>KRISTIANSTAD</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19257-2023</t>
        </is>
      </c>
      <c r="B3513" s="1" t="n">
        <v>45049</v>
      </c>
      <c r="C3513" s="1" t="n">
        <v>45190</v>
      </c>
      <c r="D3513" t="inlineStr">
        <is>
          <t>SKÅNE LÄN</t>
        </is>
      </c>
      <c r="E3513" t="inlineStr">
        <is>
          <t>KRISTIANSTAD</t>
        </is>
      </c>
      <c r="G3513" t="n">
        <v>7.6</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45190</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45190</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45190</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45190</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45190</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45190</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45190</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45190</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45190</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45190</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45190</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45190</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45190</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45190</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45190</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45190</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45190</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45190</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45190</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45190</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45190</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45190</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45190</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45190</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45190</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45190</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45190</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45190</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45190</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45190</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45190</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45190</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45190</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45190</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45190</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45190</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45190</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45190</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45190</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45190</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45190</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45190</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45190</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45190</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45190</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45190</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45190</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45190</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45190</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45190</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45190</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45190</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45190</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45190</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45190</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45190</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45190</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45190</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45190</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45190</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45190</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45190</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45190</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45190</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45190</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45190</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45190</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45190</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45190</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45190</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45190</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45190</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45190</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45190</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45190</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45190</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45190</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45190</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45190</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45190</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45190</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45190</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45190</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45190</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45190</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45190</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45190</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45190</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45190</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45190</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45190</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45190</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45190</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45190</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45190</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45190</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45190</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45190</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45190</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45190</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45190</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45190</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45190</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45190</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45190</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45190</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45190</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45190</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45190</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45190</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45190</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45190</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45190</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45190</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45190</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45190</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45190</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45190</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45190</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45190</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45190</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45190</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45190</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45190</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45190</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45190</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45190</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45190</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45190</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45190</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45190</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45190</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45190</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45190</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45190</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45190</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45190</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45190</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45190</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45190</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45190</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45190</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45190</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45190</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45190</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45190</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45190</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45190</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45190</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45190</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45190</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45190</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45190</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45190</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45190</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45190</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45190</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45190</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45190</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45190</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45190</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45190</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45190</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45190</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45190</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45190</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45190</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45190</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45190</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45190</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45190</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45190</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45190</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45190</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45190</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45190</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45190</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45190</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45190</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45190</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45190</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45190</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45190</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45190</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45190</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45190</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45190</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45190</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45190</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45190</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45190</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45190</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45190</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45190</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45190</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45190</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45190</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45190</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45190</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45190</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45190</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45190</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45190</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45190</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45190</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45190</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45190</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45190</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45190</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45190</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45190</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45190</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45190</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45190</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45190</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45190</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45190</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45190</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45190</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45190</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45190</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45190</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45190</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45190</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45190</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45190</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45190</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45190</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45190</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45190</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45190</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45190</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45190</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45190</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45190</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45190</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45190</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45190</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45190</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45190</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45190</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45190</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45190</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45190</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45190</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45190</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45190</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45190</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45190</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45190</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45190</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45190</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45190</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45190</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45190</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45190</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45190</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45190</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45190</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45190</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45190</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45190</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45190</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45190</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45190</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45190</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45190</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45190</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45190</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45190</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45190</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45190</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45190</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45190</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45190</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45190</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45190</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45190</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45190</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45190</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45190</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45190</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45190</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45190</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45190</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45190</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45190</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45190</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45190</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45190</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45190</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45190</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45190</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45190</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45190</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45190</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45190</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45190</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45190</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45190</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45190</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45190</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45190</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45190</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45190</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45190</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45190</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45190</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45190</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45190</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45190</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45190</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45190</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45190</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45190</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45190</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45190</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45190</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45190</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45190</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45190</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45190</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45190</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45190</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45190</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45190</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45190</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45190</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45190</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45190</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45190</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45190</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45190</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45190</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45190</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45190</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45190</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45190</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45190</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45190</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45190</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45190</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45190</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45190</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45190</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45190</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45190</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45190</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45190</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45190</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45190</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45190</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45190</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45190</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45190</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45190</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45190</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45190</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45190</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45190</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45190</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45190</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45190</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45190</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45190</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45190</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45190</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45190</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45190</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45190</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45190</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45190</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45190</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45190</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45190</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45190</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45190</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45190</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45190</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45190</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45190</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45190</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45190</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45190</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45190</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45190</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45190</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45190</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45190</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45190</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45190</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45190</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45190</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45190</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45190</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45190</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45190</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45190</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45190</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45190</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45190</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45190</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45190</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45190</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45190</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45190</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45190</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45190</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45190</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45190</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45190</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45190</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45190</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45190</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45190</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45190</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45190</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45190</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45190</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45190</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45190</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45190</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45190</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45190</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45190</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45190</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45190</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45190</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45190</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45190</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45190</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44553-2023</t>
        </is>
      </c>
      <c r="B3945" s="1" t="n">
        <v>45189</v>
      </c>
      <c r="C3945" s="1" t="n">
        <v>45190</v>
      </c>
      <c r="D3945" t="inlineStr">
        <is>
          <t>SKÅNE LÄN</t>
        </is>
      </c>
      <c r="E3945" t="inlineStr">
        <is>
          <t>KRISTIANSTAD</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44550-2023</t>
        </is>
      </c>
      <c r="B3946" s="1" t="n">
        <v>45189</v>
      </c>
      <c r="C3946" s="1" t="n">
        <v>45190</v>
      </c>
      <c r="D3946" t="inlineStr">
        <is>
          <t>SKÅNE LÄN</t>
        </is>
      </c>
      <c r="E3946" t="inlineStr">
        <is>
          <t>KRISTIANSTAD</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44434-2023</t>
        </is>
      </c>
      <c r="B3947" s="1" t="n">
        <v>45189</v>
      </c>
      <c r="C3947" s="1" t="n">
        <v>45190</v>
      </c>
      <c r="D3947" t="inlineStr">
        <is>
          <t>SKÅNE LÄN</t>
        </is>
      </c>
      <c r="E3947" t="inlineStr">
        <is>
          <t>SVALÖV</t>
        </is>
      </c>
      <c r="G3947" t="n">
        <v>1.2</v>
      </c>
      <c r="H3947" t="n">
        <v>0</v>
      </c>
      <c r="I3947" t="n">
        <v>0</v>
      </c>
      <c r="J3947" t="n">
        <v>0</v>
      </c>
      <c r="K3947" t="n">
        <v>0</v>
      </c>
      <c r="L3947" t="n">
        <v>0</v>
      </c>
      <c r="M3947" t="n">
        <v>0</v>
      </c>
      <c r="N3947" t="n">
        <v>0</v>
      </c>
      <c r="O3947" t="n">
        <v>0</v>
      </c>
      <c r="P3947" t="n">
        <v>0</v>
      </c>
      <c r="Q3947" t="n">
        <v>0</v>
      </c>
      <c r="R3947" s="2" t="inlineStr"/>
    </row>
    <row r="3948">
      <c r="A3948" t="inlineStr">
        <is>
          <t>A 44448-2023</t>
        </is>
      </c>
      <c r="B3948" s="1" t="n">
        <v>45189</v>
      </c>
      <c r="C3948" s="1" t="n">
        <v>45190</v>
      </c>
      <c r="D3948" t="inlineStr">
        <is>
          <t>SKÅNE LÄN</t>
        </is>
      </c>
      <c r="E3948" t="inlineStr">
        <is>
          <t>ÄNGELHOLM</t>
        </is>
      </c>
      <c r="G3948" t="n">
        <v>0.6</v>
      </c>
      <c r="H3948" t="n">
        <v>0</v>
      </c>
      <c r="I3948" t="n">
        <v>0</v>
      </c>
      <c r="J3948" t="n">
        <v>0</v>
      </c>
      <c r="K3948" t="n">
        <v>0</v>
      </c>
      <c r="L3948" t="n">
        <v>0</v>
      </c>
      <c r="M3948" t="n">
        <v>0</v>
      </c>
      <c r="N3948" t="n">
        <v>0</v>
      </c>
      <c r="O3948" t="n">
        <v>0</v>
      </c>
      <c r="P3948" t="n">
        <v>0</v>
      </c>
      <c r="Q3948" t="n">
        <v>0</v>
      </c>
      <c r="R394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2023-09-21T06:48:53Z</dcterms:created>
  <dcterms:modified xmlns:dcterms="http://purl.org/dc/terms/" xmlns:xsi="http://www.w3.org/2001/XMLSchema-instance" xsi:type="dcterms:W3CDTF">2023-09-21T06:48:55Z</dcterms:modified>
</cp:coreProperties>
</file>