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81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28450-2023</t>
        </is>
      </c>
      <c r="B2" s="1" t="n">
        <v>45103</v>
      </c>
      <c r="C2" s="1" t="n">
        <v>45192</v>
      </c>
      <c r="D2" t="inlineStr">
        <is>
          <t>VÄSTERBOTTENS LÄN</t>
        </is>
      </c>
      <c r="E2" t="inlineStr">
        <is>
          <t>SKELLEFTEÅ</t>
        </is>
      </c>
      <c r="F2" t="inlineStr">
        <is>
          <t>Holmen skog AB</t>
        </is>
      </c>
      <c r="G2" t="n">
        <v>24.1</v>
      </c>
      <c r="H2" t="n">
        <v>5</v>
      </c>
      <c r="I2" t="n">
        <v>7</v>
      </c>
      <c r="J2" t="n">
        <v>12</v>
      </c>
      <c r="K2" t="n">
        <v>3</v>
      </c>
      <c r="L2" t="n">
        <v>0</v>
      </c>
      <c r="M2" t="n">
        <v>0</v>
      </c>
      <c r="N2" t="n">
        <v>0</v>
      </c>
      <c r="O2" t="n">
        <v>15</v>
      </c>
      <c r="P2" t="n">
        <v>3</v>
      </c>
      <c r="Q2" t="n">
        <v>23</v>
      </c>
      <c r="R2" s="2" t="inlineStr">
        <is>
          <t>Knärot
Rynkskinn
Ulltickeporing
Gammelgransskål
Garnlav
Granticka
Gränsticka
Leptoporus mollis
Lunglav
Rosenticka
Spillkråka
Stjärntagging
Tretåig hackspett
Ullticka
Violettgrå tagellav
Bronshjon
Grönpyrola
Rödgul trumpetsvamp
Skinnlav
Spindelblomster
Vedticka
Vågbandad barkbock
Fläcknycklar</t>
        </is>
      </c>
      <c r="S2">
        <f>HYPERLINK("https://klasma.github.io/Logging_SKELLEFTEA/artfynd/A 28450-2023.xlsx", "A 28450-2023")</f>
        <v/>
      </c>
      <c r="T2">
        <f>HYPERLINK("https://klasma.github.io/Logging_SKELLEFTEA/kartor/A 28450-2023.png", "A 28450-2023")</f>
        <v/>
      </c>
      <c r="U2">
        <f>HYPERLINK("https://klasma.github.io/Logging_SKELLEFTEA/knärot/A 28450-2023.png", "A 28450-2023")</f>
        <v/>
      </c>
      <c r="V2">
        <f>HYPERLINK("https://klasma.github.io/Logging_SKELLEFTEA/klagomål/A 28450-2023.docx", "A 28450-2023")</f>
        <v/>
      </c>
      <c r="W2">
        <f>HYPERLINK("https://klasma.github.io/Logging_SKELLEFTEA/klagomålsmail/A 28450-2023.docx", "A 28450-2023")</f>
        <v/>
      </c>
      <c r="X2">
        <f>HYPERLINK("https://klasma.github.io/Logging_SKELLEFTEA/tillsyn/A 28450-2023.docx", "A 28450-2023")</f>
        <v/>
      </c>
      <c r="Y2">
        <f>HYPERLINK("https://klasma.github.io/Logging_SKELLEFTEA/tillsynsmail/A 28450-2023.docx", "A 28450-2023")</f>
        <v/>
      </c>
    </row>
    <row r="3" ht="15" customHeight="1">
      <c r="A3" t="inlineStr">
        <is>
          <t>A 43848-2019</t>
        </is>
      </c>
      <c r="B3" s="1" t="n">
        <v>43707</v>
      </c>
      <c r="C3" s="1" t="n">
        <v>45192</v>
      </c>
      <c r="D3" t="inlineStr">
        <is>
          <t>VÄSTERBOTTENS LÄN</t>
        </is>
      </c>
      <c r="E3" t="inlineStr">
        <is>
          <t>SKELLEFTEÅ</t>
        </is>
      </c>
      <c r="F3" t="inlineStr">
        <is>
          <t>Sveaskog</t>
        </is>
      </c>
      <c r="G3" t="n">
        <v>10.3</v>
      </c>
      <c r="H3" t="n">
        <v>0</v>
      </c>
      <c r="I3" t="n">
        <v>2</v>
      </c>
      <c r="J3" t="n">
        <v>12</v>
      </c>
      <c r="K3" t="n">
        <v>3</v>
      </c>
      <c r="L3" t="n">
        <v>1</v>
      </c>
      <c r="M3" t="n">
        <v>0</v>
      </c>
      <c r="N3" t="n">
        <v>0</v>
      </c>
      <c r="O3" t="n">
        <v>16</v>
      </c>
      <c r="P3" t="n">
        <v>4</v>
      </c>
      <c r="Q3" t="n">
        <v>18</v>
      </c>
      <c r="R3" s="2" t="inlineStr">
        <is>
          <t>Urskogsporing
Goliatmusseron
Smalfotad taggsvamp
Tajgataggsvamp
Blå taggsvamp
Motaggsvamp
Mörk kolflarnlav
Nordtagging
Orange taggsvamp
Skrovlig taggsvamp
Svartvit taggsvamp
Tallriska
Talltaggsvamp
Vaddporing
Vedflamlav
Vedskivlav
Dropptaggsvamp
Skarp dropptaggsvamp</t>
        </is>
      </c>
      <c r="S3">
        <f>HYPERLINK("https://klasma.github.io/Logging_SKELLEFTEA/artfynd/A 43848-2019.xlsx", "A 43848-2019")</f>
        <v/>
      </c>
      <c r="T3">
        <f>HYPERLINK("https://klasma.github.io/Logging_SKELLEFTEA/kartor/A 43848-2019.png", "A 43848-2019")</f>
        <v/>
      </c>
      <c r="V3">
        <f>HYPERLINK("https://klasma.github.io/Logging_SKELLEFTEA/klagomål/A 43848-2019.docx", "A 43848-2019")</f>
        <v/>
      </c>
      <c r="W3">
        <f>HYPERLINK("https://klasma.github.io/Logging_SKELLEFTEA/klagomålsmail/A 43848-2019.docx", "A 43848-2019")</f>
        <v/>
      </c>
      <c r="X3">
        <f>HYPERLINK("https://klasma.github.io/Logging_SKELLEFTEA/tillsyn/A 43848-2019.docx", "A 43848-2019")</f>
        <v/>
      </c>
      <c r="Y3">
        <f>HYPERLINK("https://klasma.github.io/Logging_SKELLEFTEA/tillsynsmail/A 43848-2019.docx", "A 43848-2019")</f>
        <v/>
      </c>
    </row>
    <row r="4" ht="15" customHeight="1">
      <c r="A4" t="inlineStr">
        <is>
          <t>A 18158-2021</t>
        </is>
      </c>
      <c r="B4" s="1" t="n">
        <v>44302</v>
      </c>
      <c r="C4" s="1" t="n">
        <v>45192</v>
      </c>
      <c r="D4" t="inlineStr">
        <is>
          <t>VÄSTERBOTTENS LÄN</t>
        </is>
      </c>
      <c r="E4" t="inlineStr">
        <is>
          <t>SKELLEFTEÅ</t>
        </is>
      </c>
      <c r="G4" t="n">
        <v>13.8</v>
      </c>
      <c r="H4" t="n">
        <v>5</v>
      </c>
      <c r="I4" t="n">
        <v>2</v>
      </c>
      <c r="J4" t="n">
        <v>10</v>
      </c>
      <c r="K4" t="n">
        <v>2</v>
      </c>
      <c r="L4" t="n">
        <v>0</v>
      </c>
      <c r="M4" t="n">
        <v>0</v>
      </c>
      <c r="N4" t="n">
        <v>0</v>
      </c>
      <c r="O4" t="n">
        <v>12</v>
      </c>
      <c r="P4" t="n">
        <v>2</v>
      </c>
      <c r="Q4" t="n">
        <v>15</v>
      </c>
      <c r="R4" s="2" t="inlineStr">
        <is>
          <t>Knärot
Norna
Gammelgransskål
Garnlav
Granticka
Koralltaggsvamp
Lunglav
Rosenticka
Tretåig hackspett
Ullticka
Vaddporing
Vedtrappmossa
Skinnlav
Spindelblomster
Nattviol</t>
        </is>
      </c>
      <c r="S4">
        <f>HYPERLINK("https://klasma.github.io/Logging_SKELLEFTEA/artfynd/A 18158-2021.xlsx", "A 18158-2021")</f>
        <v/>
      </c>
      <c r="T4">
        <f>HYPERLINK("https://klasma.github.io/Logging_SKELLEFTEA/kartor/A 18158-2021.png", "A 18158-2021")</f>
        <v/>
      </c>
      <c r="U4">
        <f>HYPERLINK("https://klasma.github.io/Logging_SKELLEFTEA/knärot/A 18158-2021.png", "A 18158-2021")</f>
        <v/>
      </c>
      <c r="V4">
        <f>HYPERLINK("https://klasma.github.io/Logging_SKELLEFTEA/klagomål/A 18158-2021.docx", "A 18158-2021")</f>
        <v/>
      </c>
      <c r="W4">
        <f>HYPERLINK("https://klasma.github.io/Logging_SKELLEFTEA/klagomålsmail/A 18158-2021.docx", "A 18158-2021")</f>
        <v/>
      </c>
      <c r="X4">
        <f>HYPERLINK("https://klasma.github.io/Logging_SKELLEFTEA/tillsyn/A 18158-2021.docx", "A 18158-2021")</f>
        <v/>
      </c>
      <c r="Y4">
        <f>HYPERLINK("https://klasma.github.io/Logging_SKELLEFTEA/tillsynsmail/A 18158-2021.docx", "A 18158-2021")</f>
        <v/>
      </c>
    </row>
    <row r="5" ht="15" customHeight="1">
      <c r="A5" t="inlineStr">
        <is>
          <t>A 26728-2021</t>
        </is>
      </c>
      <c r="B5" s="1" t="n">
        <v>44349</v>
      </c>
      <c r="C5" s="1" t="n">
        <v>45192</v>
      </c>
      <c r="D5" t="inlineStr">
        <is>
          <t>VÄSTERBOTTENS LÄN</t>
        </is>
      </c>
      <c r="E5" t="inlineStr">
        <is>
          <t>SKELLEFTEÅ</t>
        </is>
      </c>
      <c r="G5" t="n">
        <v>9.9</v>
      </c>
      <c r="H5" t="n">
        <v>3</v>
      </c>
      <c r="I5" t="n">
        <v>7</v>
      </c>
      <c r="J5" t="n">
        <v>3</v>
      </c>
      <c r="K5" t="n">
        <v>2</v>
      </c>
      <c r="L5" t="n">
        <v>0</v>
      </c>
      <c r="M5" t="n">
        <v>0</v>
      </c>
      <c r="N5" t="n">
        <v>0</v>
      </c>
      <c r="O5" t="n">
        <v>5</v>
      </c>
      <c r="P5" t="n">
        <v>2</v>
      </c>
      <c r="Q5" t="n">
        <v>13</v>
      </c>
      <c r="R5" s="2" t="inlineStr">
        <is>
          <t>Knärot
Norna
Garnlav
Persiljespindling
Tallticka
Dropptaggsvamp
Kryddspindling
Rödgul trumpetsvamp
Skarp dropptaggsvamp
Svart trolldruva
Svavelriska
Tibast
Nattviol</t>
        </is>
      </c>
      <c r="S5">
        <f>HYPERLINK("https://klasma.github.io/Logging_SKELLEFTEA/artfynd/A 26728-2021.xlsx", "A 26728-2021")</f>
        <v/>
      </c>
      <c r="T5">
        <f>HYPERLINK("https://klasma.github.io/Logging_SKELLEFTEA/kartor/A 26728-2021.png", "A 26728-2021")</f>
        <v/>
      </c>
      <c r="U5">
        <f>HYPERLINK("https://klasma.github.io/Logging_SKELLEFTEA/knärot/A 26728-2021.png", "A 26728-2021")</f>
        <v/>
      </c>
      <c r="V5">
        <f>HYPERLINK("https://klasma.github.io/Logging_SKELLEFTEA/klagomål/A 26728-2021.docx", "A 26728-2021")</f>
        <v/>
      </c>
      <c r="W5">
        <f>HYPERLINK("https://klasma.github.io/Logging_SKELLEFTEA/klagomålsmail/A 26728-2021.docx", "A 26728-2021")</f>
        <v/>
      </c>
      <c r="X5">
        <f>HYPERLINK("https://klasma.github.io/Logging_SKELLEFTEA/tillsyn/A 26728-2021.docx", "A 26728-2021")</f>
        <v/>
      </c>
      <c r="Y5">
        <f>HYPERLINK("https://klasma.github.io/Logging_SKELLEFTEA/tillsynsmail/A 26728-2021.docx", "A 26728-2021")</f>
        <v/>
      </c>
    </row>
    <row r="6" ht="15" customHeight="1">
      <c r="A6" t="inlineStr">
        <is>
          <t>A 3345-2022</t>
        </is>
      </c>
      <c r="B6" s="1" t="n">
        <v>44585</v>
      </c>
      <c r="C6" s="1" t="n">
        <v>45192</v>
      </c>
      <c r="D6" t="inlineStr">
        <is>
          <t>VÄSTERBOTTENS LÄN</t>
        </is>
      </c>
      <c r="E6" t="inlineStr">
        <is>
          <t>SKELLEFTEÅ</t>
        </is>
      </c>
      <c r="G6" t="n">
        <v>6.6</v>
      </c>
      <c r="H6" t="n">
        <v>0</v>
      </c>
      <c r="I6" t="n">
        <v>7</v>
      </c>
      <c r="J6" t="n">
        <v>6</v>
      </c>
      <c r="K6" t="n">
        <v>0</v>
      </c>
      <c r="L6" t="n">
        <v>0</v>
      </c>
      <c r="M6" t="n">
        <v>0</v>
      </c>
      <c r="N6" t="n">
        <v>0</v>
      </c>
      <c r="O6" t="n">
        <v>6</v>
      </c>
      <c r="P6" t="n">
        <v>0</v>
      </c>
      <c r="Q6" t="n">
        <v>13</v>
      </c>
      <c r="R6" s="2" t="inlineStr">
        <is>
          <t>Garnlav
Lunglav
Persiljespindling
Stjärntagging
Ullticka
Äggvaxskivling
Barrfagerspindling
Bårdlav
Gytterlav
Skinnlav
Svavelriska
Tibast
Vedticka</t>
        </is>
      </c>
      <c r="S6">
        <f>HYPERLINK("https://klasma.github.io/Logging_SKELLEFTEA/artfynd/A 3345-2022.xlsx", "A 3345-2022")</f>
        <v/>
      </c>
      <c r="T6">
        <f>HYPERLINK("https://klasma.github.io/Logging_SKELLEFTEA/kartor/A 3345-2022.png", "A 3345-2022")</f>
        <v/>
      </c>
      <c r="V6">
        <f>HYPERLINK("https://klasma.github.io/Logging_SKELLEFTEA/klagomål/A 3345-2022.docx", "A 3345-2022")</f>
        <v/>
      </c>
      <c r="W6">
        <f>HYPERLINK("https://klasma.github.io/Logging_SKELLEFTEA/klagomålsmail/A 3345-2022.docx", "A 3345-2022")</f>
        <v/>
      </c>
      <c r="X6">
        <f>HYPERLINK("https://klasma.github.io/Logging_SKELLEFTEA/tillsyn/A 3345-2022.docx", "A 3345-2022")</f>
        <v/>
      </c>
      <c r="Y6">
        <f>HYPERLINK("https://klasma.github.io/Logging_SKELLEFTEA/tillsynsmail/A 3345-2022.docx", "A 3345-2022")</f>
        <v/>
      </c>
    </row>
    <row r="7" ht="15" customHeight="1">
      <c r="A7" t="inlineStr">
        <is>
          <t>A 34664-2019</t>
        </is>
      </c>
      <c r="B7" s="1" t="n">
        <v>43648</v>
      </c>
      <c r="C7" s="1" t="n">
        <v>45192</v>
      </c>
      <c r="D7" t="inlineStr">
        <is>
          <t>VÄSTERBOTTENS LÄN</t>
        </is>
      </c>
      <c r="E7" t="inlineStr">
        <is>
          <t>SKELLEFTEÅ</t>
        </is>
      </c>
      <c r="G7" t="n">
        <v>6.7</v>
      </c>
      <c r="H7" t="n">
        <v>0</v>
      </c>
      <c r="I7" t="n">
        <v>4</v>
      </c>
      <c r="J7" t="n">
        <v>7</v>
      </c>
      <c r="K7" t="n">
        <v>0</v>
      </c>
      <c r="L7" t="n">
        <v>0</v>
      </c>
      <c r="M7" t="n">
        <v>0</v>
      </c>
      <c r="N7" t="n">
        <v>0</v>
      </c>
      <c r="O7" t="n">
        <v>7</v>
      </c>
      <c r="P7" t="n">
        <v>0</v>
      </c>
      <c r="Q7" t="n">
        <v>11</v>
      </c>
      <c r="R7" s="2" t="inlineStr">
        <is>
          <t>Gammelgransskål
Garnlav
Granticka
Rosenticka
Ullticka
Violettgrå tagellav
Vitgrynig nållav
Luddlav
Skinnlav
Stuplav
Vedticka</t>
        </is>
      </c>
      <c r="S7">
        <f>HYPERLINK("https://klasma.github.io/Logging_SKELLEFTEA/artfynd/A 34664-2019.xlsx", "A 34664-2019")</f>
        <v/>
      </c>
      <c r="T7">
        <f>HYPERLINK("https://klasma.github.io/Logging_SKELLEFTEA/kartor/A 34664-2019.png", "A 34664-2019")</f>
        <v/>
      </c>
      <c r="V7">
        <f>HYPERLINK("https://klasma.github.io/Logging_SKELLEFTEA/klagomål/A 34664-2019.docx", "A 34664-2019")</f>
        <v/>
      </c>
      <c r="W7">
        <f>HYPERLINK("https://klasma.github.io/Logging_SKELLEFTEA/klagomålsmail/A 34664-2019.docx", "A 34664-2019")</f>
        <v/>
      </c>
      <c r="X7">
        <f>HYPERLINK("https://klasma.github.io/Logging_SKELLEFTEA/tillsyn/A 34664-2019.docx", "A 34664-2019")</f>
        <v/>
      </c>
      <c r="Y7">
        <f>HYPERLINK("https://klasma.github.io/Logging_SKELLEFTEA/tillsynsmail/A 34664-2019.docx", "A 34664-2019")</f>
        <v/>
      </c>
    </row>
    <row r="8" ht="15" customHeight="1">
      <c r="A8" t="inlineStr">
        <is>
          <t>A 15110-2021</t>
        </is>
      </c>
      <c r="B8" s="1" t="n">
        <v>44281</v>
      </c>
      <c r="C8" s="1" t="n">
        <v>45192</v>
      </c>
      <c r="D8" t="inlineStr">
        <is>
          <t>VÄSTERBOTTENS LÄN</t>
        </is>
      </c>
      <c r="E8" t="inlineStr">
        <is>
          <t>SKELLEFTEÅ</t>
        </is>
      </c>
      <c r="F8" t="inlineStr">
        <is>
          <t>SCA</t>
        </is>
      </c>
      <c r="G8" t="n">
        <v>2.7</v>
      </c>
      <c r="H8" t="n">
        <v>1</v>
      </c>
      <c r="I8" t="n">
        <v>3</v>
      </c>
      <c r="J8" t="n">
        <v>5</v>
      </c>
      <c r="K8" t="n">
        <v>1</v>
      </c>
      <c r="L8" t="n">
        <v>0</v>
      </c>
      <c r="M8" t="n">
        <v>0</v>
      </c>
      <c r="N8" t="n">
        <v>0</v>
      </c>
      <c r="O8" t="n">
        <v>6</v>
      </c>
      <c r="P8" t="n">
        <v>1</v>
      </c>
      <c r="Q8" t="n">
        <v>10</v>
      </c>
      <c r="R8" s="2" t="inlineStr">
        <is>
          <t>Rotfingersvamp
Gammelgransskål
Lunglav
Nordtagging
Orange taggsvamp
Svart taggsvamp
Bårdlav
Dropptaggsvamp
Stuplav
Nattviol</t>
        </is>
      </c>
      <c r="S8">
        <f>HYPERLINK("https://klasma.github.io/Logging_SKELLEFTEA/artfynd/A 15110-2021.xlsx", "A 15110-2021")</f>
        <v/>
      </c>
      <c r="T8">
        <f>HYPERLINK("https://klasma.github.io/Logging_SKELLEFTEA/kartor/A 15110-2021.png", "A 15110-2021")</f>
        <v/>
      </c>
      <c r="V8">
        <f>HYPERLINK("https://klasma.github.io/Logging_SKELLEFTEA/klagomål/A 15110-2021.docx", "A 15110-2021")</f>
        <v/>
      </c>
      <c r="W8">
        <f>HYPERLINK("https://klasma.github.io/Logging_SKELLEFTEA/klagomålsmail/A 15110-2021.docx", "A 15110-2021")</f>
        <v/>
      </c>
      <c r="X8">
        <f>HYPERLINK("https://klasma.github.io/Logging_SKELLEFTEA/tillsyn/A 15110-2021.docx", "A 15110-2021")</f>
        <v/>
      </c>
      <c r="Y8">
        <f>HYPERLINK("https://klasma.github.io/Logging_SKELLEFTEA/tillsynsmail/A 15110-2021.docx", "A 15110-2021")</f>
        <v/>
      </c>
    </row>
    <row r="9" ht="15" customHeight="1">
      <c r="A9" t="inlineStr">
        <is>
          <t>A 31173-2021</t>
        </is>
      </c>
      <c r="B9" s="1" t="n">
        <v>44368</v>
      </c>
      <c r="C9" s="1" t="n">
        <v>45192</v>
      </c>
      <c r="D9" t="inlineStr">
        <is>
          <t>VÄSTERBOTTENS LÄN</t>
        </is>
      </c>
      <c r="E9" t="inlineStr">
        <is>
          <t>SKELLEFTEÅ</t>
        </is>
      </c>
      <c r="G9" t="n">
        <v>41.4</v>
      </c>
      <c r="H9" t="n">
        <v>1</v>
      </c>
      <c r="I9" t="n">
        <v>1</v>
      </c>
      <c r="J9" t="n">
        <v>8</v>
      </c>
      <c r="K9" t="n">
        <v>1</v>
      </c>
      <c r="L9" t="n">
        <v>0</v>
      </c>
      <c r="M9" t="n">
        <v>0</v>
      </c>
      <c r="N9" t="n">
        <v>0</v>
      </c>
      <c r="O9" t="n">
        <v>9</v>
      </c>
      <c r="P9" t="n">
        <v>1</v>
      </c>
      <c r="Q9" t="n">
        <v>10</v>
      </c>
      <c r="R9" s="2" t="inlineStr">
        <is>
          <t>Ulltickeporing
Gammelgransskål
Granticka
Gränsticka
Harticka
Rosenticka
Stjärntagging
Tretåig hackspett
Ullticka
Stuplav</t>
        </is>
      </c>
      <c r="S9">
        <f>HYPERLINK("https://klasma.github.io/Logging_SKELLEFTEA/artfynd/A 31173-2021.xlsx", "A 31173-2021")</f>
        <v/>
      </c>
      <c r="T9">
        <f>HYPERLINK("https://klasma.github.io/Logging_SKELLEFTEA/kartor/A 31173-2021.png", "A 31173-2021")</f>
        <v/>
      </c>
      <c r="V9">
        <f>HYPERLINK("https://klasma.github.io/Logging_SKELLEFTEA/klagomål/A 31173-2021.docx", "A 31173-2021")</f>
        <v/>
      </c>
      <c r="W9">
        <f>HYPERLINK("https://klasma.github.io/Logging_SKELLEFTEA/klagomålsmail/A 31173-2021.docx", "A 31173-2021")</f>
        <v/>
      </c>
      <c r="X9">
        <f>HYPERLINK("https://klasma.github.io/Logging_SKELLEFTEA/tillsyn/A 31173-2021.docx", "A 31173-2021")</f>
        <v/>
      </c>
      <c r="Y9">
        <f>HYPERLINK("https://klasma.github.io/Logging_SKELLEFTEA/tillsynsmail/A 31173-2021.docx", "A 31173-2021")</f>
        <v/>
      </c>
    </row>
    <row r="10" ht="15" customHeight="1">
      <c r="A10" t="inlineStr">
        <is>
          <t>A 2274-2023</t>
        </is>
      </c>
      <c r="B10" s="1" t="n">
        <v>44942</v>
      </c>
      <c r="C10" s="1" t="n">
        <v>45192</v>
      </c>
      <c r="D10" t="inlineStr">
        <is>
          <t>VÄSTERBOTTENS LÄN</t>
        </is>
      </c>
      <c r="E10" t="inlineStr">
        <is>
          <t>SKELLEFTEÅ</t>
        </is>
      </c>
      <c r="G10" t="n">
        <v>4.4</v>
      </c>
      <c r="H10" t="n">
        <v>3</v>
      </c>
      <c r="I10" t="n">
        <v>2</v>
      </c>
      <c r="J10" t="n">
        <v>6</v>
      </c>
      <c r="K10" t="n">
        <v>2</v>
      </c>
      <c r="L10" t="n">
        <v>0</v>
      </c>
      <c r="M10" t="n">
        <v>0</v>
      </c>
      <c r="N10" t="n">
        <v>0</v>
      </c>
      <c r="O10" t="n">
        <v>8</v>
      </c>
      <c r="P10" t="n">
        <v>2</v>
      </c>
      <c r="Q10" t="n">
        <v>10</v>
      </c>
      <c r="R10" s="2" t="inlineStr">
        <is>
          <t>Gräddporing
Knärot
Gammelgransskål
Garnlav
Granticka
Rosenticka
Stjärntagging
Ullticka
Grönkulla
Spindelblomster</t>
        </is>
      </c>
      <c r="S10">
        <f>HYPERLINK("https://klasma.github.io/Logging_SKELLEFTEA/artfynd/A 2274-2023.xlsx", "A 2274-2023")</f>
        <v/>
      </c>
      <c r="T10">
        <f>HYPERLINK("https://klasma.github.io/Logging_SKELLEFTEA/kartor/A 2274-2023.png", "A 2274-2023")</f>
        <v/>
      </c>
      <c r="U10">
        <f>HYPERLINK("https://klasma.github.io/Logging_SKELLEFTEA/knärot/A 2274-2023.png", "A 2274-2023")</f>
        <v/>
      </c>
      <c r="V10">
        <f>HYPERLINK("https://klasma.github.io/Logging_SKELLEFTEA/klagomål/A 2274-2023.docx", "A 2274-2023")</f>
        <v/>
      </c>
      <c r="W10">
        <f>HYPERLINK("https://klasma.github.io/Logging_SKELLEFTEA/klagomålsmail/A 2274-2023.docx", "A 2274-2023")</f>
        <v/>
      </c>
      <c r="X10">
        <f>HYPERLINK("https://klasma.github.io/Logging_SKELLEFTEA/tillsyn/A 2274-2023.docx", "A 2274-2023")</f>
        <v/>
      </c>
      <c r="Y10">
        <f>HYPERLINK("https://klasma.github.io/Logging_SKELLEFTEA/tillsynsmail/A 2274-2023.docx", "A 2274-2023")</f>
        <v/>
      </c>
    </row>
    <row r="11" ht="15" customHeight="1">
      <c r="A11" t="inlineStr">
        <is>
          <t>A 22967-2023</t>
        </is>
      </c>
      <c r="B11" s="1" t="n">
        <v>45070</v>
      </c>
      <c r="C11" s="1" t="n">
        <v>45192</v>
      </c>
      <c r="D11" t="inlineStr">
        <is>
          <t>VÄSTERBOTTENS LÄN</t>
        </is>
      </c>
      <c r="E11" t="inlineStr">
        <is>
          <t>SKELLEFTEÅ</t>
        </is>
      </c>
      <c r="G11" t="n">
        <v>4.4</v>
      </c>
      <c r="H11" t="n">
        <v>3</v>
      </c>
      <c r="I11" t="n">
        <v>2</v>
      </c>
      <c r="J11" t="n">
        <v>6</v>
      </c>
      <c r="K11" t="n">
        <v>2</v>
      </c>
      <c r="L11" t="n">
        <v>0</v>
      </c>
      <c r="M11" t="n">
        <v>0</v>
      </c>
      <c r="N11" t="n">
        <v>0</v>
      </c>
      <c r="O11" t="n">
        <v>8</v>
      </c>
      <c r="P11" t="n">
        <v>2</v>
      </c>
      <c r="Q11" t="n">
        <v>10</v>
      </c>
      <c r="R11" s="2" t="inlineStr">
        <is>
          <t>Gräddporing
Knärot
Gammelgransskål
Garnlav
Granticka
Rosenticka
Stjärntagging
Ullticka
Grönkulla
Spindelblomster</t>
        </is>
      </c>
      <c r="S11">
        <f>HYPERLINK("https://klasma.github.io/Logging_SKELLEFTEA/artfynd/A 22967-2023.xlsx", "A 22967-2023")</f>
        <v/>
      </c>
      <c r="T11">
        <f>HYPERLINK("https://klasma.github.io/Logging_SKELLEFTEA/kartor/A 22967-2023.png", "A 22967-2023")</f>
        <v/>
      </c>
      <c r="U11">
        <f>HYPERLINK("https://klasma.github.io/Logging_SKELLEFTEA/knärot/A 22967-2023.png", "A 22967-2023")</f>
        <v/>
      </c>
      <c r="V11">
        <f>HYPERLINK("https://klasma.github.io/Logging_SKELLEFTEA/klagomål/A 22967-2023.docx", "A 22967-2023")</f>
        <v/>
      </c>
      <c r="W11">
        <f>HYPERLINK("https://klasma.github.io/Logging_SKELLEFTEA/klagomålsmail/A 22967-2023.docx", "A 22967-2023")</f>
        <v/>
      </c>
      <c r="X11">
        <f>HYPERLINK("https://klasma.github.io/Logging_SKELLEFTEA/tillsyn/A 22967-2023.docx", "A 22967-2023")</f>
        <v/>
      </c>
      <c r="Y11">
        <f>HYPERLINK("https://klasma.github.io/Logging_SKELLEFTEA/tillsynsmail/A 22967-2023.docx", "A 22967-2023")</f>
        <v/>
      </c>
    </row>
    <row r="12" ht="15" customHeight="1">
      <c r="A12" t="inlineStr">
        <is>
          <t>A 55811-2020</t>
        </is>
      </c>
      <c r="B12" s="1" t="n">
        <v>44132</v>
      </c>
      <c r="C12" s="1" t="n">
        <v>45192</v>
      </c>
      <c r="D12" t="inlineStr">
        <is>
          <t>VÄSTERBOTTENS LÄN</t>
        </is>
      </c>
      <c r="E12" t="inlineStr">
        <is>
          <t>SKELLEFTEÅ</t>
        </is>
      </c>
      <c r="F12" t="inlineStr">
        <is>
          <t>Sveaskog</t>
        </is>
      </c>
      <c r="G12" t="n">
        <v>19</v>
      </c>
      <c r="H12" t="n">
        <v>0</v>
      </c>
      <c r="I12" t="n">
        <v>2</v>
      </c>
      <c r="J12" t="n">
        <v>7</v>
      </c>
      <c r="K12" t="n">
        <v>0</v>
      </c>
      <c r="L12" t="n">
        <v>0</v>
      </c>
      <c r="M12" t="n">
        <v>0</v>
      </c>
      <c r="N12" t="n">
        <v>0</v>
      </c>
      <c r="O12" t="n">
        <v>7</v>
      </c>
      <c r="P12" t="n">
        <v>0</v>
      </c>
      <c r="Q12" t="n">
        <v>9</v>
      </c>
      <c r="R12" s="2" t="inlineStr">
        <is>
          <t>Doftskinn
Gammelgransskål
Garnlav
Granticka
Lunglav
Ullticka
Violettgrå tagellav
Skinnlav
Ögonpyrola</t>
        </is>
      </c>
      <c r="S12">
        <f>HYPERLINK("https://klasma.github.io/Logging_SKELLEFTEA/artfynd/A 55811-2020.xlsx", "A 55811-2020")</f>
        <v/>
      </c>
      <c r="T12">
        <f>HYPERLINK("https://klasma.github.io/Logging_SKELLEFTEA/kartor/A 55811-2020.png", "A 55811-2020")</f>
        <v/>
      </c>
      <c r="V12">
        <f>HYPERLINK("https://klasma.github.io/Logging_SKELLEFTEA/klagomål/A 55811-2020.docx", "A 55811-2020")</f>
        <v/>
      </c>
      <c r="W12">
        <f>HYPERLINK("https://klasma.github.io/Logging_SKELLEFTEA/klagomålsmail/A 55811-2020.docx", "A 55811-2020")</f>
        <v/>
      </c>
      <c r="X12">
        <f>HYPERLINK("https://klasma.github.io/Logging_SKELLEFTEA/tillsyn/A 55811-2020.docx", "A 55811-2020")</f>
        <v/>
      </c>
      <c r="Y12">
        <f>HYPERLINK("https://klasma.github.io/Logging_SKELLEFTEA/tillsynsmail/A 55811-2020.docx", "A 55811-2020")</f>
        <v/>
      </c>
    </row>
    <row r="13" ht="15" customHeight="1">
      <c r="A13" t="inlineStr">
        <is>
          <t>A 39213-2021</t>
        </is>
      </c>
      <c r="B13" s="1" t="n">
        <v>44413</v>
      </c>
      <c r="C13" s="1" t="n">
        <v>45192</v>
      </c>
      <c r="D13" t="inlineStr">
        <is>
          <t>VÄSTERBOTTENS LÄN</t>
        </is>
      </c>
      <c r="E13" t="inlineStr">
        <is>
          <t>SKELLEFTEÅ</t>
        </is>
      </c>
      <c r="G13" t="n">
        <v>25</v>
      </c>
      <c r="H13" t="n">
        <v>1</v>
      </c>
      <c r="I13" t="n">
        <v>1</v>
      </c>
      <c r="J13" t="n">
        <v>8</v>
      </c>
      <c r="K13" t="n">
        <v>0</v>
      </c>
      <c r="L13" t="n">
        <v>0</v>
      </c>
      <c r="M13" t="n">
        <v>0</v>
      </c>
      <c r="N13" t="n">
        <v>0</v>
      </c>
      <c r="O13" t="n">
        <v>8</v>
      </c>
      <c r="P13" t="n">
        <v>0</v>
      </c>
      <c r="Q13" t="n">
        <v>9</v>
      </c>
      <c r="R13" s="2" t="inlineStr">
        <is>
          <t>Gammelgransskål
Garnlav
Granticka
Stjärntagging
Tallticka
Tretåig hackspett
Ullticka
Violettgrå tagellav
Vedticka</t>
        </is>
      </c>
      <c r="S13">
        <f>HYPERLINK("https://klasma.github.io/Logging_SKELLEFTEA/artfynd/A 39213-2021.xlsx", "A 39213-2021")</f>
        <v/>
      </c>
      <c r="T13">
        <f>HYPERLINK("https://klasma.github.io/Logging_SKELLEFTEA/kartor/A 39213-2021.png", "A 39213-2021")</f>
        <v/>
      </c>
      <c r="V13">
        <f>HYPERLINK("https://klasma.github.io/Logging_SKELLEFTEA/klagomål/A 39213-2021.docx", "A 39213-2021")</f>
        <v/>
      </c>
      <c r="W13">
        <f>HYPERLINK("https://klasma.github.io/Logging_SKELLEFTEA/klagomålsmail/A 39213-2021.docx", "A 39213-2021")</f>
        <v/>
      </c>
      <c r="X13">
        <f>HYPERLINK("https://klasma.github.io/Logging_SKELLEFTEA/tillsyn/A 39213-2021.docx", "A 39213-2021")</f>
        <v/>
      </c>
      <c r="Y13">
        <f>HYPERLINK("https://klasma.github.io/Logging_SKELLEFTEA/tillsynsmail/A 39213-2021.docx", "A 39213-2021")</f>
        <v/>
      </c>
    </row>
    <row r="14" ht="15" customHeight="1">
      <c r="A14" t="inlineStr">
        <is>
          <t>A 67683-2018</t>
        </is>
      </c>
      <c r="B14" s="1" t="n">
        <v>43440</v>
      </c>
      <c r="C14" s="1" t="n">
        <v>45192</v>
      </c>
      <c r="D14" t="inlineStr">
        <is>
          <t>VÄSTERBOTTENS LÄN</t>
        </is>
      </c>
      <c r="E14" t="inlineStr">
        <is>
          <t>SKELLEFTEÅ</t>
        </is>
      </c>
      <c r="F14" t="inlineStr">
        <is>
          <t>Sveaskog</t>
        </is>
      </c>
      <c r="G14" t="n">
        <v>7.9</v>
      </c>
      <c r="H14" t="n">
        <v>1</v>
      </c>
      <c r="I14" t="n">
        <v>2</v>
      </c>
      <c r="J14" t="n">
        <v>6</v>
      </c>
      <c r="K14" t="n">
        <v>0</v>
      </c>
      <c r="L14" t="n">
        <v>0</v>
      </c>
      <c r="M14" t="n">
        <v>0</v>
      </c>
      <c r="N14" t="n">
        <v>0</v>
      </c>
      <c r="O14" t="n">
        <v>6</v>
      </c>
      <c r="P14" t="n">
        <v>0</v>
      </c>
      <c r="Q14" t="n">
        <v>8</v>
      </c>
      <c r="R14" s="2" t="inlineStr">
        <is>
          <t>Garnlav
Lunglav
Rosenticka
Talltita
Ullticka
Violettgrå tagellav
Bårdlav
Stuplav</t>
        </is>
      </c>
      <c r="S14">
        <f>HYPERLINK("https://klasma.github.io/Logging_SKELLEFTEA/artfynd/A 67683-2018.xlsx", "A 67683-2018")</f>
        <v/>
      </c>
      <c r="T14">
        <f>HYPERLINK("https://klasma.github.io/Logging_SKELLEFTEA/kartor/A 67683-2018.png", "A 67683-2018")</f>
        <v/>
      </c>
      <c r="V14">
        <f>HYPERLINK("https://klasma.github.io/Logging_SKELLEFTEA/klagomål/A 67683-2018.docx", "A 67683-2018")</f>
        <v/>
      </c>
      <c r="W14">
        <f>HYPERLINK("https://klasma.github.io/Logging_SKELLEFTEA/klagomålsmail/A 67683-2018.docx", "A 67683-2018")</f>
        <v/>
      </c>
      <c r="X14">
        <f>HYPERLINK("https://klasma.github.io/Logging_SKELLEFTEA/tillsyn/A 67683-2018.docx", "A 67683-2018")</f>
        <v/>
      </c>
      <c r="Y14">
        <f>HYPERLINK("https://klasma.github.io/Logging_SKELLEFTEA/tillsynsmail/A 67683-2018.docx", "A 67683-2018")</f>
        <v/>
      </c>
    </row>
    <row r="15" ht="15" customHeight="1">
      <c r="A15" t="inlineStr">
        <is>
          <t>A 8784-2019</t>
        </is>
      </c>
      <c r="B15" s="1" t="n">
        <v>43501</v>
      </c>
      <c r="C15" s="1" t="n">
        <v>45192</v>
      </c>
      <c r="D15" t="inlineStr">
        <is>
          <t>VÄSTERBOTTENS LÄN</t>
        </is>
      </c>
      <c r="E15" t="inlineStr">
        <is>
          <t>SKELLEFTEÅ</t>
        </is>
      </c>
      <c r="G15" t="n">
        <v>10.8</v>
      </c>
      <c r="H15" t="n">
        <v>0</v>
      </c>
      <c r="I15" t="n">
        <v>3</v>
      </c>
      <c r="J15" t="n">
        <v>5</v>
      </c>
      <c r="K15" t="n">
        <v>0</v>
      </c>
      <c r="L15" t="n">
        <v>0</v>
      </c>
      <c r="M15" t="n">
        <v>0</v>
      </c>
      <c r="N15" t="n">
        <v>0</v>
      </c>
      <c r="O15" t="n">
        <v>5</v>
      </c>
      <c r="P15" t="n">
        <v>0</v>
      </c>
      <c r="Q15" t="n">
        <v>8</v>
      </c>
      <c r="R15" s="2" t="inlineStr">
        <is>
          <t>Gammelgransskål
Garnlav
Lunglav
Rosenticka
Ullticka
Bårdlav
Skinnlav
Stuplav</t>
        </is>
      </c>
      <c r="S15">
        <f>HYPERLINK("https://klasma.github.io/Logging_SKELLEFTEA/artfynd/A 8784-2019.xlsx", "A 8784-2019")</f>
        <v/>
      </c>
      <c r="T15">
        <f>HYPERLINK("https://klasma.github.io/Logging_SKELLEFTEA/kartor/A 8784-2019.png", "A 8784-2019")</f>
        <v/>
      </c>
      <c r="V15">
        <f>HYPERLINK("https://klasma.github.io/Logging_SKELLEFTEA/klagomål/A 8784-2019.docx", "A 8784-2019")</f>
        <v/>
      </c>
      <c r="W15">
        <f>HYPERLINK("https://klasma.github.io/Logging_SKELLEFTEA/klagomålsmail/A 8784-2019.docx", "A 8784-2019")</f>
        <v/>
      </c>
      <c r="X15">
        <f>HYPERLINK("https://klasma.github.io/Logging_SKELLEFTEA/tillsyn/A 8784-2019.docx", "A 8784-2019")</f>
        <v/>
      </c>
      <c r="Y15">
        <f>HYPERLINK("https://klasma.github.io/Logging_SKELLEFTEA/tillsynsmail/A 8784-2019.docx", "A 8784-2019")</f>
        <v/>
      </c>
    </row>
    <row r="16" ht="15" customHeight="1">
      <c r="A16" t="inlineStr">
        <is>
          <t>A 44892-2021</t>
        </is>
      </c>
      <c r="B16" s="1" t="n">
        <v>44438</v>
      </c>
      <c r="C16" s="1" t="n">
        <v>45192</v>
      </c>
      <c r="D16" t="inlineStr">
        <is>
          <t>VÄSTERBOTTENS LÄN</t>
        </is>
      </c>
      <c r="E16" t="inlineStr">
        <is>
          <t>SKELLEFTEÅ</t>
        </is>
      </c>
      <c r="G16" t="n">
        <v>35.9</v>
      </c>
      <c r="H16" t="n">
        <v>3</v>
      </c>
      <c r="I16" t="n">
        <v>4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8</v>
      </c>
      <c r="R16" s="2" t="inlineStr">
        <is>
          <t>Garnlav
Lunglav
Gräsull
Guckusko
Stuplav
Tibast
Brudsporre
Fläcknycklar</t>
        </is>
      </c>
      <c r="S16">
        <f>HYPERLINK("https://klasma.github.io/Logging_SKELLEFTEA/artfynd/A 44892-2021.xlsx", "A 44892-2021")</f>
        <v/>
      </c>
      <c r="T16">
        <f>HYPERLINK("https://klasma.github.io/Logging_SKELLEFTEA/kartor/A 44892-2021.png", "A 44892-2021")</f>
        <v/>
      </c>
      <c r="V16">
        <f>HYPERLINK("https://klasma.github.io/Logging_SKELLEFTEA/klagomål/A 44892-2021.docx", "A 44892-2021")</f>
        <v/>
      </c>
      <c r="W16">
        <f>HYPERLINK("https://klasma.github.io/Logging_SKELLEFTEA/klagomålsmail/A 44892-2021.docx", "A 44892-2021")</f>
        <v/>
      </c>
      <c r="X16">
        <f>HYPERLINK("https://klasma.github.io/Logging_SKELLEFTEA/tillsyn/A 44892-2021.docx", "A 44892-2021")</f>
        <v/>
      </c>
      <c r="Y16">
        <f>HYPERLINK("https://klasma.github.io/Logging_SKELLEFTEA/tillsynsmail/A 44892-2021.docx", "A 44892-2021")</f>
        <v/>
      </c>
    </row>
    <row r="17" ht="15" customHeight="1">
      <c r="A17" t="inlineStr">
        <is>
          <t>A 41940-2018</t>
        </is>
      </c>
      <c r="B17" s="1" t="n">
        <v>43350</v>
      </c>
      <c r="C17" s="1" t="n">
        <v>45192</v>
      </c>
      <c r="D17" t="inlineStr">
        <is>
          <t>VÄSTERBOTTENS LÄN</t>
        </is>
      </c>
      <c r="E17" t="inlineStr">
        <is>
          <t>SKELLEFTEÅ</t>
        </is>
      </c>
      <c r="G17" t="n">
        <v>7</v>
      </c>
      <c r="H17" t="n">
        <v>1</v>
      </c>
      <c r="I17" t="n">
        <v>1</v>
      </c>
      <c r="J17" t="n">
        <v>6</v>
      </c>
      <c r="K17" t="n">
        <v>0</v>
      </c>
      <c r="L17" t="n">
        <v>0</v>
      </c>
      <c r="M17" t="n">
        <v>0</v>
      </c>
      <c r="N17" t="n">
        <v>0</v>
      </c>
      <c r="O17" t="n">
        <v>6</v>
      </c>
      <c r="P17" t="n">
        <v>0</v>
      </c>
      <c r="Q17" t="n">
        <v>7</v>
      </c>
      <c r="R17" s="2" t="inlineStr">
        <is>
          <t>Gammelgransskål
Garnlav
Granticka
Tretåig hackspett
Ullticka
Violettgrå tagellav
Dropptaggsvamp</t>
        </is>
      </c>
      <c r="S17">
        <f>HYPERLINK("https://klasma.github.io/Logging_SKELLEFTEA/artfynd/A 41940-2018.xlsx", "A 41940-2018")</f>
        <v/>
      </c>
      <c r="T17">
        <f>HYPERLINK("https://klasma.github.io/Logging_SKELLEFTEA/kartor/A 41940-2018.png", "A 41940-2018")</f>
        <v/>
      </c>
      <c r="V17">
        <f>HYPERLINK("https://klasma.github.io/Logging_SKELLEFTEA/klagomål/A 41940-2018.docx", "A 41940-2018")</f>
        <v/>
      </c>
      <c r="W17">
        <f>HYPERLINK("https://klasma.github.io/Logging_SKELLEFTEA/klagomålsmail/A 41940-2018.docx", "A 41940-2018")</f>
        <v/>
      </c>
      <c r="X17">
        <f>HYPERLINK("https://klasma.github.io/Logging_SKELLEFTEA/tillsyn/A 41940-2018.docx", "A 41940-2018")</f>
        <v/>
      </c>
      <c r="Y17">
        <f>HYPERLINK("https://klasma.github.io/Logging_SKELLEFTEA/tillsynsmail/A 41940-2018.docx", "A 41940-2018")</f>
        <v/>
      </c>
    </row>
    <row r="18" ht="15" customHeight="1">
      <c r="A18" t="inlineStr">
        <is>
          <t>A 67687-2018</t>
        </is>
      </c>
      <c r="B18" s="1" t="n">
        <v>43440</v>
      </c>
      <c r="C18" s="1" t="n">
        <v>45192</v>
      </c>
      <c r="D18" t="inlineStr">
        <is>
          <t>VÄSTERBOTTENS LÄN</t>
        </is>
      </c>
      <c r="E18" t="inlineStr">
        <is>
          <t>SKELLEFTEÅ</t>
        </is>
      </c>
      <c r="F18" t="inlineStr">
        <is>
          <t>Sveaskog</t>
        </is>
      </c>
      <c r="G18" t="n">
        <v>12</v>
      </c>
      <c r="H18" t="n">
        <v>0</v>
      </c>
      <c r="I18" t="n">
        <v>2</v>
      </c>
      <c r="J18" t="n">
        <v>5</v>
      </c>
      <c r="K18" t="n">
        <v>0</v>
      </c>
      <c r="L18" t="n">
        <v>0</v>
      </c>
      <c r="M18" t="n">
        <v>0</v>
      </c>
      <c r="N18" t="n">
        <v>0</v>
      </c>
      <c r="O18" t="n">
        <v>5</v>
      </c>
      <c r="P18" t="n">
        <v>0</v>
      </c>
      <c r="Q18" t="n">
        <v>7</v>
      </c>
      <c r="R18" s="2" t="inlineStr">
        <is>
          <t>Doftskinn
Garnlav
Granticka
Lunglav
Violettgrå tagellav
Luddlav
Vågbandad barkbock</t>
        </is>
      </c>
      <c r="S18">
        <f>HYPERLINK("https://klasma.github.io/Logging_SKELLEFTEA/artfynd/A 67687-2018.xlsx", "A 67687-2018")</f>
        <v/>
      </c>
      <c r="T18">
        <f>HYPERLINK("https://klasma.github.io/Logging_SKELLEFTEA/kartor/A 67687-2018.png", "A 67687-2018")</f>
        <v/>
      </c>
      <c r="V18">
        <f>HYPERLINK("https://klasma.github.io/Logging_SKELLEFTEA/klagomål/A 67687-2018.docx", "A 67687-2018")</f>
        <v/>
      </c>
      <c r="W18">
        <f>HYPERLINK("https://klasma.github.io/Logging_SKELLEFTEA/klagomålsmail/A 67687-2018.docx", "A 67687-2018")</f>
        <v/>
      </c>
      <c r="X18">
        <f>HYPERLINK("https://klasma.github.io/Logging_SKELLEFTEA/tillsyn/A 67687-2018.docx", "A 67687-2018")</f>
        <v/>
      </c>
      <c r="Y18">
        <f>HYPERLINK("https://klasma.github.io/Logging_SKELLEFTEA/tillsynsmail/A 67687-2018.docx", "A 67687-2018")</f>
        <v/>
      </c>
    </row>
    <row r="19" ht="15" customHeight="1">
      <c r="A19" t="inlineStr">
        <is>
          <t>A 25653-2019</t>
        </is>
      </c>
      <c r="B19" s="1" t="n">
        <v>43602</v>
      </c>
      <c r="C19" s="1" t="n">
        <v>45192</v>
      </c>
      <c r="D19" t="inlineStr">
        <is>
          <t>VÄSTERBOTTENS LÄN</t>
        </is>
      </c>
      <c r="E19" t="inlineStr">
        <is>
          <t>SKELLEFTEÅ</t>
        </is>
      </c>
      <c r="G19" t="n">
        <v>27.4</v>
      </c>
      <c r="H19" t="n">
        <v>6</v>
      </c>
      <c r="I19" t="n">
        <v>2</v>
      </c>
      <c r="J19" t="n">
        <v>3</v>
      </c>
      <c r="K19" t="n">
        <v>0</v>
      </c>
      <c r="L19" t="n">
        <v>0</v>
      </c>
      <c r="M19" t="n">
        <v>0</v>
      </c>
      <c r="N19" t="n">
        <v>0</v>
      </c>
      <c r="O19" t="n">
        <v>3</v>
      </c>
      <c r="P19" t="n">
        <v>0</v>
      </c>
      <c r="Q19" t="n">
        <v>7</v>
      </c>
      <c r="R19" s="2" t="inlineStr">
        <is>
          <t>Kolflarnlav
Nordfladdermus
Tretåig hackspett
Korallrot
Spindelblomster
Vanlig groda
Revlummer</t>
        </is>
      </c>
      <c r="S19">
        <f>HYPERLINK("https://klasma.github.io/Logging_SKELLEFTEA/artfynd/A 25653-2019.xlsx", "A 25653-2019")</f>
        <v/>
      </c>
      <c r="T19">
        <f>HYPERLINK("https://klasma.github.io/Logging_SKELLEFTEA/kartor/A 25653-2019.png", "A 25653-2019")</f>
        <v/>
      </c>
      <c r="V19">
        <f>HYPERLINK("https://klasma.github.io/Logging_SKELLEFTEA/klagomål/A 25653-2019.docx", "A 25653-2019")</f>
        <v/>
      </c>
      <c r="W19">
        <f>HYPERLINK("https://klasma.github.io/Logging_SKELLEFTEA/klagomålsmail/A 25653-2019.docx", "A 25653-2019")</f>
        <v/>
      </c>
      <c r="X19">
        <f>HYPERLINK("https://klasma.github.io/Logging_SKELLEFTEA/tillsyn/A 25653-2019.docx", "A 25653-2019")</f>
        <v/>
      </c>
      <c r="Y19">
        <f>HYPERLINK("https://klasma.github.io/Logging_SKELLEFTEA/tillsynsmail/A 25653-2019.docx", "A 25653-2019")</f>
        <v/>
      </c>
    </row>
    <row r="20" ht="15" customHeight="1">
      <c r="A20" t="inlineStr">
        <is>
          <t>A 63587-2019</t>
        </is>
      </c>
      <c r="B20" s="1" t="n">
        <v>43780</v>
      </c>
      <c r="C20" s="1" t="n">
        <v>45192</v>
      </c>
      <c r="D20" t="inlineStr">
        <is>
          <t>VÄSTERBOTTENS LÄN</t>
        </is>
      </c>
      <c r="E20" t="inlineStr">
        <is>
          <t>SKELLEFTEÅ</t>
        </is>
      </c>
      <c r="F20" t="inlineStr">
        <is>
          <t>Naturvårdsverket</t>
        </is>
      </c>
      <c r="G20" t="n">
        <v>6.1</v>
      </c>
      <c r="H20" t="n">
        <v>2</v>
      </c>
      <c r="I20" t="n">
        <v>4</v>
      </c>
      <c r="J20" t="n">
        <v>1</v>
      </c>
      <c r="K20" t="n">
        <v>0</v>
      </c>
      <c r="L20" t="n">
        <v>1</v>
      </c>
      <c r="M20" t="n">
        <v>0</v>
      </c>
      <c r="N20" t="n">
        <v>0</v>
      </c>
      <c r="O20" t="n">
        <v>2</v>
      </c>
      <c r="P20" t="n">
        <v>1</v>
      </c>
      <c r="Q20" t="n">
        <v>7</v>
      </c>
      <c r="R20" s="2" t="inlineStr">
        <is>
          <t>Grönfink
Granticka
Barkticka
Robust tickgnagare
Tibast
Vedticka
Åkergroda</t>
        </is>
      </c>
      <c r="S20">
        <f>HYPERLINK("https://klasma.github.io/Logging_SKELLEFTEA/artfynd/A 63587-2019.xlsx", "A 63587-2019")</f>
        <v/>
      </c>
      <c r="T20">
        <f>HYPERLINK("https://klasma.github.io/Logging_SKELLEFTEA/kartor/A 63587-2019.png", "A 63587-2019")</f>
        <v/>
      </c>
      <c r="V20">
        <f>HYPERLINK("https://klasma.github.io/Logging_SKELLEFTEA/klagomål/A 63587-2019.docx", "A 63587-2019")</f>
        <v/>
      </c>
      <c r="W20">
        <f>HYPERLINK("https://klasma.github.io/Logging_SKELLEFTEA/klagomålsmail/A 63587-2019.docx", "A 63587-2019")</f>
        <v/>
      </c>
      <c r="X20">
        <f>HYPERLINK("https://klasma.github.io/Logging_SKELLEFTEA/tillsyn/A 63587-2019.docx", "A 63587-2019")</f>
        <v/>
      </c>
      <c r="Y20">
        <f>HYPERLINK("https://klasma.github.io/Logging_SKELLEFTEA/tillsynsmail/A 63587-2019.docx", "A 63587-2019")</f>
        <v/>
      </c>
    </row>
    <row r="21" ht="15" customHeight="1">
      <c r="A21" t="inlineStr">
        <is>
          <t>A 29807-2021</t>
        </is>
      </c>
      <c r="B21" s="1" t="n">
        <v>44362</v>
      </c>
      <c r="C21" s="1" t="n">
        <v>45192</v>
      </c>
      <c r="D21" t="inlineStr">
        <is>
          <t>VÄSTERBOTTENS LÄN</t>
        </is>
      </c>
      <c r="E21" t="inlineStr">
        <is>
          <t>SKELLEFTEÅ</t>
        </is>
      </c>
      <c r="G21" t="n">
        <v>14.8</v>
      </c>
      <c r="H21" t="n">
        <v>3</v>
      </c>
      <c r="I21" t="n">
        <v>0</v>
      </c>
      <c r="J21" t="n">
        <v>7</v>
      </c>
      <c r="K21" t="n">
        <v>0</v>
      </c>
      <c r="L21" t="n">
        <v>0</v>
      </c>
      <c r="M21" t="n">
        <v>0</v>
      </c>
      <c r="N21" t="n">
        <v>0</v>
      </c>
      <c r="O21" t="n">
        <v>7</v>
      </c>
      <c r="P21" t="n">
        <v>0</v>
      </c>
      <c r="Q21" t="n">
        <v>7</v>
      </c>
      <c r="R21" s="2" t="inlineStr">
        <is>
          <t>Gammelgransskål
Granticka
Rödvingetrast
Spillkråka
Tallticka
Tretåig hackspett
Violettgrå tagellav</t>
        </is>
      </c>
      <c r="S21">
        <f>HYPERLINK("https://klasma.github.io/Logging_SKELLEFTEA/artfynd/A 29807-2021.xlsx", "A 29807-2021")</f>
        <v/>
      </c>
      <c r="T21">
        <f>HYPERLINK("https://klasma.github.io/Logging_SKELLEFTEA/kartor/A 29807-2021.png", "A 29807-2021")</f>
        <v/>
      </c>
      <c r="V21">
        <f>HYPERLINK("https://klasma.github.io/Logging_SKELLEFTEA/klagomål/A 29807-2021.docx", "A 29807-2021")</f>
        <v/>
      </c>
      <c r="W21">
        <f>HYPERLINK("https://klasma.github.io/Logging_SKELLEFTEA/klagomålsmail/A 29807-2021.docx", "A 29807-2021")</f>
        <v/>
      </c>
      <c r="X21">
        <f>HYPERLINK("https://klasma.github.io/Logging_SKELLEFTEA/tillsyn/A 29807-2021.docx", "A 29807-2021")</f>
        <v/>
      </c>
      <c r="Y21">
        <f>HYPERLINK("https://klasma.github.io/Logging_SKELLEFTEA/tillsynsmail/A 29807-2021.docx", "A 29807-2021")</f>
        <v/>
      </c>
    </row>
    <row r="22" ht="15" customHeight="1">
      <c r="A22" t="inlineStr">
        <is>
          <t>A 143-2022</t>
        </is>
      </c>
      <c r="B22" s="1" t="n">
        <v>44564</v>
      </c>
      <c r="C22" s="1" t="n">
        <v>45192</v>
      </c>
      <c r="D22" t="inlineStr">
        <is>
          <t>VÄSTERBOTTENS LÄN</t>
        </is>
      </c>
      <c r="E22" t="inlineStr">
        <is>
          <t>SKELLEFTEÅ</t>
        </is>
      </c>
      <c r="F22" t="inlineStr">
        <is>
          <t>Sveaskog</t>
        </is>
      </c>
      <c r="G22" t="n">
        <v>13</v>
      </c>
      <c r="H22" t="n">
        <v>0</v>
      </c>
      <c r="I22" t="n">
        <v>6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7</v>
      </c>
      <c r="R22" s="2" t="inlineStr">
        <is>
          <t>Lunglav
Bårdlav
Luddlav
Skarp dropptaggsvamp
Skinnlav
Stor aspticka
Stuplav</t>
        </is>
      </c>
      <c r="S22">
        <f>HYPERLINK("https://klasma.github.io/Logging_SKELLEFTEA/artfynd/A 143-2022.xlsx", "A 143-2022")</f>
        <v/>
      </c>
      <c r="T22">
        <f>HYPERLINK("https://klasma.github.io/Logging_SKELLEFTEA/kartor/A 143-2022.png", "A 143-2022")</f>
        <v/>
      </c>
      <c r="V22">
        <f>HYPERLINK("https://klasma.github.io/Logging_SKELLEFTEA/klagomål/A 143-2022.docx", "A 143-2022")</f>
        <v/>
      </c>
      <c r="W22">
        <f>HYPERLINK("https://klasma.github.io/Logging_SKELLEFTEA/klagomålsmail/A 143-2022.docx", "A 143-2022")</f>
        <v/>
      </c>
      <c r="X22">
        <f>HYPERLINK("https://klasma.github.io/Logging_SKELLEFTEA/tillsyn/A 143-2022.docx", "A 143-2022")</f>
        <v/>
      </c>
      <c r="Y22">
        <f>HYPERLINK("https://klasma.github.io/Logging_SKELLEFTEA/tillsynsmail/A 143-2022.docx", "A 143-2022")</f>
        <v/>
      </c>
    </row>
    <row r="23" ht="15" customHeight="1">
      <c r="A23" t="inlineStr">
        <is>
          <t>A 14493-2022</t>
        </is>
      </c>
      <c r="B23" s="1" t="n">
        <v>44655</v>
      </c>
      <c r="C23" s="1" t="n">
        <v>45192</v>
      </c>
      <c r="D23" t="inlineStr">
        <is>
          <t>VÄSTERBOTTENS LÄN</t>
        </is>
      </c>
      <c r="E23" t="inlineStr">
        <is>
          <t>SKELLEFTEÅ</t>
        </is>
      </c>
      <c r="G23" t="n">
        <v>9.5</v>
      </c>
      <c r="H23" t="n">
        <v>2</v>
      </c>
      <c r="I23" t="n">
        <v>1</v>
      </c>
      <c r="J23" t="n">
        <v>5</v>
      </c>
      <c r="K23" t="n">
        <v>1</v>
      </c>
      <c r="L23" t="n">
        <v>0</v>
      </c>
      <c r="M23" t="n">
        <v>0</v>
      </c>
      <c r="N23" t="n">
        <v>0</v>
      </c>
      <c r="O23" t="n">
        <v>6</v>
      </c>
      <c r="P23" t="n">
        <v>1</v>
      </c>
      <c r="Q23" t="n">
        <v>7</v>
      </c>
      <c r="R23" s="2" t="inlineStr">
        <is>
          <t>Knärot
Gammelgransskål
Garnlav
Harticka
Tretåig hackspett
Ullticka
Vedticka</t>
        </is>
      </c>
      <c r="S23">
        <f>HYPERLINK("https://klasma.github.io/Logging_SKELLEFTEA/artfynd/A 14493-2022.xlsx", "A 14493-2022")</f>
        <v/>
      </c>
      <c r="T23">
        <f>HYPERLINK("https://klasma.github.io/Logging_SKELLEFTEA/kartor/A 14493-2022.png", "A 14493-2022")</f>
        <v/>
      </c>
      <c r="U23">
        <f>HYPERLINK("https://klasma.github.io/Logging_SKELLEFTEA/knärot/A 14493-2022.png", "A 14493-2022")</f>
        <v/>
      </c>
      <c r="V23">
        <f>HYPERLINK("https://klasma.github.io/Logging_SKELLEFTEA/klagomål/A 14493-2022.docx", "A 14493-2022")</f>
        <v/>
      </c>
      <c r="W23">
        <f>HYPERLINK("https://klasma.github.io/Logging_SKELLEFTEA/klagomålsmail/A 14493-2022.docx", "A 14493-2022")</f>
        <v/>
      </c>
      <c r="X23">
        <f>HYPERLINK("https://klasma.github.io/Logging_SKELLEFTEA/tillsyn/A 14493-2022.docx", "A 14493-2022")</f>
        <v/>
      </c>
      <c r="Y23">
        <f>HYPERLINK("https://klasma.github.io/Logging_SKELLEFTEA/tillsynsmail/A 14493-2022.docx", "A 14493-2022")</f>
        <v/>
      </c>
    </row>
    <row r="24" ht="15" customHeight="1">
      <c r="A24" t="inlineStr">
        <is>
          <t>A 61196-2022</t>
        </is>
      </c>
      <c r="B24" s="1" t="n">
        <v>44915</v>
      </c>
      <c r="C24" s="1" t="n">
        <v>45192</v>
      </c>
      <c r="D24" t="inlineStr">
        <is>
          <t>VÄSTERBOTTENS LÄN</t>
        </is>
      </c>
      <c r="E24" t="inlineStr">
        <is>
          <t>SKELLEFTEÅ</t>
        </is>
      </c>
      <c r="F24" t="inlineStr">
        <is>
          <t>Sveaskog</t>
        </is>
      </c>
      <c r="G24" t="n">
        <v>17.4</v>
      </c>
      <c r="H24" t="n">
        <v>1</v>
      </c>
      <c r="I24" t="n">
        <v>3</v>
      </c>
      <c r="J24" t="n">
        <v>3</v>
      </c>
      <c r="K24" t="n">
        <v>1</v>
      </c>
      <c r="L24" t="n">
        <v>0</v>
      </c>
      <c r="M24" t="n">
        <v>0</v>
      </c>
      <c r="N24" t="n">
        <v>0</v>
      </c>
      <c r="O24" t="n">
        <v>4</v>
      </c>
      <c r="P24" t="n">
        <v>1</v>
      </c>
      <c r="Q24" t="n">
        <v>7</v>
      </c>
      <c r="R24" s="2" t="inlineStr">
        <is>
          <t>Knärot
Garnlav
Gränsticka
Lunglav
Mörk husmossa
Stuplav
Ögonpyrola</t>
        </is>
      </c>
      <c r="S24">
        <f>HYPERLINK("https://klasma.github.io/Logging_SKELLEFTEA/artfynd/A 61196-2022.xlsx", "A 61196-2022")</f>
        <v/>
      </c>
      <c r="T24">
        <f>HYPERLINK("https://klasma.github.io/Logging_SKELLEFTEA/kartor/A 61196-2022.png", "A 61196-2022")</f>
        <v/>
      </c>
      <c r="U24">
        <f>HYPERLINK("https://klasma.github.io/Logging_SKELLEFTEA/knärot/A 61196-2022.png", "A 61196-2022")</f>
        <v/>
      </c>
      <c r="V24">
        <f>HYPERLINK("https://klasma.github.io/Logging_SKELLEFTEA/klagomål/A 61196-2022.docx", "A 61196-2022")</f>
        <v/>
      </c>
      <c r="W24">
        <f>HYPERLINK("https://klasma.github.io/Logging_SKELLEFTEA/klagomålsmail/A 61196-2022.docx", "A 61196-2022")</f>
        <v/>
      </c>
      <c r="X24">
        <f>HYPERLINK("https://klasma.github.io/Logging_SKELLEFTEA/tillsyn/A 61196-2022.docx", "A 61196-2022")</f>
        <v/>
      </c>
      <c r="Y24">
        <f>HYPERLINK("https://klasma.github.io/Logging_SKELLEFTEA/tillsynsmail/A 61196-2022.docx", "A 61196-2022")</f>
        <v/>
      </c>
    </row>
    <row r="25" ht="15" customHeight="1">
      <c r="A25" t="inlineStr">
        <is>
          <t>A 61195-2022</t>
        </is>
      </c>
      <c r="B25" s="1" t="n">
        <v>44915</v>
      </c>
      <c r="C25" s="1" t="n">
        <v>45192</v>
      </c>
      <c r="D25" t="inlineStr">
        <is>
          <t>VÄSTERBOTTENS LÄN</t>
        </is>
      </c>
      <c r="E25" t="inlineStr">
        <is>
          <t>SKELLEFTEÅ</t>
        </is>
      </c>
      <c r="F25" t="inlineStr">
        <is>
          <t>Sveaskog</t>
        </is>
      </c>
      <c r="G25" t="n">
        <v>17.4</v>
      </c>
      <c r="H25" t="n">
        <v>1</v>
      </c>
      <c r="I25" t="n">
        <v>3</v>
      </c>
      <c r="J25" t="n">
        <v>3</v>
      </c>
      <c r="K25" t="n">
        <v>1</v>
      </c>
      <c r="L25" t="n">
        <v>0</v>
      </c>
      <c r="M25" t="n">
        <v>0</v>
      </c>
      <c r="N25" t="n">
        <v>0</v>
      </c>
      <c r="O25" t="n">
        <v>4</v>
      </c>
      <c r="P25" t="n">
        <v>1</v>
      </c>
      <c r="Q25" t="n">
        <v>7</v>
      </c>
      <c r="R25" s="2" t="inlineStr">
        <is>
          <t>Knärot
Garnlav
Gränsticka
Lunglav
Mörk husmossa
Stuplav
Ögonpyrola</t>
        </is>
      </c>
      <c r="S25">
        <f>HYPERLINK("https://klasma.github.io/Logging_SKELLEFTEA/artfynd/A 61195-2022.xlsx", "A 61195-2022")</f>
        <v/>
      </c>
      <c r="T25">
        <f>HYPERLINK("https://klasma.github.io/Logging_SKELLEFTEA/kartor/A 61195-2022.png", "A 61195-2022")</f>
        <v/>
      </c>
      <c r="U25">
        <f>HYPERLINK("https://klasma.github.io/Logging_SKELLEFTEA/knärot/A 61195-2022.png", "A 61195-2022")</f>
        <v/>
      </c>
      <c r="V25">
        <f>HYPERLINK("https://klasma.github.io/Logging_SKELLEFTEA/klagomål/A 61195-2022.docx", "A 61195-2022")</f>
        <v/>
      </c>
      <c r="W25">
        <f>HYPERLINK("https://klasma.github.io/Logging_SKELLEFTEA/klagomålsmail/A 61195-2022.docx", "A 61195-2022")</f>
        <v/>
      </c>
      <c r="X25">
        <f>HYPERLINK("https://klasma.github.io/Logging_SKELLEFTEA/tillsyn/A 61195-2022.docx", "A 61195-2022")</f>
        <v/>
      </c>
      <c r="Y25">
        <f>HYPERLINK("https://klasma.github.io/Logging_SKELLEFTEA/tillsynsmail/A 61195-2022.docx", "A 61195-2022")</f>
        <v/>
      </c>
    </row>
    <row r="26" ht="15" customHeight="1">
      <c r="A26" t="inlineStr">
        <is>
          <t>A 31889-2019</t>
        </is>
      </c>
      <c r="B26" s="1" t="n">
        <v>43642</v>
      </c>
      <c r="C26" s="1" t="n">
        <v>45192</v>
      </c>
      <c r="D26" t="inlineStr">
        <is>
          <t>VÄSTERBOTTENS LÄN</t>
        </is>
      </c>
      <c r="E26" t="inlineStr">
        <is>
          <t>SKELLEFTEÅ</t>
        </is>
      </c>
      <c r="G26" t="n">
        <v>0.7</v>
      </c>
      <c r="H26" t="n">
        <v>2</v>
      </c>
      <c r="I26" t="n">
        <v>1</v>
      </c>
      <c r="J26" t="n">
        <v>3</v>
      </c>
      <c r="K26" t="n">
        <v>2</v>
      </c>
      <c r="L26" t="n">
        <v>0</v>
      </c>
      <c r="M26" t="n">
        <v>0</v>
      </c>
      <c r="N26" t="n">
        <v>0</v>
      </c>
      <c r="O26" t="n">
        <v>5</v>
      </c>
      <c r="P26" t="n">
        <v>2</v>
      </c>
      <c r="Q26" t="n">
        <v>6</v>
      </c>
      <c r="R26" s="2" t="inlineStr">
        <is>
          <t>Bombmurkla
Knärot
Garnlav
Rosenticka
Ullticka
Vedticka</t>
        </is>
      </c>
      <c r="S26">
        <f>HYPERLINK("https://klasma.github.io/Logging_SKELLEFTEA/artfynd/A 31889-2019.xlsx", "A 31889-2019")</f>
        <v/>
      </c>
      <c r="T26">
        <f>HYPERLINK("https://klasma.github.io/Logging_SKELLEFTEA/kartor/A 31889-2019.png", "A 31889-2019")</f>
        <v/>
      </c>
      <c r="U26">
        <f>HYPERLINK("https://klasma.github.io/Logging_SKELLEFTEA/knärot/A 31889-2019.png", "A 31889-2019")</f>
        <v/>
      </c>
      <c r="V26">
        <f>HYPERLINK("https://klasma.github.io/Logging_SKELLEFTEA/klagomål/A 31889-2019.docx", "A 31889-2019")</f>
        <v/>
      </c>
      <c r="W26">
        <f>HYPERLINK("https://klasma.github.io/Logging_SKELLEFTEA/klagomålsmail/A 31889-2019.docx", "A 31889-2019")</f>
        <v/>
      </c>
      <c r="X26">
        <f>HYPERLINK("https://klasma.github.io/Logging_SKELLEFTEA/tillsyn/A 31889-2019.docx", "A 31889-2019")</f>
        <v/>
      </c>
      <c r="Y26">
        <f>HYPERLINK("https://klasma.github.io/Logging_SKELLEFTEA/tillsynsmail/A 31889-2019.docx", "A 31889-2019")</f>
        <v/>
      </c>
    </row>
    <row r="27" ht="15" customHeight="1">
      <c r="A27" t="inlineStr">
        <is>
          <t>A 41641-2019</t>
        </is>
      </c>
      <c r="B27" s="1" t="n">
        <v>43696</v>
      </c>
      <c r="C27" s="1" t="n">
        <v>45192</v>
      </c>
      <c r="D27" t="inlineStr">
        <is>
          <t>VÄSTERBOTTENS LÄN</t>
        </is>
      </c>
      <c r="E27" t="inlineStr">
        <is>
          <t>SKELLEFTEÅ</t>
        </is>
      </c>
      <c r="G27" t="n">
        <v>6.1</v>
      </c>
      <c r="H27" t="n">
        <v>1</v>
      </c>
      <c r="I27" t="n">
        <v>1</v>
      </c>
      <c r="J27" t="n">
        <v>5</v>
      </c>
      <c r="K27" t="n">
        <v>0</v>
      </c>
      <c r="L27" t="n">
        <v>0</v>
      </c>
      <c r="M27" t="n">
        <v>0</v>
      </c>
      <c r="N27" t="n">
        <v>0</v>
      </c>
      <c r="O27" t="n">
        <v>5</v>
      </c>
      <c r="P27" t="n">
        <v>0</v>
      </c>
      <c r="Q27" t="n">
        <v>6</v>
      </c>
      <c r="R27" s="2" t="inlineStr">
        <is>
          <t>Garnlav
Granticka
Harticka
Tretåig hackspett
Ullticka
Vedticka</t>
        </is>
      </c>
      <c r="S27">
        <f>HYPERLINK("https://klasma.github.io/Logging_SKELLEFTEA/artfynd/A 41641-2019.xlsx", "A 41641-2019")</f>
        <v/>
      </c>
      <c r="T27">
        <f>HYPERLINK("https://klasma.github.io/Logging_SKELLEFTEA/kartor/A 41641-2019.png", "A 41641-2019")</f>
        <v/>
      </c>
      <c r="V27">
        <f>HYPERLINK("https://klasma.github.io/Logging_SKELLEFTEA/klagomål/A 41641-2019.docx", "A 41641-2019")</f>
        <v/>
      </c>
      <c r="W27">
        <f>HYPERLINK("https://klasma.github.io/Logging_SKELLEFTEA/klagomålsmail/A 41641-2019.docx", "A 41641-2019")</f>
        <v/>
      </c>
      <c r="X27">
        <f>HYPERLINK("https://klasma.github.io/Logging_SKELLEFTEA/tillsyn/A 41641-2019.docx", "A 41641-2019")</f>
        <v/>
      </c>
      <c r="Y27">
        <f>HYPERLINK("https://klasma.github.io/Logging_SKELLEFTEA/tillsynsmail/A 41641-2019.docx", "A 41641-2019")</f>
        <v/>
      </c>
    </row>
    <row r="28" ht="15" customHeight="1">
      <c r="A28" t="inlineStr">
        <is>
          <t>A 18298-2021</t>
        </is>
      </c>
      <c r="B28" s="1" t="n">
        <v>44305</v>
      </c>
      <c r="C28" s="1" t="n">
        <v>45192</v>
      </c>
      <c r="D28" t="inlineStr">
        <is>
          <t>VÄSTERBOTTENS LÄN</t>
        </is>
      </c>
      <c r="E28" t="inlineStr">
        <is>
          <t>SKELLEFTEÅ</t>
        </is>
      </c>
      <c r="G28" t="n">
        <v>10.7</v>
      </c>
      <c r="H28" t="n">
        <v>1</v>
      </c>
      <c r="I28" t="n">
        <v>2</v>
      </c>
      <c r="J28" t="n">
        <v>4</v>
      </c>
      <c r="K28" t="n">
        <v>0</v>
      </c>
      <c r="L28" t="n">
        <v>0</v>
      </c>
      <c r="M28" t="n">
        <v>0</v>
      </c>
      <c r="N28" t="n">
        <v>0</v>
      </c>
      <c r="O28" t="n">
        <v>4</v>
      </c>
      <c r="P28" t="n">
        <v>0</v>
      </c>
      <c r="Q28" t="n">
        <v>6</v>
      </c>
      <c r="R28" s="2" t="inlineStr">
        <is>
          <t>Granticka
Harticka
Tretåig hackspett
Ullticka
Trådticka
Vedticka</t>
        </is>
      </c>
      <c r="S28">
        <f>HYPERLINK("https://klasma.github.io/Logging_SKELLEFTEA/artfynd/A 18298-2021.xlsx", "A 18298-2021")</f>
        <v/>
      </c>
      <c r="T28">
        <f>HYPERLINK("https://klasma.github.io/Logging_SKELLEFTEA/kartor/A 18298-2021.png", "A 18298-2021")</f>
        <v/>
      </c>
      <c r="V28">
        <f>HYPERLINK("https://klasma.github.io/Logging_SKELLEFTEA/klagomål/A 18298-2021.docx", "A 18298-2021")</f>
        <v/>
      </c>
      <c r="W28">
        <f>HYPERLINK("https://klasma.github.io/Logging_SKELLEFTEA/klagomålsmail/A 18298-2021.docx", "A 18298-2021")</f>
        <v/>
      </c>
      <c r="X28">
        <f>HYPERLINK("https://klasma.github.io/Logging_SKELLEFTEA/tillsyn/A 18298-2021.docx", "A 18298-2021")</f>
        <v/>
      </c>
      <c r="Y28">
        <f>HYPERLINK("https://klasma.github.io/Logging_SKELLEFTEA/tillsynsmail/A 18298-2021.docx", "A 18298-2021")</f>
        <v/>
      </c>
    </row>
    <row r="29" ht="15" customHeight="1">
      <c r="A29" t="inlineStr">
        <is>
          <t>A 28523-2021</t>
        </is>
      </c>
      <c r="B29" s="1" t="n">
        <v>44356</v>
      </c>
      <c r="C29" s="1" t="n">
        <v>45192</v>
      </c>
      <c r="D29" t="inlineStr">
        <is>
          <t>VÄSTERBOTTENS LÄN</t>
        </is>
      </c>
      <c r="E29" t="inlineStr">
        <is>
          <t>SKELLEFTEÅ</t>
        </is>
      </c>
      <c r="G29" t="n">
        <v>6.3</v>
      </c>
      <c r="H29" t="n">
        <v>0</v>
      </c>
      <c r="I29" t="n">
        <v>1</v>
      </c>
      <c r="J29" t="n">
        <v>5</v>
      </c>
      <c r="K29" t="n">
        <v>0</v>
      </c>
      <c r="L29" t="n">
        <v>0</v>
      </c>
      <c r="M29" t="n">
        <v>0</v>
      </c>
      <c r="N29" t="n">
        <v>0</v>
      </c>
      <c r="O29" t="n">
        <v>5</v>
      </c>
      <c r="P29" t="n">
        <v>0</v>
      </c>
      <c r="Q29" t="n">
        <v>6</v>
      </c>
      <c r="R29" s="2" t="inlineStr">
        <is>
          <t>Gammelgransskål
Garnlav
Granticka
Stjärntagging
Violettgrå tagellav
Vedticka</t>
        </is>
      </c>
      <c r="S29">
        <f>HYPERLINK("https://klasma.github.io/Logging_SKELLEFTEA/artfynd/A 28523-2021.xlsx", "A 28523-2021")</f>
        <v/>
      </c>
      <c r="T29">
        <f>HYPERLINK("https://klasma.github.io/Logging_SKELLEFTEA/kartor/A 28523-2021.png", "A 28523-2021")</f>
        <v/>
      </c>
      <c r="V29">
        <f>HYPERLINK("https://klasma.github.io/Logging_SKELLEFTEA/klagomål/A 28523-2021.docx", "A 28523-2021")</f>
        <v/>
      </c>
      <c r="W29">
        <f>HYPERLINK("https://klasma.github.io/Logging_SKELLEFTEA/klagomålsmail/A 28523-2021.docx", "A 28523-2021")</f>
        <v/>
      </c>
      <c r="X29">
        <f>HYPERLINK("https://klasma.github.io/Logging_SKELLEFTEA/tillsyn/A 28523-2021.docx", "A 28523-2021")</f>
        <v/>
      </c>
      <c r="Y29">
        <f>HYPERLINK("https://klasma.github.io/Logging_SKELLEFTEA/tillsynsmail/A 28523-2021.docx", "A 28523-2021")</f>
        <v/>
      </c>
    </row>
    <row r="30" ht="15" customHeight="1">
      <c r="A30" t="inlineStr">
        <is>
          <t>A 73633-2021</t>
        </is>
      </c>
      <c r="B30" s="1" t="n">
        <v>44552</v>
      </c>
      <c r="C30" s="1" t="n">
        <v>45192</v>
      </c>
      <c r="D30" t="inlineStr">
        <is>
          <t>VÄSTERBOTTENS LÄN</t>
        </is>
      </c>
      <c r="E30" t="inlineStr">
        <is>
          <t>SKELLEFTEÅ</t>
        </is>
      </c>
      <c r="G30" t="n">
        <v>13.2</v>
      </c>
      <c r="H30" t="n">
        <v>0</v>
      </c>
      <c r="I30" t="n">
        <v>2</v>
      </c>
      <c r="J30" t="n">
        <v>4</v>
      </c>
      <c r="K30" t="n">
        <v>0</v>
      </c>
      <c r="L30" t="n">
        <v>0</v>
      </c>
      <c r="M30" t="n">
        <v>0</v>
      </c>
      <c r="N30" t="n">
        <v>0</v>
      </c>
      <c r="O30" t="n">
        <v>4</v>
      </c>
      <c r="P30" t="n">
        <v>0</v>
      </c>
      <c r="Q30" t="n">
        <v>6</v>
      </c>
      <c r="R30" s="2" t="inlineStr">
        <is>
          <t>Gammelgransskål
Garnlav
Granticka
Ullticka
Dropptaggsvamp
Vedticka</t>
        </is>
      </c>
      <c r="S30">
        <f>HYPERLINK("https://klasma.github.io/Logging_SKELLEFTEA/artfynd/A 73633-2021.xlsx", "A 73633-2021")</f>
        <v/>
      </c>
      <c r="T30">
        <f>HYPERLINK("https://klasma.github.io/Logging_SKELLEFTEA/kartor/A 73633-2021.png", "A 73633-2021")</f>
        <v/>
      </c>
      <c r="V30">
        <f>HYPERLINK("https://klasma.github.io/Logging_SKELLEFTEA/klagomål/A 73633-2021.docx", "A 73633-2021")</f>
        <v/>
      </c>
      <c r="W30">
        <f>HYPERLINK("https://klasma.github.io/Logging_SKELLEFTEA/klagomålsmail/A 73633-2021.docx", "A 73633-2021")</f>
        <v/>
      </c>
      <c r="X30">
        <f>HYPERLINK("https://klasma.github.io/Logging_SKELLEFTEA/tillsyn/A 73633-2021.docx", "A 73633-2021")</f>
        <v/>
      </c>
      <c r="Y30">
        <f>HYPERLINK("https://klasma.github.io/Logging_SKELLEFTEA/tillsynsmail/A 73633-2021.docx", "A 73633-2021")</f>
        <v/>
      </c>
    </row>
    <row r="31" ht="15" customHeight="1">
      <c r="A31" t="inlineStr">
        <is>
          <t>A 2451-2022</t>
        </is>
      </c>
      <c r="B31" s="1" t="n">
        <v>44579</v>
      </c>
      <c r="C31" s="1" t="n">
        <v>45192</v>
      </c>
      <c r="D31" t="inlineStr">
        <is>
          <t>VÄSTERBOTTENS LÄN</t>
        </is>
      </c>
      <c r="E31" t="inlineStr">
        <is>
          <t>SKELLEFTEÅ</t>
        </is>
      </c>
      <c r="G31" t="n">
        <v>2.1</v>
      </c>
      <c r="H31" t="n">
        <v>0</v>
      </c>
      <c r="I31" t="n">
        <v>0</v>
      </c>
      <c r="J31" t="n">
        <v>6</v>
      </c>
      <c r="K31" t="n">
        <v>0</v>
      </c>
      <c r="L31" t="n">
        <v>0</v>
      </c>
      <c r="M31" t="n">
        <v>0</v>
      </c>
      <c r="N31" t="n">
        <v>0</v>
      </c>
      <c r="O31" t="n">
        <v>6</v>
      </c>
      <c r="P31" t="n">
        <v>0</v>
      </c>
      <c r="Q31" t="n">
        <v>6</v>
      </c>
      <c r="R31" s="2" t="inlineStr">
        <is>
          <t>Garnlav
Granticka
Nordtagging
Stjärntagging
Ullticka
Violettgrå tagellav</t>
        </is>
      </c>
      <c r="S31">
        <f>HYPERLINK("https://klasma.github.io/Logging_SKELLEFTEA/artfynd/A 2451-2022.xlsx", "A 2451-2022")</f>
        <v/>
      </c>
      <c r="T31">
        <f>HYPERLINK("https://klasma.github.io/Logging_SKELLEFTEA/kartor/A 2451-2022.png", "A 2451-2022")</f>
        <v/>
      </c>
      <c r="V31">
        <f>HYPERLINK("https://klasma.github.io/Logging_SKELLEFTEA/klagomål/A 2451-2022.docx", "A 2451-2022")</f>
        <v/>
      </c>
      <c r="W31">
        <f>HYPERLINK("https://klasma.github.io/Logging_SKELLEFTEA/klagomålsmail/A 2451-2022.docx", "A 2451-2022")</f>
        <v/>
      </c>
      <c r="X31">
        <f>HYPERLINK("https://klasma.github.io/Logging_SKELLEFTEA/tillsyn/A 2451-2022.docx", "A 2451-2022")</f>
        <v/>
      </c>
      <c r="Y31">
        <f>HYPERLINK("https://klasma.github.io/Logging_SKELLEFTEA/tillsynsmail/A 2451-2022.docx", "A 2451-2022")</f>
        <v/>
      </c>
    </row>
    <row r="32" ht="15" customHeight="1">
      <c r="A32" t="inlineStr">
        <is>
          <t>A 21553-2023</t>
        </is>
      </c>
      <c r="B32" s="1" t="n">
        <v>45061</v>
      </c>
      <c r="C32" s="1" t="n">
        <v>45192</v>
      </c>
      <c r="D32" t="inlineStr">
        <is>
          <t>VÄSTERBOTTENS LÄN</t>
        </is>
      </c>
      <c r="E32" t="inlineStr">
        <is>
          <t>SKELLEFTEÅ</t>
        </is>
      </c>
      <c r="G32" t="n">
        <v>14.6</v>
      </c>
      <c r="H32" t="n">
        <v>0</v>
      </c>
      <c r="I32" t="n">
        <v>0</v>
      </c>
      <c r="J32" t="n">
        <v>3</v>
      </c>
      <c r="K32" t="n">
        <v>3</v>
      </c>
      <c r="L32" t="n">
        <v>0</v>
      </c>
      <c r="M32" t="n">
        <v>0</v>
      </c>
      <c r="N32" t="n">
        <v>0</v>
      </c>
      <c r="O32" t="n">
        <v>6</v>
      </c>
      <c r="P32" t="n">
        <v>3</v>
      </c>
      <c r="Q32" t="n">
        <v>6</v>
      </c>
      <c r="R32" s="2" t="inlineStr">
        <is>
          <t>Goliatmusseron
Lakritsmusseron
Lammticka
Blå taggsvamp
Skrovlig taggsvamp
Tallriska</t>
        </is>
      </c>
      <c r="S32">
        <f>HYPERLINK("https://klasma.github.io/Logging_SKELLEFTEA/artfynd/A 21553-2023.xlsx", "A 21553-2023")</f>
        <v/>
      </c>
      <c r="T32">
        <f>HYPERLINK("https://klasma.github.io/Logging_SKELLEFTEA/kartor/A 21553-2023.png", "A 21553-2023")</f>
        <v/>
      </c>
      <c r="V32">
        <f>HYPERLINK("https://klasma.github.io/Logging_SKELLEFTEA/klagomål/A 21553-2023.docx", "A 21553-2023")</f>
        <v/>
      </c>
      <c r="W32">
        <f>HYPERLINK("https://klasma.github.io/Logging_SKELLEFTEA/klagomålsmail/A 21553-2023.docx", "A 21553-2023")</f>
        <v/>
      </c>
      <c r="X32">
        <f>HYPERLINK("https://klasma.github.io/Logging_SKELLEFTEA/tillsyn/A 21553-2023.docx", "A 21553-2023")</f>
        <v/>
      </c>
      <c r="Y32">
        <f>HYPERLINK("https://klasma.github.io/Logging_SKELLEFTEA/tillsynsmail/A 21553-2023.docx", "A 21553-2023")</f>
        <v/>
      </c>
    </row>
    <row r="33" ht="15" customHeight="1">
      <c r="A33" t="inlineStr">
        <is>
          <t>A 36140-2023</t>
        </is>
      </c>
      <c r="B33" s="1" t="n">
        <v>45149</v>
      </c>
      <c r="C33" s="1" t="n">
        <v>45192</v>
      </c>
      <c r="D33" t="inlineStr">
        <is>
          <t>VÄSTERBOTTENS LÄN</t>
        </is>
      </c>
      <c r="E33" t="inlineStr">
        <is>
          <t>SKELLEFTEÅ</t>
        </is>
      </c>
      <c r="F33" t="inlineStr">
        <is>
          <t>Holmen skog AB</t>
        </is>
      </c>
      <c r="G33" t="n">
        <v>3.5</v>
      </c>
      <c r="H33" t="n">
        <v>3</v>
      </c>
      <c r="I33" t="n">
        <v>0</v>
      </c>
      <c r="J33" t="n">
        <v>6</v>
      </c>
      <c r="K33" t="n">
        <v>0</v>
      </c>
      <c r="L33" t="n">
        <v>0</v>
      </c>
      <c r="M33" t="n">
        <v>0</v>
      </c>
      <c r="N33" t="n">
        <v>0</v>
      </c>
      <c r="O33" t="n">
        <v>6</v>
      </c>
      <c r="P33" t="n">
        <v>0</v>
      </c>
      <c r="Q33" t="n">
        <v>6</v>
      </c>
      <c r="R33" s="2" t="inlineStr">
        <is>
          <t>Garnlav
Järpe
Lunglav
Spillkråka
Tretåig hackspett
Ullticka</t>
        </is>
      </c>
      <c r="S33">
        <f>HYPERLINK("https://klasma.github.io/Logging_SKELLEFTEA/artfynd/A 36140-2023.xlsx", "A 36140-2023")</f>
        <v/>
      </c>
      <c r="T33">
        <f>HYPERLINK("https://klasma.github.io/Logging_SKELLEFTEA/kartor/A 36140-2023.png", "A 36140-2023")</f>
        <v/>
      </c>
      <c r="V33">
        <f>HYPERLINK("https://klasma.github.io/Logging_SKELLEFTEA/klagomål/A 36140-2023.docx", "A 36140-2023")</f>
        <v/>
      </c>
      <c r="W33">
        <f>HYPERLINK("https://klasma.github.io/Logging_SKELLEFTEA/klagomålsmail/A 36140-2023.docx", "A 36140-2023")</f>
        <v/>
      </c>
      <c r="X33">
        <f>HYPERLINK("https://klasma.github.io/Logging_SKELLEFTEA/tillsyn/A 36140-2023.docx", "A 36140-2023")</f>
        <v/>
      </c>
      <c r="Y33">
        <f>HYPERLINK("https://klasma.github.io/Logging_SKELLEFTEA/tillsynsmail/A 36140-2023.docx", "A 36140-2023")</f>
        <v/>
      </c>
    </row>
    <row r="34" ht="15" customHeight="1">
      <c r="A34" t="inlineStr">
        <is>
          <t>A 57183-2018</t>
        </is>
      </c>
      <c r="B34" s="1" t="n">
        <v>43403</v>
      </c>
      <c r="C34" s="1" t="n">
        <v>45192</v>
      </c>
      <c r="D34" t="inlineStr">
        <is>
          <t>VÄSTERBOTTENS LÄN</t>
        </is>
      </c>
      <c r="E34" t="inlineStr">
        <is>
          <t>SKELLEFTEÅ</t>
        </is>
      </c>
      <c r="G34" t="n">
        <v>17.7</v>
      </c>
      <c r="H34" t="n">
        <v>0</v>
      </c>
      <c r="I34" t="n">
        <v>0</v>
      </c>
      <c r="J34" t="n">
        <v>4</v>
      </c>
      <c r="K34" t="n">
        <v>1</v>
      </c>
      <c r="L34" t="n">
        <v>0</v>
      </c>
      <c r="M34" t="n">
        <v>0</v>
      </c>
      <c r="N34" t="n">
        <v>0</v>
      </c>
      <c r="O34" t="n">
        <v>5</v>
      </c>
      <c r="P34" t="n">
        <v>1</v>
      </c>
      <c r="Q34" t="n">
        <v>5</v>
      </c>
      <c r="R34" s="2" t="inlineStr">
        <is>
          <t>Ostticka
Gammelgransskål
Garnlav
Rosenticka
Ullticka</t>
        </is>
      </c>
      <c r="S34">
        <f>HYPERLINK("https://klasma.github.io/Logging_SKELLEFTEA/artfynd/A 57183-2018.xlsx", "A 57183-2018")</f>
        <v/>
      </c>
      <c r="T34">
        <f>HYPERLINK("https://klasma.github.io/Logging_SKELLEFTEA/kartor/A 57183-2018.png", "A 57183-2018")</f>
        <v/>
      </c>
      <c r="V34">
        <f>HYPERLINK("https://klasma.github.io/Logging_SKELLEFTEA/klagomål/A 57183-2018.docx", "A 57183-2018")</f>
        <v/>
      </c>
      <c r="W34">
        <f>HYPERLINK("https://klasma.github.io/Logging_SKELLEFTEA/klagomålsmail/A 57183-2018.docx", "A 57183-2018")</f>
        <v/>
      </c>
      <c r="X34">
        <f>HYPERLINK("https://klasma.github.io/Logging_SKELLEFTEA/tillsyn/A 57183-2018.docx", "A 57183-2018")</f>
        <v/>
      </c>
      <c r="Y34">
        <f>HYPERLINK("https://klasma.github.io/Logging_SKELLEFTEA/tillsynsmail/A 57183-2018.docx", "A 57183-2018")</f>
        <v/>
      </c>
    </row>
    <row r="35" ht="15" customHeight="1">
      <c r="A35" t="inlineStr">
        <is>
          <t>A 23485-2020</t>
        </is>
      </c>
      <c r="B35" s="1" t="n">
        <v>43966</v>
      </c>
      <c r="C35" s="1" t="n">
        <v>45192</v>
      </c>
      <c r="D35" t="inlineStr">
        <is>
          <t>VÄSTERBOTTENS LÄN</t>
        </is>
      </c>
      <c r="E35" t="inlineStr">
        <is>
          <t>SKELLEFTEÅ</t>
        </is>
      </c>
      <c r="G35" t="n">
        <v>7.5</v>
      </c>
      <c r="H35" t="n">
        <v>1</v>
      </c>
      <c r="I35" t="n">
        <v>0</v>
      </c>
      <c r="J35" t="n">
        <v>4</v>
      </c>
      <c r="K35" t="n">
        <v>0</v>
      </c>
      <c r="L35" t="n">
        <v>1</v>
      </c>
      <c r="M35" t="n">
        <v>0</v>
      </c>
      <c r="N35" t="n">
        <v>0</v>
      </c>
      <c r="O35" t="n">
        <v>5</v>
      </c>
      <c r="P35" t="n">
        <v>1</v>
      </c>
      <c r="Q35" t="n">
        <v>5</v>
      </c>
      <c r="R35" s="2" t="inlineStr">
        <is>
          <t>Trådbrosklav
Granticka
Gränsticka
Järpe
Lunglav</t>
        </is>
      </c>
      <c r="S35">
        <f>HYPERLINK("https://klasma.github.io/Logging_SKELLEFTEA/artfynd/A 23485-2020.xlsx", "A 23485-2020")</f>
        <v/>
      </c>
      <c r="T35">
        <f>HYPERLINK("https://klasma.github.io/Logging_SKELLEFTEA/kartor/A 23485-2020.png", "A 23485-2020")</f>
        <v/>
      </c>
      <c r="V35">
        <f>HYPERLINK("https://klasma.github.io/Logging_SKELLEFTEA/klagomål/A 23485-2020.docx", "A 23485-2020")</f>
        <v/>
      </c>
      <c r="W35">
        <f>HYPERLINK("https://klasma.github.io/Logging_SKELLEFTEA/klagomålsmail/A 23485-2020.docx", "A 23485-2020")</f>
        <v/>
      </c>
      <c r="X35">
        <f>HYPERLINK("https://klasma.github.io/Logging_SKELLEFTEA/tillsyn/A 23485-2020.docx", "A 23485-2020")</f>
        <v/>
      </c>
      <c r="Y35">
        <f>HYPERLINK("https://klasma.github.io/Logging_SKELLEFTEA/tillsynsmail/A 23485-2020.docx", "A 23485-2020")</f>
        <v/>
      </c>
    </row>
    <row r="36" ht="15" customHeight="1">
      <c r="A36" t="inlineStr">
        <is>
          <t>A 30834-2020</t>
        </is>
      </c>
      <c r="B36" s="1" t="n">
        <v>44011</v>
      </c>
      <c r="C36" s="1" t="n">
        <v>45192</v>
      </c>
      <c r="D36" t="inlineStr">
        <is>
          <t>VÄSTERBOTTENS LÄN</t>
        </is>
      </c>
      <c r="E36" t="inlineStr">
        <is>
          <t>SKELLEFTEÅ</t>
        </is>
      </c>
      <c r="F36" t="inlineStr">
        <is>
          <t>Kyrkan</t>
        </is>
      </c>
      <c r="G36" t="n">
        <v>8.4</v>
      </c>
      <c r="H36" t="n">
        <v>0</v>
      </c>
      <c r="I36" t="n">
        <v>0</v>
      </c>
      <c r="J36" t="n">
        <v>4</v>
      </c>
      <c r="K36" t="n">
        <v>1</v>
      </c>
      <c r="L36" t="n">
        <v>0</v>
      </c>
      <c r="M36" t="n">
        <v>0</v>
      </c>
      <c r="N36" t="n">
        <v>0</v>
      </c>
      <c r="O36" t="n">
        <v>5</v>
      </c>
      <c r="P36" t="n">
        <v>1</v>
      </c>
      <c r="Q36" t="n">
        <v>5</v>
      </c>
      <c r="R36" s="2" t="inlineStr">
        <is>
          <t>Gräddticka
Harticka
Rosenticka
Stjärntagging
Ullticka</t>
        </is>
      </c>
      <c r="S36">
        <f>HYPERLINK("https://klasma.github.io/Logging_SKELLEFTEA/artfynd/A 30834-2020.xlsx", "A 30834-2020")</f>
        <v/>
      </c>
      <c r="T36">
        <f>HYPERLINK("https://klasma.github.io/Logging_SKELLEFTEA/kartor/A 30834-2020.png", "A 30834-2020")</f>
        <v/>
      </c>
      <c r="V36">
        <f>HYPERLINK("https://klasma.github.io/Logging_SKELLEFTEA/klagomål/A 30834-2020.docx", "A 30834-2020")</f>
        <v/>
      </c>
      <c r="W36">
        <f>HYPERLINK("https://klasma.github.io/Logging_SKELLEFTEA/klagomålsmail/A 30834-2020.docx", "A 30834-2020")</f>
        <v/>
      </c>
      <c r="X36">
        <f>HYPERLINK("https://klasma.github.io/Logging_SKELLEFTEA/tillsyn/A 30834-2020.docx", "A 30834-2020")</f>
        <v/>
      </c>
      <c r="Y36">
        <f>HYPERLINK("https://klasma.github.io/Logging_SKELLEFTEA/tillsynsmail/A 30834-2020.docx", "A 30834-2020")</f>
        <v/>
      </c>
    </row>
    <row r="37" ht="15" customHeight="1">
      <c r="A37" t="inlineStr">
        <is>
          <t>A 25468-2021</t>
        </is>
      </c>
      <c r="B37" s="1" t="n">
        <v>44342</v>
      </c>
      <c r="C37" s="1" t="n">
        <v>45192</v>
      </c>
      <c r="D37" t="inlineStr">
        <is>
          <t>VÄSTERBOTTENS LÄN</t>
        </is>
      </c>
      <c r="E37" t="inlineStr">
        <is>
          <t>SKELLEFTEÅ</t>
        </is>
      </c>
      <c r="G37" t="n">
        <v>3.2</v>
      </c>
      <c r="H37" t="n">
        <v>2</v>
      </c>
      <c r="I37" t="n">
        <v>2</v>
      </c>
      <c r="J37" t="n">
        <v>3</v>
      </c>
      <c r="K37" t="n">
        <v>0</v>
      </c>
      <c r="L37" t="n">
        <v>0</v>
      </c>
      <c r="M37" t="n">
        <v>0</v>
      </c>
      <c r="N37" t="n">
        <v>0</v>
      </c>
      <c r="O37" t="n">
        <v>3</v>
      </c>
      <c r="P37" t="n">
        <v>0</v>
      </c>
      <c r="Q37" t="n">
        <v>5</v>
      </c>
      <c r="R37" s="2" t="inlineStr">
        <is>
          <t>Garnlav
Spillkråka
Ärtsångare
Skinnlav
Stuplav</t>
        </is>
      </c>
      <c r="S37">
        <f>HYPERLINK("https://klasma.github.io/Logging_SKELLEFTEA/artfynd/A 25468-2021.xlsx", "A 25468-2021")</f>
        <v/>
      </c>
      <c r="T37">
        <f>HYPERLINK("https://klasma.github.io/Logging_SKELLEFTEA/kartor/A 25468-2021.png", "A 25468-2021")</f>
        <v/>
      </c>
      <c r="V37">
        <f>HYPERLINK("https://klasma.github.io/Logging_SKELLEFTEA/klagomål/A 25468-2021.docx", "A 25468-2021")</f>
        <v/>
      </c>
      <c r="W37">
        <f>HYPERLINK("https://klasma.github.io/Logging_SKELLEFTEA/klagomålsmail/A 25468-2021.docx", "A 25468-2021")</f>
        <v/>
      </c>
      <c r="X37">
        <f>HYPERLINK("https://klasma.github.io/Logging_SKELLEFTEA/tillsyn/A 25468-2021.docx", "A 25468-2021")</f>
        <v/>
      </c>
      <c r="Y37">
        <f>HYPERLINK("https://klasma.github.io/Logging_SKELLEFTEA/tillsynsmail/A 25468-2021.docx", "A 25468-2021")</f>
        <v/>
      </c>
    </row>
    <row r="38" ht="15" customHeight="1">
      <c r="A38" t="inlineStr">
        <is>
          <t>A 61848-2021</t>
        </is>
      </c>
      <c r="B38" s="1" t="n">
        <v>44501</v>
      </c>
      <c r="C38" s="1" t="n">
        <v>45192</v>
      </c>
      <c r="D38" t="inlineStr">
        <is>
          <t>VÄSTERBOTTENS LÄN</t>
        </is>
      </c>
      <c r="E38" t="inlineStr">
        <is>
          <t>SKELLEFTEÅ</t>
        </is>
      </c>
      <c r="G38" t="n">
        <v>6.4</v>
      </c>
      <c r="H38" t="n">
        <v>1</v>
      </c>
      <c r="I38" t="n">
        <v>2</v>
      </c>
      <c r="J38" t="n">
        <v>2</v>
      </c>
      <c r="K38" t="n">
        <v>0</v>
      </c>
      <c r="L38" t="n">
        <v>0</v>
      </c>
      <c r="M38" t="n">
        <v>0</v>
      </c>
      <c r="N38" t="n">
        <v>0</v>
      </c>
      <c r="O38" t="n">
        <v>2</v>
      </c>
      <c r="P38" t="n">
        <v>0</v>
      </c>
      <c r="Q38" t="n">
        <v>5</v>
      </c>
      <c r="R38" s="2" t="inlineStr">
        <is>
          <t>Koralltaggsvamp
Lunglav
Bårdlav
Stuplav
Fläcknycklar</t>
        </is>
      </c>
      <c r="S38">
        <f>HYPERLINK("https://klasma.github.io/Logging_SKELLEFTEA/artfynd/A 61848-2021.xlsx", "A 61848-2021")</f>
        <v/>
      </c>
      <c r="T38">
        <f>HYPERLINK("https://klasma.github.io/Logging_SKELLEFTEA/kartor/A 61848-2021.png", "A 61848-2021")</f>
        <v/>
      </c>
      <c r="V38">
        <f>HYPERLINK("https://klasma.github.io/Logging_SKELLEFTEA/klagomål/A 61848-2021.docx", "A 61848-2021")</f>
        <v/>
      </c>
      <c r="W38">
        <f>HYPERLINK("https://klasma.github.io/Logging_SKELLEFTEA/klagomålsmail/A 61848-2021.docx", "A 61848-2021")</f>
        <v/>
      </c>
      <c r="X38">
        <f>HYPERLINK("https://klasma.github.io/Logging_SKELLEFTEA/tillsyn/A 61848-2021.docx", "A 61848-2021")</f>
        <v/>
      </c>
      <c r="Y38">
        <f>HYPERLINK("https://klasma.github.io/Logging_SKELLEFTEA/tillsynsmail/A 61848-2021.docx", "A 61848-2021")</f>
        <v/>
      </c>
    </row>
    <row r="39" ht="15" customHeight="1">
      <c r="A39" t="inlineStr">
        <is>
          <t>A 9499-2022</t>
        </is>
      </c>
      <c r="B39" s="1" t="n">
        <v>44616</v>
      </c>
      <c r="C39" s="1" t="n">
        <v>45192</v>
      </c>
      <c r="D39" t="inlineStr">
        <is>
          <t>VÄSTERBOTTENS LÄN</t>
        </is>
      </c>
      <c r="E39" t="inlineStr">
        <is>
          <t>SKELLEFTEÅ</t>
        </is>
      </c>
      <c r="F39" t="inlineStr">
        <is>
          <t>SCA</t>
        </is>
      </c>
      <c r="G39" t="n">
        <v>3.2</v>
      </c>
      <c r="H39" t="n">
        <v>0</v>
      </c>
      <c r="I39" t="n">
        <v>1</v>
      </c>
      <c r="J39" t="n">
        <v>2</v>
      </c>
      <c r="K39" t="n">
        <v>2</v>
      </c>
      <c r="L39" t="n">
        <v>0</v>
      </c>
      <c r="M39" t="n">
        <v>0</v>
      </c>
      <c r="N39" t="n">
        <v>0</v>
      </c>
      <c r="O39" t="n">
        <v>4</v>
      </c>
      <c r="P39" t="n">
        <v>2</v>
      </c>
      <c r="Q39" t="n">
        <v>5</v>
      </c>
      <c r="R39" s="2" t="inlineStr">
        <is>
          <t>Tajgataggsvamp
Tallgråticka
Motaggsvamp
Talltaggsvamp
Dropptaggsvamp</t>
        </is>
      </c>
      <c r="S39">
        <f>HYPERLINK("https://klasma.github.io/Logging_SKELLEFTEA/artfynd/A 9499-2022.xlsx", "A 9499-2022")</f>
        <v/>
      </c>
      <c r="T39">
        <f>HYPERLINK("https://klasma.github.io/Logging_SKELLEFTEA/kartor/A 9499-2022.png", "A 9499-2022")</f>
        <v/>
      </c>
      <c r="V39">
        <f>HYPERLINK("https://klasma.github.io/Logging_SKELLEFTEA/klagomål/A 9499-2022.docx", "A 9499-2022")</f>
        <v/>
      </c>
      <c r="W39">
        <f>HYPERLINK("https://klasma.github.io/Logging_SKELLEFTEA/klagomålsmail/A 9499-2022.docx", "A 9499-2022")</f>
        <v/>
      </c>
      <c r="X39">
        <f>HYPERLINK("https://klasma.github.io/Logging_SKELLEFTEA/tillsyn/A 9499-2022.docx", "A 9499-2022")</f>
        <v/>
      </c>
      <c r="Y39">
        <f>HYPERLINK("https://klasma.github.io/Logging_SKELLEFTEA/tillsynsmail/A 9499-2022.docx", "A 9499-2022")</f>
        <v/>
      </c>
    </row>
    <row r="40" ht="15" customHeight="1">
      <c r="A40" t="inlineStr">
        <is>
          <t>A 12956-2022</t>
        </is>
      </c>
      <c r="B40" s="1" t="n">
        <v>44642</v>
      </c>
      <c r="C40" s="1" t="n">
        <v>45192</v>
      </c>
      <c r="D40" t="inlineStr">
        <is>
          <t>VÄSTERBOTTENS LÄN</t>
        </is>
      </c>
      <c r="E40" t="inlineStr">
        <is>
          <t>SKELLEFTEÅ</t>
        </is>
      </c>
      <c r="G40" t="n">
        <v>18.7</v>
      </c>
      <c r="H40" t="n">
        <v>1</v>
      </c>
      <c r="I40" t="n">
        <v>2</v>
      </c>
      <c r="J40" t="n">
        <v>3</v>
      </c>
      <c r="K40" t="n">
        <v>0</v>
      </c>
      <c r="L40" t="n">
        <v>0</v>
      </c>
      <c r="M40" t="n">
        <v>0</v>
      </c>
      <c r="N40" t="n">
        <v>0</v>
      </c>
      <c r="O40" t="n">
        <v>3</v>
      </c>
      <c r="P40" t="n">
        <v>0</v>
      </c>
      <c r="Q40" t="n">
        <v>5</v>
      </c>
      <c r="R40" s="2" t="inlineStr">
        <is>
          <t>Kortskaftad ärgspik
Spillkråka
Ullticka
Dropptaggsvamp
Vedticka</t>
        </is>
      </c>
      <c r="S40">
        <f>HYPERLINK("https://klasma.github.io/Logging_SKELLEFTEA/artfynd/A 12956-2022.xlsx", "A 12956-2022")</f>
        <v/>
      </c>
      <c r="T40">
        <f>HYPERLINK("https://klasma.github.io/Logging_SKELLEFTEA/kartor/A 12956-2022.png", "A 12956-2022")</f>
        <v/>
      </c>
      <c r="V40">
        <f>HYPERLINK("https://klasma.github.io/Logging_SKELLEFTEA/klagomål/A 12956-2022.docx", "A 12956-2022")</f>
        <v/>
      </c>
      <c r="W40">
        <f>HYPERLINK("https://klasma.github.io/Logging_SKELLEFTEA/klagomålsmail/A 12956-2022.docx", "A 12956-2022")</f>
        <v/>
      </c>
      <c r="X40">
        <f>HYPERLINK("https://klasma.github.io/Logging_SKELLEFTEA/tillsyn/A 12956-2022.docx", "A 12956-2022")</f>
        <v/>
      </c>
      <c r="Y40">
        <f>HYPERLINK("https://klasma.github.io/Logging_SKELLEFTEA/tillsynsmail/A 12956-2022.docx", "A 12956-2022")</f>
        <v/>
      </c>
    </row>
    <row r="41" ht="15" customHeight="1">
      <c r="A41" t="inlineStr">
        <is>
          <t>A 31594-2023</t>
        </is>
      </c>
      <c r="B41" s="1" t="n">
        <v>45117</v>
      </c>
      <c r="C41" s="1" t="n">
        <v>45192</v>
      </c>
      <c r="D41" t="inlineStr">
        <is>
          <t>VÄSTERBOTTENS LÄN</t>
        </is>
      </c>
      <c r="E41" t="inlineStr">
        <is>
          <t>SKELLEFTEÅ</t>
        </is>
      </c>
      <c r="F41" t="inlineStr">
        <is>
          <t>Holmen skog AB</t>
        </is>
      </c>
      <c r="G41" t="n">
        <v>11.3</v>
      </c>
      <c r="H41" t="n">
        <v>1</v>
      </c>
      <c r="I41" t="n">
        <v>2</v>
      </c>
      <c r="J41" t="n">
        <v>2</v>
      </c>
      <c r="K41" t="n">
        <v>1</v>
      </c>
      <c r="L41" t="n">
        <v>0</v>
      </c>
      <c r="M41" t="n">
        <v>0</v>
      </c>
      <c r="N41" t="n">
        <v>0</v>
      </c>
      <c r="O41" t="n">
        <v>3</v>
      </c>
      <c r="P41" t="n">
        <v>1</v>
      </c>
      <c r="Q41" t="n">
        <v>5</v>
      </c>
      <c r="R41" s="2" t="inlineStr">
        <is>
          <t>Doftticka
Garnlav
Lunglav
Bårdlav
Stuplav</t>
        </is>
      </c>
      <c r="S41">
        <f>HYPERLINK("https://klasma.github.io/Logging_SKELLEFTEA/artfynd/A 31594-2023.xlsx", "A 31594-2023")</f>
        <v/>
      </c>
      <c r="T41">
        <f>HYPERLINK("https://klasma.github.io/Logging_SKELLEFTEA/kartor/A 31594-2023.png", "A 31594-2023")</f>
        <v/>
      </c>
      <c r="V41">
        <f>HYPERLINK("https://klasma.github.io/Logging_SKELLEFTEA/klagomål/A 31594-2023.docx", "A 31594-2023")</f>
        <v/>
      </c>
      <c r="W41">
        <f>HYPERLINK("https://klasma.github.io/Logging_SKELLEFTEA/klagomålsmail/A 31594-2023.docx", "A 31594-2023")</f>
        <v/>
      </c>
      <c r="X41">
        <f>HYPERLINK("https://klasma.github.io/Logging_SKELLEFTEA/tillsyn/A 31594-2023.docx", "A 31594-2023")</f>
        <v/>
      </c>
      <c r="Y41">
        <f>HYPERLINK("https://klasma.github.io/Logging_SKELLEFTEA/tillsynsmail/A 31594-2023.docx", "A 31594-2023")</f>
        <v/>
      </c>
    </row>
    <row r="42" ht="15" customHeight="1">
      <c r="A42" t="inlineStr">
        <is>
          <t>A 32689-2019</t>
        </is>
      </c>
      <c r="B42" s="1" t="n">
        <v>43647</v>
      </c>
      <c r="C42" s="1" t="n">
        <v>45192</v>
      </c>
      <c r="D42" t="inlineStr">
        <is>
          <t>VÄSTERBOTTENS LÄN</t>
        </is>
      </c>
      <c r="E42" t="inlineStr">
        <is>
          <t>SKELLEFTEÅ</t>
        </is>
      </c>
      <c r="G42" t="n">
        <v>46.9</v>
      </c>
      <c r="H42" t="n">
        <v>0</v>
      </c>
      <c r="I42" t="n">
        <v>2</v>
      </c>
      <c r="J42" t="n">
        <v>2</v>
      </c>
      <c r="K42" t="n">
        <v>0</v>
      </c>
      <c r="L42" t="n">
        <v>0</v>
      </c>
      <c r="M42" t="n">
        <v>0</v>
      </c>
      <c r="N42" t="n">
        <v>0</v>
      </c>
      <c r="O42" t="n">
        <v>2</v>
      </c>
      <c r="P42" t="n">
        <v>0</v>
      </c>
      <c r="Q42" t="n">
        <v>4</v>
      </c>
      <c r="R42" s="2" t="inlineStr">
        <is>
          <t>Dvärgbägarlav
Lunglav
Luddlav
Stuplav</t>
        </is>
      </c>
      <c r="S42">
        <f>HYPERLINK("https://klasma.github.io/Logging_SKELLEFTEA/artfynd/A 32689-2019.xlsx", "A 32689-2019")</f>
        <v/>
      </c>
      <c r="T42">
        <f>HYPERLINK("https://klasma.github.io/Logging_SKELLEFTEA/kartor/A 32689-2019.png", "A 32689-2019")</f>
        <v/>
      </c>
      <c r="V42">
        <f>HYPERLINK("https://klasma.github.io/Logging_SKELLEFTEA/klagomål/A 32689-2019.docx", "A 32689-2019")</f>
        <v/>
      </c>
      <c r="W42">
        <f>HYPERLINK("https://klasma.github.io/Logging_SKELLEFTEA/klagomålsmail/A 32689-2019.docx", "A 32689-2019")</f>
        <v/>
      </c>
      <c r="X42">
        <f>HYPERLINK("https://klasma.github.io/Logging_SKELLEFTEA/tillsyn/A 32689-2019.docx", "A 32689-2019")</f>
        <v/>
      </c>
      <c r="Y42">
        <f>HYPERLINK("https://klasma.github.io/Logging_SKELLEFTEA/tillsynsmail/A 32689-2019.docx", "A 32689-2019")</f>
        <v/>
      </c>
    </row>
    <row r="43" ht="15" customHeight="1">
      <c r="A43" t="inlineStr">
        <is>
          <t>A 52731-2019</t>
        </is>
      </c>
      <c r="B43" s="1" t="n">
        <v>43739</v>
      </c>
      <c r="C43" s="1" t="n">
        <v>45192</v>
      </c>
      <c r="D43" t="inlineStr">
        <is>
          <t>VÄSTERBOTTENS LÄN</t>
        </is>
      </c>
      <c r="E43" t="inlineStr">
        <is>
          <t>SKELLEFTEÅ</t>
        </is>
      </c>
      <c r="G43" t="n">
        <v>6.5</v>
      </c>
      <c r="H43" t="n">
        <v>0</v>
      </c>
      <c r="I43" t="n">
        <v>0</v>
      </c>
      <c r="J43" t="n">
        <v>4</v>
      </c>
      <c r="K43" t="n">
        <v>0</v>
      </c>
      <c r="L43" t="n">
        <v>0</v>
      </c>
      <c r="M43" t="n">
        <v>0</v>
      </c>
      <c r="N43" t="n">
        <v>0</v>
      </c>
      <c r="O43" t="n">
        <v>4</v>
      </c>
      <c r="P43" t="n">
        <v>0</v>
      </c>
      <c r="Q43" t="n">
        <v>4</v>
      </c>
      <c r="R43" s="2" t="inlineStr">
        <is>
          <t>Granticka
Lunglav
Ullticka
Violettgrå tagellav</t>
        </is>
      </c>
      <c r="S43">
        <f>HYPERLINK("https://klasma.github.io/Logging_SKELLEFTEA/artfynd/A 52731-2019.xlsx", "A 52731-2019")</f>
        <v/>
      </c>
      <c r="T43">
        <f>HYPERLINK("https://klasma.github.io/Logging_SKELLEFTEA/kartor/A 52731-2019.png", "A 52731-2019")</f>
        <v/>
      </c>
      <c r="V43">
        <f>HYPERLINK("https://klasma.github.io/Logging_SKELLEFTEA/klagomål/A 52731-2019.docx", "A 52731-2019")</f>
        <v/>
      </c>
      <c r="W43">
        <f>HYPERLINK("https://klasma.github.io/Logging_SKELLEFTEA/klagomålsmail/A 52731-2019.docx", "A 52731-2019")</f>
        <v/>
      </c>
      <c r="X43">
        <f>HYPERLINK("https://klasma.github.io/Logging_SKELLEFTEA/tillsyn/A 52731-2019.docx", "A 52731-2019")</f>
        <v/>
      </c>
      <c r="Y43">
        <f>HYPERLINK("https://klasma.github.io/Logging_SKELLEFTEA/tillsynsmail/A 52731-2019.docx", "A 52731-2019")</f>
        <v/>
      </c>
    </row>
    <row r="44" ht="15" customHeight="1">
      <c r="A44" t="inlineStr">
        <is>
          <t>A 55630-2019</t>
        </is>
      </c>
      <c r="B44" s="1" t="n">
        <v>43755</v>
      </c>
      <c r="C44" s="1" t="n">
        <v>45192</v>
      </c>
      <c r="D44" t="inlineStr">
        <is>
          <t>VÄSTERBOTTENS LÄN</t>
        </is>
      </c>
      <c r="E44" t="inlineStr">
        <is>
          <t>SKELLEFTEÅ</t>
        </is>
      </c>
      <c r="G44" t="n">
        <v>20.2</v>
      </c>
      <c r="H44" t="n">
        <v>0</v>
      </c>
      <c r="I44" t="n">
        <v>0</v>
      </c>
      <c r="J44" t="n">
        <v>4</v>
      </c>
      <c r="K44" t="n">
        <v>0</v>
      </c>
      <c r="L44" t="n">
        <v>0</v>
      </c>
      <c r="M44" t="n">
        <v>0</v>
      </c>
      <c r="N44" t="n">
        <v>0</v>
      </c>
      <c r="O44" t="n">
        <v>4</v>
      </c>
      <c r="P44" t="n">
        <v>0</v>
      </c>
      <c r="Q44" t="n">
        <v>4</v>
      </c>
      <c r="R44" s="2" t="inlineStr">
        <is>
          <t>Gammelgransskål
Garnlav
Granticka
Violettgrå tagellav</t>
        </is>
      </c>
      <c r="S44">
        <f>HYPERLINK("https://klasma.github.io/Logging_SKELLEFTEA/artfynd/A 55630-2019.xlsx", "A 55630-2019")</f>
        <v/>
      </c>
      <c r="T44">
        <f>HYPERLINK("https://klasma.github.io/Logging_SKELLEFTEA/kartor/A 55630-2019.png", "A 55630-2019")</f>
        <v/>
      </c>
      <c r="V44">
        <f>HYPERLINK("https://klasma.github.io/Logging_SKELLEFTEA/klagomål/A 55630-2019.docx", "A 55630-2019")</f>
        <v/>
      </c>
      <c r="W44">
        <f>HYPERLINK("https://klasma.github.io/Logging_SKELLEFTEA/klagomålsmail/A 55630-2019.docx", "A 55630-2019")</f>
        <v/>
      </c>
      <c r="X44">
        <f>HYPERLINK("https://klasma.github.io/Logging_SKELLEFTEA/tillsyn/A 55630-2019.docx", "A 55630-2019")</f>
        <v/>
      </c>
      <c r="Y44">
        <f>HYPERLINK("https://klasma.github.io/Logging_SKELLEFTEA/tillsynsmail/A 55630-2019.docx", "A 55630-2019")</f>
        <v/>
      </c>
    </row>
    <row r="45" ht="15" customHeight="1">
      <c r="A45" t="inlineStr">
        <is>
          <t>A 26906-2020</t>
        </is>
      </c>
      <c r="B45" s="1" t="n">
        <v>43990</v>
      </c>
      <c r="C45" s="1" t="n">
        <v>45192</v>
      </c>
      <c r="D45" t="inlineStr">
        <is>
          <t>VÄSTERBOTTENS LÄN</t>
        </is>
      </c>
      <c r="E45" t="inlineStr">
        <is>
          <t>SKELLEFTEÅ</t>
        </is>
      </c>
      <c r="F45" t="inlineStr">
        <is>
          <t>Holmen skog AB</t>
        </is>
      </c>
      <c r="G45" t="n">
        <v>5.2</v>
      </c>
      <c r="H45" t="n">
        <v>0</v>
      </c>
      <c r="I45" t="n">
        <v>2</v>
      </c>
      <c r="J45" t="n">
        <v>2</v>
      </c>
      <c r="K45" t="n">
        <v>0</v>
      </c>
      <c r="L45" t="n">
        <v>0</v>
      </c>
      <c r="M45" t="n">
        <v>0</v>
      </c>
      <c r="N45" t="n">
        <v>0</v>
      </c>
      <c r="O45" t="n">
        <v>2</v>
      </c>
      <c r="P45" t="n">
        <v>0</v>
      </c>
      <c r="Q45" t="n">
        <v>4</v>
      </c>
      <c r="R45" s="2" t="inlineStr">
        <is>
          <t>Granticka
Lunglav
Bårdlav
Luddlav</t>
        </is>
      </c>
      <c r="S45">
        <f>HYPERLINK("https://klasma.github.io/Logging_SKELLEFTEA/artfynd/A 26906-2020.xlsx", "A 26906-2020")</f>
        <v/>
      </c>
      <c r="T45">
        <f>HYPERLINK("https://klasma.github.io/Logging_SKELLEFTEA/kartor/A 26906-2020.png", "A 26906-2020")</f>
        <v/>
      </c>
      <c r="V45">
        <f>HYPERLINK("https://klasma.github.io/Logging_SKELLEFTEA/klagomål/A 26906-2020.docx", "A 26906-2020")</f>
        <v/>
      </c>
      <c r="W45">
        <f>HYPERLINK("https://klasma.github.io/Logging_SKELLEFTEA/klagomålsmail/A 26906-2020.docx", "A 26906-2020")</f>
        <v/>
      </c>
      <c r="X45">
        <f>HYPERLINK("https://klasma.github.io/Logging_SKELLEFTEA/tillsyn/A 26906-2020.docx", "A 26906-2020")</f>
        <v/>
      </c>
      <c r="Y45">
        <f>HYPERLINK("https://klasma.github.io/Logging_SKELLEFTEA/tillsynsmail/A 26906-2020.docx", "A 26906-2020")</f>
        <v/>
      </c>
    </row>
    <row r="46" ht="15" customHeight="1">
      <c r="A46" t="inlineStr">
        <is>
          <t>A 55631-2020</t>
        </is>
      </c>
      <c r="B46" s="1" t="n">
        <v>44131</v>
      </c>
      <c r="C46" s="1" t="n">
        <v>45192</v>
      </c>
      <c r="D46" t="inlineStr">
        <is>
          <t>VÄSTERBOTTENS LÄN</t>
        </is>
      </c>
      <c r="E46" t="inlineStr">
        <is>
          <t>SKELLEFTEÅ</t>
        </is>
      </c>
      <c r="F46" t="inlineStr">
        <is>
          <t>Sveaskog</t>
        </is>
      </c>
      <c r="G46" t="n">
        <v>4.3</v>
      </c>
      <c r="H46" t="n">
        <v>0</v>
      </c>
      <c r="I46" t="n">
        <v>1</v>
      </c>
      <c r="J46" t="n">
        <v>3</v>
      </c>
      <c r="K46" t="n">
        <v>0</v>
      </c>
      <c r="L46" t="n">
        <v>0</v>
      </c>
      <c r="M46" t="n">
        <v>0</v>
      </c>
      <c r="N46" t="n">
        <v>0</v>
      </c>
      <c r="O46" t="n">
        <v>3</v>
      </c>
      <c r="P46" t="n">
        <v>0</v>
      </c>
      <c r="Q46" t="n">
        <v>4</v>
      </c>
      <c r="R46" s="2" t="inlineStr">
        <is>
          <t>Garnlav
Lunglav
Ullticka
Stuplav</t>
        </is>
      </c>
      <c r="S46">
        <f>HYPERLINK("https://klasma.github.io/Logging_SKELLEFTEA/artfynd/A 55631-2020.xlsx", "A 55631-2020")</f>
        <v/>
      </c>
      <c r="T46">
        <f>HYPERLINK("https://klasma.github.io/Logging_SKELLEFTEA/kartor/A 55631-2020.png", "A 55631-2020")</f>
        <v/>
      </c>
      <c r="V46">
        <f>HYPERLINK("https://klasma.github.io/Logging_SKELLEFTEA/klagomål/A 55631-2020.docx", "A 55631-2020")</f>
        <v/>
      </c>
      <c r="W46">
        <f>HYPERLINK("https://klasma.github.io/Logging_SKELLEFTEA/klagomålsmail/A 55631-2020.docx", "A 55631-2020")</f>
        <v/>
      </c>
      <c r="X46">
        <f>HYPERLINK("https://klasma.github.io/Logging_SKELLEFTEA/tillsyn/A 55631-2020.docx", "A 55631-2020")</f>
        <v/>
      </c>
      <c r="Y46">
        <f>HYPERLINK("https://klasma.github.io/Logging_SKELLEFTEA/tillsynsmail/A 55631-2020.docx", "A 55631-2020")</f>
        <v/>
      </c>
    </row>
    <row r="47" ht="15" customHeight="1">
      <c r="A47" t="inlineStr">
        <is>
          <t>A 68511-2020</t>
        </is>
      </c>
      <c r="B47" s="1" t="n">
        <v>44186</v>
      </c>
      <c r="C47" s="1" t="n">
        <v>45192</v>
      </c>
      <c r="D47" t="inlineStr">
        <is>
          <t>VÄSTERBOTTENS LÄN</t>
        </is>
      </c>
      <c r="E47" t="inlineStr">
        <is>
          <t>SKELLEFTEÅ</t>
        </is>
      </c>
      <c r="F47" t="inlineStr">
        <is>
          <t>Sveaskog</t>
        </is>
      </c>
      <c r="G47" t="n">
        <v>16.9</v>
      </c>
      <c r="H47" t="n">
        <v>0</v>
      </c>
      <c r="I47" t="n">
        <v>1</v>
      </c>
      <c r="J47" t="n">
        <v>3</v>
      </c>
      <c r="K47" t="n">
        <v>0</v>
      </c>
      <c r="L47" t="n">
        <v>0</v>
      </c>
      <c r="M47" t="n">
        <v>0</v>
      </c>
      <c r="N47" t="n">
        <v>0</v>
      </c>
      <c r="O47" t="n">
        <v>3</v>
      </c>
      <c r="P47" t="n">
        <v>0</v>
      </c>
      <c r="Q47" t="n">
        <v>4</v>
      </c>
      <c r="R47" s="2" t="inlineStr">
        <is>
          <t>Garnlav
Lunglav
Violettgrå tagellav
Stuplav</t>
        </is>
      </c>
      <c r="S47">
        <f>HYPERLINK("https://klasma.github.io/Logging_SKELLEFTEA/artfynd/A 68511-2020.xlsx", "A 68511-2020")</f>
        <v/>
      </c>
      <c r="T47">
        <f>HYPERLINK("https://klasma.github.io/Logging_SKELLEFTEA/kartor/A 68511-2020.png", "A 68511-2020")</f>
        <v/>
      </c>
      <c r="V47">
        <f>HYPERLINK("https://klasma.github.io/Logging_SKELLEFTEA/klagomål/A 68511-2020.docx", "A 68511-2020")</f>
        <v/>
      </c>
      <c r="W47">
        <f>HYPERLINK("https://klasma.github.io/Logging_SKELLEFTEA/klagomålsmail/A 68511-2020.docx", "A 68511-2020")</f>
        <v/>
      </c>
      <c r="X47">
        <f>HYPERLINK("https://klasma.github.io/Logging_SKELLEFTEA/tillsyn/A 68511-2020.docx", "A 68511-2020")</f>
        <v/>
      </c>
      <c r="Y47">
        <f>HYPERLINK("https://klasma.github.io/Logging_SKELLEFTEA/tillsynsmail/A 68511-2020.docx", "A 68511-2020")</f>
        <v/>
      </c>
    </row>
    <row r="48" ht="15" customHeight="1">
      <c r="A48" t="inlineStr">
        <is>
          <t>A 2776-2021</t>
        </is>
      </c>
      <c r="B48" s="1" t="n">
        <v>44215</v>
      </c>
      <c r="C48" s="1" t="n">
        <v>45192</v>
      </c>
      <c r="D48" t="inlineStr">
        <is>
          <t>VÄSTERBOTTENS LÄN</t>
        </is>
      </c>
      <c r="E48" t="inlineStr">
        <is>
          <t>SKELLEFTEÅ</t>
        </is>
      </c>
      <c r="F48" t="inlineStr">
        <is>
          <t>Sveaskog</t>
        </is>
      </c>
      <c r="G48" t="n">
        <v>4.4</v>
      </c>
      <c r="H48" t="n">
        <v>0</v>
      </c>
      <c r="I48" t="n">
        <v>1</v>
      </c>
      <c r="J48" t="n">
        <v>3</v>
      </c>
      <c r="K48" t="n">
        <v>0</v>
      </c>
      <c r="L48" t="n">
        <v>0</v>
      </c>
      <c r="M48" t="n">
        <v>0</v>
      </c>
      <c r="N48" t="n">
        <v>0</v>
      </c>
      <c r="O48" t="n">
        <v>3</v>
      </c>
      <c r="P48" t="n">
        <v>0</v>
      </c>
      <c r="Q48" t="n">
        <v>4</v>
      </c>
      <c r="R48" s="2" t="inlineStr">
        <is>
          <t>Garnlav
Granticka
Lunglav
Bårdlav</t>
        </is>
      </c>
      <c r="S48">
        <f>HYPERLINK("https://klasma.github.io/Logging_SKELLEFTEA/artfynd/A 2776-2021.xlsx", "A 2776-2021")</f>
        <v/>
      </c>
      <c r="T48">
        <f>HYPERLINK("https://klasma.github.io/Logging_SKELLEFTEA/kartor/A 2776-2021.png", "A 2776-2021")</f>
        <v/>
      </c>
      <c r="V48">
        <f>HYPERLINK("https://klasma.github.io/Logging_SKELLEFTEA/klagomål/A 2776-2021.docx", "A 2776-2021")</f>
        <v/>
      </c>
      <c r="W48">
        <f>HYPERLINK("https://klasma.github.io/Logging_SKELLEFTEA/klagomålsmail/A 2776-2021.docx", "A 2776-2021")</f>
        <v/>
      </c>
      <c r="X48">
        <f>HYPERLINK("https://klasma.github.io/Logging_SKELLEFTEA/tillsyn/A 2776-2021.docx", "A 2776-2021")</f>
        <v/>
      </c>
      <c r="Y48">
        <f>HYPERLINK("https://klasma.github.io/Logging_SKELLEFTEA/tillsynsmail/A 2776-2021.docx", "A 2776-2021")</f>
        <v/>
      </c>
    </row>
    <row r="49" ht="15" customHeight="1">
      <c r="A49" t="inlineStr">
        <is>
          <t>A 57409-2021</t>
        </is>
      </c>
      <c r="B49" s="1" t="n">
        <v>44483</v>
      </c>
      <c r="C49" s="1" t="n">
        <v>45192</v>
      </c>
      <c r="D49" t="inlineStr">
        <is>
          <t>VÄSTERBOTTENS LÄN</t>
        </is>
      </c>
      <c r="E49" t="inlineStr">
        <is>
          <t>SKELLEFTEÅ</t>
        </is>
      </c>
      <c r="G49" t="n">
        <v>20.3</v>
      </c>
      <c r="H49" t="n">
        <v>0</v>
      </c>
      <c r="I49" t="n">
        <v>1</v>
      </c>
      <c r="J49" t="n">
        <v>3</v>
      </c>
      <c r="K49" t="n">
        <v>0</v>
      </c>
      <c r="L49" t="n">
        <v>0</v>
      </c>
      <c r="M49" t="n">
        <v>0</v>
      </c>
      <c r="N49" t="n">
        <v>0</v>
      </c>
      <c r="O49" t="n">
        <v>3</v>
      </c>
      <c r="P49" t="n">
        <v>0</v>
      </c>
      <c r="Q49" t="n">
        <v>4</v>
      </c>
      <c r="R49" s="2" t="inlineStr">
        <is>
          <t>Gammelgransskål
Garnlav
Ullticka
Vedticka</t>
        </is>
      </c>
      <c r="S49">
        <f>HYPERLINK("https://klasma.github.io/Logging_SKELLEFTEA/artfynd/A 57409-2021.xlsx", "A 57409-2021")</f>
        <v/>
      </c>
      <c r="T49">
        <f>HYPERLINK("https://klasma.github.io/Logging_SKELLEFTEA/kartor/A 57409-2021.png", "A 57409-2021")</f>
        <v/>
      </c>
      <c r="V49">
        <f>HYPERLINK("https://klasma.github.io/Logging_SKELLEFTEA/klagomål/A 57409-2021.docx", "A 57409-2021")</f>
        <v/>
      </c>
      <c r="W49">
        <f>HYPERLINK("https://klasma.github.io/Logging_SKELLEFTEA/klagomålsmail/A 57409-2021.docx", "A 57409-2021")</f>
        <v/>
      </c>
      <c r="X49">
        <f>HYPERLINK("https://klasma.github.io/Logging_SKELLEFTEA/tillsyn/A 57409-2021.docx", "A 57409-2021")</f>
        <v/>
      </c>
      <c r="Y49">
        <f>HYPERLINK("https://klasma.github.io/Logging_SKELLEFTEA/tillsynsmail/A 57409-2021.docx", "A 57409-2021")</f>
        <v/>
      </c>
    </row>
    <row r="50" ht="15" customHeight="1">
      <c r="A50" t="inlineStr">
        <is>
          <t>A 3212-2022</t>
        </is>
      </c>
      <c r="B50" s="1" t="n">
        <v>44582</v>
      </c>
      <c r="C50" s="1" t="n">
        <v>45192</v>
      </c>
      <c r="D50" t="inlineStr">
        <is>
          <t>VÄSTERBOTTENS LÄN</t>
        </is>
      </c>
      <c r="E50" t="inlineStr">
        <is>
          <t>SKELLEFTEÅ</t>
        </is>
      </c>
      <c r="G50" t="n">
        <v>1.4</v>
      </c>
      <c r="H50" t="n">
        <v>0</v>
      </c>
      <c r="I50" t="n">
        <v>1</v>
      </c>
      <c r="J50" t="n">
        <v>3</v>
      </c>
      <c r="K50" t="n">
        <v>0</v>
      </c>
      <c r="L50" t="n">
        <v>0</v>
      </c>
      <c r="M50" t="n">
        <v>0</v>
      </c>
      <c r="N50" t="n">
        <v>0</v>
      </c>
      <c r="O50" t="n">
        <v>3</v>
      </c>
      <c r="P50" t="n">
        <v>0</v>
      </c>
      <c r="Q50" t="n">
        <v>4</v>
      </c>
      <c r="R50" s="2" t="inlineStr">
        <is>
          <t>Garnlav
Granticka
Harticka
Vedticka</t>
        </is>
      </c>
      <c r="S50">
        <f>HYPERLINK("https://klasma.github.io/Logging_SKELLEFTEA/artfynd/A 3212-2022.xlsx", "A 3212-2022")</f>
        <v/>
      </c>
      <c r="T50">
        <f>HYPERLINK("https://klasma.github.io/Logging_SKELLEFTEA/kartor/A 3212-2022.png", "A 3212-2022")</f>
        <v/>
      </c>
      <c r="V50">
        <f>HYPERLINK("https://klasma.github.io/Logging_SKELLEFTEA/klagomål/A 3212-2022.docx", "A 3212-2022")</f>
        <v/>
      </c>
      <c r="W50">
        <f>HYPERLINK("https://klasma.github.io/Logging_SKELLEFTEA/klagomålsmail/A 3212-2022.docx", "A 3212-2022")</f>
        <v/>
      </c>
      <c r="X50">
        <f>HYPERLINK("https://klasma.github.io/Logging_SKELLEFTEA/tillsyn/A 3212-2022.docx", "A 3212-2022")</f>
        <v/>
      </c>
      <c r="Y50">
        <f>HYPERLINK("https://klasma.github.io/Logging_SKELLEFTEA/tillsynsmail/A 3212-2022.docx", "A 3212-2022")</f>
        <v/>
      </c>
    </row>
    <row r="51" ht="15" customHeight="1">
      <c r="A51" t="inlineStr">
        <is>
          <t>A 11624-2019</t>
        </is>
      </c>
      <c r="B51" s="1" t="n">
        <v>43517</v>
      </c>
      <c r="C51" s="1" t="n">
        <v>45192</v>
      </c>
      <c r="D51" t="inlineStr">
        <is>
          <t>VÄSTERBOTTENS LÄN</t>
        </is>
      </c>
      <c r="E51" t="inlineStr">
        <is>
          <t>SKELLEFTEÅ</t>
        </is>
      </c>
      <c r="G51" t="n">
        <v>24.7</v>
      </c>
      <c r="H51" t="n">
        <v>1</v>
      </c>
      <c r="I51" t="n">
        <v>0</v>
      </c>
      <c r="J51" t="n">
        <v>2</v>
      </c>
      <c r="K51" t="n">
        <v>0</v>
      </c>
      <c r="L51" t="n">
        <v>0</v>
      </c>
      <c r="M51" t="n">
        <v>0</v>
      </c>
      <c r="N51" t="n">
        <v>0</v>
      </c>
      <c r="O51" t="n">
        <v>2</v>
      </c>
      <c r="P51" t="n">
        <v>0</v>
      </c>
      <c r="Q51" t="n">
        <v>3</v>
      </c>
      <c r="R51" s="2" t="inlineStr">
        <is>
          <t>Garnlav
Lunglav
Mindre vattensalamander</t>
        </is>
      </c>
      <c r="S51">
        <f>HYPERLINK("https://klasma.github.io/Logging_SKELLEFTEA/artfynd/A 11624-2019.xlsx", "A 11624-2019")</f>
        <v/>
      </c>
      <c r="T51">
        <f>HYPERLINK("https://klasma.github.io/Logging_SKELLEFTEA/kartor/A 11624-2019.png", "A 11624-2019")</f>
        <v/>
      </c>
      <c r="V51">
        <f>HYPERLINK("https://klasma.github.io/Logging_SKELLEFTEA/klagomål/A 11624-2019.docx", "A 11624-2019")</f>
        <v/>
      </c>
      <c r="W51">
        <f>HYPERLINK("https://klasma.github.io/Logging_SKELLEFTEA/klagomålsmail/A 11624-2019.docx", "A 11624-2019")</f>
        <v/>
      </c>
      <c r="X51">
        <f>HYPERLINK("https://klasma.github.io/Logging_SKELLEFTEA/tillsyn/A 11624-2019.docx", "A 11624-2019")</f>
        <v/>
      </c>
      <c r="Y51">
        <f>HYPERLINK("https://klasma.github.io/Logging_SKELLEFTEA/tillsynsmail/A 11624-2019.docx", "A 11624-2019")</f>
        <v/>
      </c>
    </row>
    <row r="52" ht="15" customHeight="1">
      <c r="A52" t="inlineStr">
        <is>
          <t>A 14562-2019</t>
        </is>
      </c>
      <c r="B52" s="1" t="n">
        <v>43535</v>
      </c>
      <c r="C52" s="1" t="n">
        <v>45192</v>
      </c>
      <c r="D52" t="inlineStr">
        <is>
          <t>VÄSTERBOTTENS LÄN</t>
        </is>
      </c>
      <c r="E52" t="inlineStr">
        <is>
          <t>SKELLEFTEÅ</t>
        </is>
      </c>
      <c r="G52" t="n">
        <v>4.9</v>
      </c>
      <c r="H52" t="n">
        <v>0</v>
      </c>
      <c r="I52" t="n">
        <v>0</v>
      </c>
      <c r="J52" t="n">
        <v>2</v>
      </c>
      <c r="K52" t="n">
        <v>1</v>
      </c>
      <c r="L52" t="n">
        <v>0</v>
      </c>
      <c r="M52" t="n">
        <v>0</v>
      </c>
      <c r="N52" t="n">
        <v>0</v>
      </c>
      <c r="O52" t="n">
        <v>3</v>
      </c>
      <c r="P52" t="n">
        <v>1</v>
      </c>
      <c r="Q52" t="n">
        <v>3</v>
      </c>
      <c r="R52" s="2" t="inlineStr">
        <is>
          <t>Nordlig flatbagge
Skrovlig flatbagge
Violettgrå tagellav</t>
        </is>
      </c>
      <c r="S52">
        <f>HYPERLINK("https://klasma.github.io/Logging_SKELLEFTEA/artfynd/A 14562-2019.xlsx", "A 14562-2019")</f>
        <v/>
      </c>
      <c r="T52">
        <f>HYPERLINK("https://klasma.github.io/Logging_SKELLEFTEA/kartor/A 14562-2019.png", "A 14562-2019")</f>
        <v/>
      </c>
      <c r="V52">
        <f>HYPERLINK("https://klasma.github.io/Logging_SKELLEFTEA/klagomål/A 14562-2019.docx", "A 14562-2019")</f>
        <v/>
      </c>
      <c r="W52">
        <f>HYPERLINK("https://klasma.github.io/Logging_SKELLEFTEA/klagomålsmail/A 14562-2019.docx", "A 14562-2019")</f>
        <v/>
      </c>
      <c r="X52">
        <f>HYPERLINK("https://klasma.github.io/Logging_SKELLEFTEA/tillsyn/A 14562-2019.docx", "A 14562-2019")</f>
        <v/>
      </c>
      <c r="Y52">
        <f>HYPERLINK("https://klasma.github.io/Logging_SKELLEFTEA/tillsynsmail/A 14562-2019.docx", "A 14562-2019")</f>
        <v/>
      </c>
    </row>
    <row r="53" ht="15" customHeight="1">
      <c r="A53" t="inlineStr">
        <is>
          <t>A 14580-2019</t>
        </is>
      </c>
      <c r="B53" s="1" t="n">
        <v>43536</v>
      </c>
      <c r="C53" s="1" t="n">
        <v>45192</v>
      </c>
      <c r="D53" t="inlineStr">
        <is>
          <t>VÄSTERBOTTENS LÄN</t>
        </is>
      </c>
      <c r="E53" t="inlineStr">
        <is>
          <t>SKELLEFTEÅ</t>
        </is>
      </c>
      <c r="G53" t="n">
        <v>11.3</v>
      </c>
      <c r="H53" t="n">
        <v>0</v>
      </c>
      <c r="I53" t="n">
        <v>0</v>
      </c>
      <c r="J53" t="n">
        <v>3</v>
      </c>
      <c r="K53" t="n">
        <v>0</v>
      </c>
      <c r="L53" t="n">
        <v>0</v>
      </c>
      <c r="M53" t="n">
        <v>0</v>
      </c>
      <c r="N53" t="n">
        <v>0</v>
      </c>
      <c r="O53" t="n">
        <v>3</v>
      </c>
      <c r="P53" t="n">
        <v>0</v>
      </c>
      <c r="Q53" t="n">
        <v>3</v>
      </c>
      <c r="R53" s="2" t="inlineStr">
        <is>
          <t>Gammelgransskål
Garnlav
Ullticka</t>
        </is>
      </c>
      <c r="S53">
        <f>HYPERLINK("https://klasma.github.io/Logging_SKELLEFTEA/artfynd/A 14580-2019.xlsx", "A 14580-2019")</f>
        <v/>
      </c>
      <c r="T53">
        <f>HYPERLINK("https://klasma.github.io/Logging_SKELLEFTEA/kartor/A 14580-2019.png", "A 14580-2019")</f>
        <v/>
      </c>
      <c r="V53">
        <f>HYPERLINK("https://klasma.github.io/Logging_SKELLEFTEA/klagomål/A 14580-2019.docx", "A 14580-2019")</f>
        <v/>
      </c>
      <c r="W53">
        <f>HYPERLINK("https://klasma.github.io/Logging_SKELLEFTEA/klagomålsmail/A 14580-2019.docx", "A 14580-2019")</f>
        <v/>
      </c>
      <c r="X53">
        <f>HYPERLINK("https://klasma.github.io/Logging_SKELLEFTEA/tillsyn/A 14580-2019.docx", "A 14580-2019")</f>
        <v/>
      </c>
      <c r="Y53">
        <f>HYPERLINK("https://klasma.github.io/Logging_SKELLEFTEA/tillsynsmail/A 14580-2019.docx", "A 14580-2019")</f>
        <v/>
      </c>
    </row>
    <row r="54" ht="15" customHeight="1">
      <c r="A54" t="inlineStr">
        <is>
          <t>A 35777-2019</t>
        </is>
      </c>
      <c r="B54" s="1" t="n">
        <v>43665</v>
      </c>
      <c r="C54" s="1" t="n">
        <v>45192</v>
      </c>
      <c r="D54" t="inlineStr">
        <is>
          <t>VÄSTERBOTTENS LÄN</t>
        </is>
      </c>
      <c r="E54" t="inlineStr">
        <is>
          <t>SKELLEFTEÅ</t>
        </is>
      </c>
      <c r="F54" t="inlineStr">
        <is>
          <t>Holmen skog AB</t>
        </is>
      </c>
      <c r="G54" t="n">
        <v>26.8</v>
      </c>
      <c r="H54" t="n">
        <v>0</v>
      </c>
      <c r="I54" t="n">
        <v>1</v>
      </c>
      <c r="J54" t="n">
        <v>2</v>
      </c>
      <c r="K54" t="n">
        <v>0</v>
      </c>
      <c r="L54" t="n">
        <v>0</v>
      </c>
      <c r="M54" t="n">
        <v>0</v>
      </c>
      <c r="N54" t="n">
        <v>0</v>
      </c>
      <c r="O54" t="n">
        <v>2</v>
      </c>
      <c r="P54" t="n">
        <v>0</v>
      </c>
      <c r="Q54" t="n">
        <v>3</v>
      </c>
      <c r="R54" s="2" t="inlineStr">
        <is>
          <t>Garnlav
Ullticka
Vedticka</t>
        </is>
      </c>
      <c r="S54">
        <f>HYPERLINK("https://klasma.github.io/Logging_SKELLEFTEA/artfynd/A 35777-2019.xlsx", "A 35777-2019")</f>
        <v/>
      </c>
      <c r="T54">
        <f>HYPERLINK("https://klasma.github.io/Logging_SKELLEFTEA/kartor/A 35777-2019.png", "A 35777-2019")</f>
        <v/>
      </c>
      <c r="V54">
        <f>HYPERLINK("https://klasma.github.io/Logging_SKELLEFTEA/klagomål/A 35777-2019.docx", "A 35777-2019")</f>
        <v/>
      </c>
      <c r="W54">
        <f>HYPERLINK("https://klasma.github.io/Logging_SKELLEFTEA/klagomålsmail/A 35777-2019.docx", "A 35777-2019")</f>
        <v/>
      </c>
      <c r="X54">
        <f>HYPERLINK("https://klasma.github.io/Logging_SKELLEFTEA/tillsyn/A 35777-2019.docx", "A 35777-2019")</f>
        <v/>
      </c>
      <c r="Y54">
        <f>HYPERLINK("https://klasma.github.io/Logging_SKELLEFTEA/tillsynsmail/A 35777-2019.docx", "A 35777-2019")</f>
        <v/>
      </c>
    </row>
    <row r="55" ht="15" customHeight="1">
      <c r="A55" t="inlineStr">
        <is>
          <t>A 64056-2019</t>
        </is>
      </c>
      <c r="B55" s="1" t="n">
        <v>43796</v>
      </c>
      <c r="C55" s="1" t="n">
        <v>45192</v>
      </c>
      <c r="D55" t="inlineStr">
        <is>
          <t>VÄSTERBOTTENS LÄN</t>
        </is>
      </c>
      <c r="E55" t="inlineStr">
        <is>
          <t>SKELLEFTEÅ</t>
        </is>
      </c>
      <c r="F55" t="inlineStr">
        <is>
          <t>Sveaskog</t>
        </is>
      </c>
      <c r="G55" t="n">
        <v>4.1</v>
      </c>
      <c r="H55" t="n">
        <v>0</v>
      </c>
      <c r="I55" t="n">
        <v>0</v>
      </c>
      <c r="J55" t="n">
        <v>3</v>
      </c>
      <c r="K55" t="n">
        <v>0</v>
      </c>
      <c r="L55" t="n">
        <v>0</v>
      </c>
      <c r="M55" t="n">
        <v>0</v>
      </c>
      <c r="N55" t="n">
        <v>0</v>
      </c>
      <c r="O55" t="n">
        <v>3</v>
      </c>
      <c r="P55" t="n">
        <v>0</v>
      </c>
      <c r="Q55" t="n">
        <v>3</v>
      </c>
      <c r="R55" s="2" t="inlineStr">
        <is>
          <t>Gammelgransskål
Garnlav
Lunglav</t>
        </is>
      </c>
      <c r="S55">
        <f>HYPERLINK("https://klasma.github.io/Logging_SKELLEFTEA/artfynd/A 64056-2019.xlsx", "A 64056-2019")</f>
        <v/>
      </c>
      <c r="T55">
        <f>HYPERLINK("https://klasma.github.io/Logging_SKELLEFTEA/kartor/A 64056-2019.png", "A 64056-2019")</f>
        <v/>
      </c>
      <c r="V55">
        <f>HYPERLINK("https://klasma.github.io/Logging_SKELLEFTEA/klagomål/A 64056-2019.docx", "A 64056-2019")</f>
        <v/>
      </c>
      <c r="W55">
        <f>HYPERLINK("https://klasma.github.io/Logging_SKELLEFTEA/klagomålsmail/A 64056-2019.docx", "A 64056-2019")</f>
        <v/>
      </c>
      <c r="X55">
        <f>HYPERLINK("https://klasma.github.io/Logging_SKELLEFTEA/tillsyn/A 64056-2019.docx", "A 64056-2019")</f>
        <v/>
      </c>
      <c r="Y55">
        <f>HYPERLINK("https://klasma.github.io/Logging_SKELLEFTEA/tillsynsmail/A 64056-2019.docx", "A 64056-2019")</f>
        <v/>
      </c>
    </row>
    <row r="56" ht="15" customHeight="1">
      <c r="A56" t="inlineStr">
        <is>
          <t>A 32940-2020</t>
        </is>
      </c>
      <c r="B56" s="1" t="n">
        <v>44018</v>
      </c>
      <c r="C56" s="1" t="n">
        <v>45192</v>
      </c>
      <c r="D56" t="inlineStr">
        <is>
          <t>VÄSTERBOTTENS LÄN</t>
        </is>
      </c>
      <c r="E56" t="inlineStr">
        <is>
          <t>SKELLEFTEÅ</t>
        </is>
      </c>
      <c r="G56" t="n">
        <v>15.6</v>
      </c>
      <c r="H56" t="n">
        <v>0</v>
      </c>
      <c r="I56" t="n">
        <v>1</v>
      </c>
      <c r="J56" t="n">
        <v>1</v>
      </c>
      <c r="K56" t="n">
        <v>1</v>
      </c>
      <c r="L56" t="n">
        <v>0</v>
      </c>
      <c r="M56" t="n">
        <v>0</v>
      </c>
      <c r="N56" t="n">
        <v>0</v>
      </c>
      <c r="O56" t="n">
        <v>2</v>
      </c>
      <c r="P56" t="n">
        <v>1</v>
      </c>
      <c r="Q56" t="n">
        <v>3</v>
      </c>
      <c r="R56" s="2" t="inlineStr">
        <is>
          <t>Goliatmusseron
Skrovlig taggsvamp
Dropptaggsvamp</t>
        </is>
      </c>
      <c r="S56">
        <f>HYPERLINK("https://klasma.github.io/Logging_SKELLEFTEA/artfynd/A 32940-2020.xlsx", "A 32940-2020")</f>
        <v/>
      </c>
      <c r="T56">
        <f>HYPERLINK("https://klasma.github.io/Logging_SKELLEFTEA/kartor/A 32940-2020.png", "A 32940-2020")</f>
        <v/>
      </c>
      <c r="V56">
        <f>HYPERLINK("https://klasma.github.io/Logging_SKELLEFTEA/klagomål/A 32940-2020.docx", "A 32940-2020")</f>
        <v/>
      </c>
      <c r="W56">
        <f>HYPERLINK("https://klasma.github.io/Logging_SKELLEFTEA/klagomålsmail/A 32940-2020.docx", "A 32940-2020")</f>
        <v/>
      </c>
      <c r="X56">
        <f>HYPERLINK("https://klasma.github.io/Logging_SKELLEFTEA/tillsyn/A 32940-2020.docx", "A 32940-2020")</f>
        <v/>
      </c>
      <c r="Y56">
        <f>HYPERLINK("https://klasma.github.io/Logging_SKELLEFTEA/tillsynsmail/A 32940-2020.docx", "A 32940-2020")</f>
        <v/>
      </c>
    </row>
    <row r="57" ht="15" customHeight="1">
      <c r="A57" t="inlineStr">
        <is>
          <t>A 55812-2020</t>
        </is>
      </c>
      <c r="B57" s="1" t="n">
        <v>44132</v>
      </c>
      <c r="C57" s="1" t="n">
        <v>45192</v>
      </c>
      <c r="D57" t="inlineStr">
        <is>
          <t>VÄSTERBOTTENS LÄN</t>
        </is>
      </c>
      <c r="E57" t="inlineStr">
        <is>
          <t>SKELLEFTEÅ</t>
        </is>
      </c>
      <c r="F57" t="inlineStr">
        <is>
          <t>Sveaskog</t>
        </is>
      </c>
      <c r="G57" t="n">
        <v>10.3</v>
      </c>
      <c r="H57" t="n">
        <v>0</v>
      </c>
      <c r="I57" t="n">
        <v>0</v>
      </c>
      <c r="J57" t="n">
        <v>3</v>
      </c>
      <c r="K57" t="n">
        <v>0</v>
      </c>
      <c r="L57" t="n">
        <v>0</v>
      </c>
      <c r="M57" t="n">
        <v>0</v>
      </c>
      <c r="N57" t="n">
        <v>0</v>
      </c>
      <c r="O57" t="n">
        <v>3</v>
      </c>
      <c r="P57" t="n">
        <v>0</v>
      </c>
      <c r="Q57" t="n">
        <v>3</v>
      </c>
      <c r="R57" s="2" t="inlineStr">
        <is>
          <t>Doftskinn
Garnlav
Ullticka</t>
        </is>
      </c>
      <c r="S57">
        <f>HYPERLINK("https://klasma.github.io/Logging_SKELLEFTEA/artfynd/A 55812-2020.xlsx", "A 55812-2020")</f>
        <v/>
      </c>
      <c r="T57">
        <f>HYPERLINK("https://klasma.github.io/Logging_SKELLEFTEA/kartor/A 55812-2020.png", "A 55812-2020")</f>
        <v/>
      </c>
      <c r="V57">
        <f>HYPERLINK("https://klasma.github.io/Logging_SKELLEFTEA/klagomål/A 55812-2020.docx", "A 55812-2020")</f>
        <v/>
      </c>
      <c r="W57">
        <f>HYPERLINK("https://klasma.github.io/Logging_SKELLEFTEA/klagomålsmail/A 55812-2020.docx", "A 55812-2020")</f>
        <v/>
      </c>
      <c r="X57">
        <f>HYPERLINK("https://klasma.github.io/Logging_SKELLEFTEA/tillsyn/A 55812-2020.docx", "A 55812-2020")</f>
        <v/>
      </c>
      <c r="Y57">
        <f>HYPERLINK("https://klasma.github.io/Logging_SKELLEFTEA/tillsynsmail/A 55812-2020.docx", "A 55812-2020")</f>
        <v/>
      </c>
    </row>
    <row r="58" ht="15" customHeight="1">
      <c r="A58" t="inlineStr">
        <is>
          <t>A 68690-2020</t>
        </is>
      </c>
      <c r="B58" s="1" t="n">
        <v>44186</v>
      </c>
      <c r="C58" s="1" t="n">
        <v>45192</v>
      </c>
      <c r="D58" t="inlineStr">
        <is>
          <t>VÄSTERBOTTENS LÄN</t>
        </is>
      </c>
      <c r="E58" t="inlineStr">
        <is>
          <t>SKELLEFTEÅ</t>
        </is>
      </c>
      <c r="G58" t="n">
        <v>6.1</v>
      </c>
      <c r="H58" t="n">
        <v>0</v>
      </c>
      <c r="I58" t="n">
        <v>1</v>
      </c>
      <c r="J58" t="n">
        <v>2</v>
      </c>
      <c r="K58" t="n">
        <v>0</v>
      </c>
      <c r="L58" t="n">
        <v>0</v>
      </c>
      <c r="M58" t="n">
        <v>0</v>
      </c>
      <c r="N58" t="n">
        <v>0</v>
      </c>
      <c r="O58" t="n">
        <v>2</v>
      </c>
      <c r="P58" t="n">
        <v>0</v>
      </c>
      <c r="Q58" t="n">
        <v>3</v>
      </c>
      <c r="R58" s="2" t="inlineStr">
        <is>
          <t>Garnlav
Ullticka
Vedticka</t>
        </is>
      </c>
      <c r="S58">
        <f>HYPERLINK("https://klasma.github.io/Logging_SKELLEFTEA/artfynd/A 68690-2020.xlsx", "A 68690-2020")</f>
        <v/>
      </c>
      <c r="T58">
        <f>HYPERLINK("https://klasma.github.io/Logging_SKELLEFTEA/kartor/A 68690-2020.png", "A 68690-2020")</f>
        <v/>
      </c>
      <c r="V58">
        <f>HYPERLINK("https://klasma.github.io/Logging_SKELLEFTEA/klagomål/A 68690-2020.docx", "A 68690-2020")</f>
        <v/>
      </c>
      <c r="W58">
        <f>HYPERLINK("https://klasma.github.io/Logging_SKELLEFTEA/klagomålsmail/A 68690-2020.docx", "A 68690-2020")</f>
        <v/>
      </c>
      <c r="X58">
        <f>HYPERLINK("https://klasma.github.io/Logging_SKELLEFTEA/tillsyn/A 68690-2020.docx", "A 68690-2020")</f>
        <v/>
      </c>
      <c r="Y58">
        <f>HYPERLINK("https://klasma.github.io/Logging_SKELLEFTEA/tillsynsmail/A 68690-2020.docx", "A 68690-2020")</f>
        <v/>
      </c>
    </row>
    <row r="59" ht="15" customHeight="1">
      <c r="A59" t="inlineStr">
        <is>
          <t>A 16152-2021</t>
        </is>
      </c>
      <c r="B59" s="1" t="n">
        <v>44287</v>
      </c>
      <c r="C59" s="1" t="n">
        <v>45192</v>
      </c>
      <c r="D59" t="inlineStr">
        <is>
          <t>VÄSTERBOTTENS LÄN</t>
        </is>
      </c>
      <c r="E59" t="inlineStr">
        <is>
          <t>SKELLEFTEÅ</t>
        </is>
      </c>
      <c r="G59" t="n">
        <v>3.4</v>
      </c>
      <c r="H59" t="n">
        <v>0</v>
      </c>
      <c r="I59" t="n">
        <v>1</v>
      </c>
      <c r="J59" t="n">
        <v>1</v>
      </c>
      <c r="K59" t="n">
        <v>1</v>
      </c>
      <c r="L59" t="n">
        <v>0</v>
      </c>
      <c r="M59" t="n">
        <v>0</v>
      </c>
      <c r="N59" t="n">
        <v>0</v>
      </c>
      <c r="O59" t="n">
        <v>2</v>
      </c>
      <c r="P59" t="n">
        <v>1</v>
      </c>
      <c r="Q59" t="n">
        <v>3</v>
      </c>
      <c r="R59" s="2" t="inlineStr">
        <is>
          <t>Goliatmusseron
Granticka
Vedticka</t>
        </is>
      </c>
      <c r="S59">
        <f>HYPERLINK("https://klasma.github.io/Logging_SKELLEFTEA/artfynd/A 16152-2021.xlsx", "A 16152-2021")</f>
        <v/>
      </c>
      <c r="T59">
        <f>HYPERLINK("https://klasma.github.io/Logging_SKELLEFTEA/kartor/A 16152-2021.png", "A 16152-2021")</f>
        <v/>
      </c>
      <c r="V59">
        <f>HYPERLINK("https://klasma.github.io/Logging_SKELLEFTEA/klagomål/A 16152-2021.docx", "A 16152-2021")</f>
        <v/>
      </c>
      <c r="W59">
        <f>HYPERLINK("https://klasma.github.io/Logging_SKELLEFTEA/klagomålsmail/A 16152-2021.docx", "A 16152-2021")</f>
        <v/>
      </c>
      <c r="X59">
        <f>HYPERLINK("https://klasma.github.io/Logging_SKELLEFTEA/tillsyn/A 16152-2021.docx", "A 16152-2021")</f>
        <v/>
      </c>
      <c r="Y59">
        <f>HYPERLINK("https://klasma.github.io/Logging_SKELLEFTEA/tillsynsmail/A 16152-2021.docx", "A 16152-2021")</f>
        <v/>
      </c>
    </row>
    <row r="60" ht="15" customHeight="1">
      <c r="A60" t="inlineStr">
        <is>
          <t>A 32918-2021</t>
        </is>
      </c>
      <c r="B60" s="1" t="n">
        <v>44375</v>
      </c>
      <c r="C60" s="1" t="n">
        <v>45192</v>
      </c>
      <c r="D60" t="inlineStr">
        <is>
          <t>VÄSTERBOTTENS LÄN</t>
        </is>
      </c>
      <c r="E60" t="inlineStr">
        <is>
          <t>SKELLEFTEÅ</t>
        </is>
      </c>
      <c r="F60" t="inlineStr">
        <is>
          <t>SCA</t>
        </is>
      </c>
      <c r="G60" t="n">
        <v>16.7</v>
      </c>
      <c r="H60" t="n">
        <v>0</v>
      </c>
      <c r="I60" t="n">
        <v>1</v>
      </c>
      <c r="J60" t="n">
        <v>2</v>
      </c>
      <c r="K60" t="n">
        <v>0</v>
      </c>
      <c r="L60" t="n">
        <v>0</v>
      </c>
      <c r="M60" t="n">
        <v>0</v>
      </c>
      <c r="N60" t="n">
        <v>0</v>
      </c>
      <c r="O60" t="n">
        <v>2</v>
      </c>
      <c r="P60" t="n">
        <v>0</v>
      </c>
      <c r="Q60" t="n">
        <v>3</v>
      </c>
      <c r="R60" s="2" t="inlineStr">
        <is>
          <t>Blå taggsvamp
Tallticka
Dropptaggsvamp</t>
        </is>
      </c>
      <c r="S60">
        <f>HYPERLINK("https://klasma.github.io/Logging_SKELLEFTEA/artfynd/A 32918-2021.xlsx", "A 32918-2021")</f>
        <v/>
      </c>
      <c r="T60">
        <f>HYPERLINK("https://klasma.github.io/Logging_SKELLEFTEA/kartor/A 32918-2021.png", "A 32918-2021")</f>
        <v/>
      </c>
      <c r="V60">
        <f>HYPERLINK("https://klasma.github.io/Logging_SKELLEFTEA/klagomål/A 32918-2021.docx", "A 32918-2021")</f>
        <v/>
      </c>
      <c r="W60">
        <f>HYPERLINK("https://klasma.github.io/Logging_SKELLEFTEA/klagomålsmail/A 32918-2021.docx", "A 32918-2021")</f>
        <v/>
      </c>
      <c r="X60">
        <f>HYPERLINK("https://klasma.github.io/Logging_SKELLEFTEA/tillsyn/A 32918-2021.docx", "A 32918-2021")</f>
        <v/>
      </c>
      <c r="Y60">
        <f>HYPERLINK("https://klasma.github.io/Logging_SKELLEFTEA/tillsynsmail/A 32918-2021.docx", "A 32918-2021")</f>
        <v/>
      </c>
    </row>
    <row r="61" ht="15" customHeight="1">
      <c r="A61" t="inlineStr">
        <is>
          <t>A 62340-2021</t>
        </is>
      </c>
      <c r="B61" s="1" t="n">
        <v>44503</v>
      </c>
      <c r="C61" s="1" t="n">
        <v>45192</v>
      </c>
      <c r="D61" t="inlineStr">
        <is>
          <t>VÄSTERBOTTENS LÄN</t>
        </is>
      </c>
      <c r="E61" t="inlineStr">
        <is>
          <t>SKELLEFTEÅ</t>
        </is>
      </c>
      <c r="G61" t="n">
        <v>3.9</v>
      </c>
      <c r="H61" t="n">
        <v>0</v>
      </c>
      <c r="I61" t="n">
        <v>2</v>
      </c>
      <c r="J61" t="n">
        <v>1</v>
      </c>
      <c r="K61" t="n">
        <v>0</v>
      </c>
      <c r="L61" t="n">
        <v>0</v>
      </c>
      <c r="M61" t="n">
        <v>0</v>
      </c>
      <c r="N61" t="n">
        <v>0</v>
      </c>
      <c r="O61" t="n">
        <v>1</v>
      </c>
      <c r="P61" t="n">
        <v>0</v>
      </c>
      <c r="Q61" t="n">
        <v>3</v>
      </c>
      <c r="R61" s="2" t="inlineStr">
        <is>
          <t>Garnlav
Dropptaggsvamp
Vedticka</t>
        </is>
      </c>
      <c r="S61">
        <f>HYPERLINK("https://klasma.github.io/Logging_SKELLEFTEA/artfynd/A 62340-2021.xlsx", "A 62340-2021")</f>
        <v/>
      </c>
      <c r="T61">
        <f>HYPERLINK("https://klasma.github.io/Logging_SKELLEFTEA/kartor/A 62340-2021.png", "A 62340-2021")</f>
        <v/>
      </c>
      <c r="V61">
        <f>HYPERLINK("https://klasma.github.io/Logging_SKELLEFTEA/klagomål/A 62340-2021.docx", "A 62340-2021")</f>
        <v/>
      </c>
      <c r="W61">
        <f>HYPERLINK("https://klasma.github.io/Logging_SKELLEFTEA/klagomålsmail/A 62340-2021.docx", "A 62340-2021")</f>
        <v/>
      </c>
      <c r="X61">
        <f>HYPERLINK("https://klasma.github.io/Logging_SKELLEFTEA/tillsyn/A 62340-2021.docx", "A 62340-2021")</f>
        <v/>
      </c>
      <c r="Y61">
        <f>HYPERLINK("https://klasma.github.io/Logging_SKELLEFTEA/tillsynsmail/A 62340-2021.docx", "A 62340-2021")</f>
        <v/>
      </c>
    </row>
    <row r="62" ht="15" customHeight="1">
      <c r="A62" t="inlineStr">
        <is>
          <t>A 4245-2022</t>
        </is>
      </c>
      <c r="B62" s="1" t="n">
        <v>44588</v>
      </c>
      <c r="C62" s="1" t="n">
        <v>45192</v>
      </c>
      <c r="D62" t="inlineStr">
        <is>
          <t>VÄSTERBOTTENS LÄN</t>
        </is>
      </c>
      <c r="E62" t="inlineStr">
        <is>
          <t>SKELLEFTEÅ</t>
        </is>
      </c>
      <c r="G62" t="n">
        <v>0.2</v>
      </c>
      <c r="H62" t="n">
        <v>0</v>
      </c>
      <c r="I62" t="n">
        <v>0</v>
      </c>
      <c r="J62" t="n">
        <v>3</v>
      </c>
      <c r="K62" t="n">
        <v>0</v>
      </c>
      <c r="L62" t="n">
        <v>0</v>
      </c>
      <c r="M62" t="n">
        <v>0</v>
      </c>
      <c r="N62" t="n">
        <v>0</v>
      </c>
      <c r="O62" t="n">
        <v>3</v>
      </c>
      <c r="P62" t="n">
        <v>0</v>
      </c>
      <c r="Q62" t="n">
        <v>3</v>
      </c>
      <c r="R62" s="2" t="inlineStr">
        <is>
          <t>Garnlav
Granticka
Harticka</t>
        </is>
      </c>
      <c r="S62">
        <f>HYPERLINK("https://klasma.github.io/Logging_SKELLEFTEA/artfynd/A 4245-2022.xlsx", "A 4245-2022")</f>
        <v/>
      </c>
      <c r="T62">
        <f>HYPERLINK("https://klasma.github.io/Logging_SKELLEFTEA/kartor/A 4245-2022.png", "A 4245-2022")</f>
        <v/>
      </c>
      <c r="V62">
        <f>HYPERLINK("https://klasma.github.io/Logging_SKELLEFTEA/klagomål/A 4245-2022.docx", "A 4245-2022")</f>
        <v/>
      </c>
      <c r="W62">
        <f>HYPERLINK("https://klasma.github.io/Logging_SKELLEFTEA/klagomålsmail/A 4245-2022.docx", "A 4245-2022")</f>
        <v/>
      </c>
      <c r="X62">
        <f>HYPERLINK("https://klasma.github.io/Logging_SKELLEFTEA/tillsyn/A 4245-2022.docx", "A 4245-2022")</f>
        <v/>
      </c>
      <c r="Y62">
        <f>HYPERLINK("https://klasma.github.io/Logging_SKELLEFTEA/tillsynsmail/A 4245-2022.docx", "A 4245-2022")</f>
        <v/>
      </c>
    </row>
    <row r="63" ht="15" customHeight="1">
      <c r="A63" t="inlineStr">
        <is>
          <t>A 11867-2022</t>
        </is>
      </c>
      <c r="B63" s="1" t="n">
        <v>44635</v>
      </c>
      <c r="C63" s="1" t="n">
        <v>45192</v>
      </c>
      <c r="D63" t="inlineStr">
        <is>
          <t>VÄSTERBOTTENS LÄN</t>
        </is>
      </c>
      <c r="E63" t="inlineStr">
        <is>
          <t>SKELLEFTEÅ</t>
        </is>
      </c>
      <c r="G63" t="n">
        <v>5</v>
      </c>
      <c r="H63" t="n">
        <v>0</v>
      </c>
      <c r="I63" t="n">
        <v>0</v>
      </c>
      <c r="J63" t="n">
        <v>2</v>
      </c>
      <c r="K63" t="n">
        <v>1</v>
      </c>
      <c r="L63" t="n">
        <v>0</v>
      </c>
      <c r="M63" t="n">
        <v>0</v>
      </c>
      <c r="N63" t="n">
        <v>0</v>
      </c>
      <c r="O63" t="n">
        <v>3</v>
      </c>
      <c r="P63" t="n">
        <v>1</v>
      </c>
      <c r="Q63" t="n">
        <v>3</v>
      </c>
      <c r="R63" s="2" t="inlineStr">
        <is>
          <t>Nordlig flatbagge
Skrovlig flatbagge
Violettgrå tagellav</t>
        </is>
      </c>
      <c r="S63">
        <f>HYPERLINK("https://klasma.github.io/Logging_SKELLEFTEA/artfynd/A 11867-2022.xlsx", "A 11867-2022")</f>
        <v/>
      </c>
      <c r="T63">
        <f>HYPERLINK("https://klasma.github.io/Logging_SKELLEFTEA/kartor/A 11867-2022.png", "A 11867-2022")</f>
        <v/>
      </c>
      <c r="V63">
        <f>HYPERLINK("https://klasma.github.io/Logging_SKELLEFTEA/klagomål/A 11867-2022.docx", "A 11867-2022")</f>
        <v/>
      </c>
      <c r="W63">
        <f>HYPERLINK("https://klasma.github.io/Logging_SKELLEFTEA/klagomålsmail/A 11867-2022.docx", "A 11867-2022")</f>
        <v/>
      </c>
      <c r="X63">
        <f>HYPERLINK("https://klasma.github.io/Logging_SKELLEFTEA/tillsyn/A 11867-2022.docx", "A 11867-2022")</f>
        <v/>
      </c>
      <c r="Y63">
        <f>HYPERLINK("https://klasma.github.io/Logging_SKELLEFTEA/tillsynsmail/A 11867-2022.docx", "A 11867-2022")</f>
        <v/>
      </c>
    </row>
    <row r="64" ht="15" customHeight="1">
      <c r="A64" t="inlineStr">
        <is>
          <t>A 14498-2022</t>
        </is>
      </c>
      <c r="B64" s="1" t="n">
        <v>44655</v>
      </c>
      <c r="C64" s="1" t="n">
        <v>45192</v>
      </c>
      <c r="D64" t="inlineStr">
        <is>
          <t>VÄSTERBOTTENS LÄN</t>
        </is>
      </c>
      <c r="E64" t="inlineStr">
        <is>
          <t>SKELLEFTEÅ</t>
        </is>
      </c>
      <c r="G64" t="n">
        <v>8.6</v>
      </c>
      <c r="H64" t="n">
        <v>0</v>
      </c>
      <c r="I64" t="n">
        <v>0</v>
      </c>
      <c r="J64" t="n">
        <v>3</v>
      </c>
      <c r="K64" t="n">
        <v>0</v>
      </c>
      <c r="L64" t="n">
        <v>0</v>
      </c>
      <c r="M64" t="n">
        <v>0</v>
      </c>
      <c r="N64" t="n">
        <v>0</v>
      </c>
      <c r="O64" t="n">
        <v>3</v>
      </c>
      <c r="P64" t="n">
        <v>0</v>
      </c>
      <c r="Q64" t="n">
        <v>3</v>
      </c>
      <c r="R64" s="2" t="inlineStr">
        <is>
          <t>Garnlav
Granticka
Ullticka</t>
        </is>
      </c>
      <c r="S64">
        <f>HYPERLINK("https://klasma.github.io/Logging_SKELLEFTEA/artfynd/A 14498-2022.xlsx", "A 14498-2022")</f>
        <v/>
      </c>
      <c r="T64">
        <f>HYPERLINK("https://klasma.github.io/Logging_SKELLEFTEA/kartor/A 14498-2022.png", "A 14498-2022")</f>
        <v/>
      </c>
      <c r="V64">
        <f>HYPERLINK("https://klasma.github.io/Logging_SKELLEFTEA/klagomål/A 14498-2022.docx", "A 14498-2022")</f>
        <v/>
      </c>
      <c r="W64">
        <f>HYPERLINK("https://klasma.github.io/Logging_SKELLEFTEA/klagomålsmail/A 14498-2022.docx", "A 14498-2022")</f>
        <v/>
      </c>
      <c r="X64">
        <f>HYPERLINK("https://klasma.github.io/Logging_SKELLEFTEA/tillsyn/A 14498-2022.docx", "A 14498-2022")</f>
        <v/>
      </c>
      <c r="Y64">
        <f>HYPERLINK("https://klasma.github.io/Logging_SKELLEFTEA/tillsynsmail/A 14498-2022.docx", "A 14498-2022")</f>
        <v/>
      </c>
    </row>
    <row r="65" ht="15" customHeight="1">
      <c r="A65" t="inlineStr">
        <is>
          <t>A 40987-2022</t>
        </is>
      </c>
      <c r="B65" s="1" t="n">
        <v>44823</v>
      </c>
      <c r="C65" s="1" t="n">
        <v>45192</v>
      </c>
      <c r="D65" t="inlineStr">
        <is>
          <t>VÄSTERBOTTENS LÄN</t>
        </is>
      </c>
      <c r="E65" t="inlineStr">
        <is>
          <t>SKELLEFTEÅ</t>
        </is>
      </c>
      <c r="G65" t="n">
        <v>7.1</v>
      </c>
      <c r="H65" t="n">
        <v>0</v>
      </c>
      <c r="I65" t="n">
        <v>2</v>
      </c>
      <c r="J65" t="n">
        <v>1</v>
      </c>
      <c r="K65" t="n">
        <v>0</v>
      </c>
      <c r="L65" t="n">
        <v>0</v>
      </c>
      <c r="M65" t="n">
        <v>0</v>
      </c>
      <c r="N65" t="n">
        <v>0</v>
      </c>
      <c r="O65" t="n">
        <v>1</v>
      </c>
      <c r="P65" t="n">
        <v>0</v>
      </c>
      <c r="Q65" t="n">
        <v>3</v>
      </c>
      <c r="R65" s="2" t="inlineStr">
        <is>
          <t>Blå taggsvamp
Bårdlav
Norrlandslav</t>
        </is>
      </c>
      <c r="S65">
        <f>HYPERLINK("https://klasma.github.io/Logging_SKELLEFTEA/artfynd/A 40987-2022.xlsx", "A 40987-2022")</f>
        <v/>
      </c>
      <c r="T65">
        <f>HYPERLINK("https://klasma.github.io/Logging_SKELLEFTEA/kartor/A 40987-2022.png", "A 40987-2022")</f>
        <v/>
      </c>
      <c r="V65">
        <f>HYPERLINK("https://klasma.github.io/Logging_SKELLEFTEA/klagomål/A 40987-2022.docx", "A 40987-2022")</f>
        <v/>
      </c>
      <c r="W65">
        <f>HYPERLINK("https://klasma.github.io/Logging_SKELLEFTEA/klagomålsmail/A 40987-2022.docx", "A 40987-2022")</f>
        <v/>
      </c>
      <c r="X65">
        <f>HYPERLINK("https://klasma.github.io/Logging_SKELLEFTEA/tillsyn/A 40987-2022.docx", "A 40987-2022")</f>
        <v/>
      </c>
      <c r="Y65">
        <f>HYPERLINK("https://klasma.github.io/Logging_SKELLEFTEA/tillsynsmail/A 40987-2022.docx", "A 40987-2022")</f>
        <v/>
      </c>
    </row>
    <row r="66" ht="15" customHeight="1">
      <c r="A66" t="inlineStr">
        <is>
          <t>A 41412-2022</t>
        </is>
      </c>
      <c r="B66" s="1" t="n">
        <v>44826</v>
      </c>
      <c r="C66" s="1" t="n">
        <v>45192</v>
      </c>
      <c r="D66" t="inlineStr">
        <is>
          <t>VÄSTERBOTTENS LÄN</t>
        </is>
      </c>
      <c r="E66" t="inlineStr">
        <is>
          <t>SKELLEFTEÅ</t>
        </is>
      </c>
      <c r="G66" t="n">
        <v>2.6</v>
      </c>
      <c r="H66" t="n">
        <v>0</v>
      </c>
      <c r="I66" t="n">
        <v>1</v>
      </c>
      <c r="J66" t="n">
        <v>2</v>
      </c>
      <c r="K66" t="n">
        <v>0</v>
      </c>
      <c r="L66" t="n">
        <v>0</v>
      </c>
      <c r="M66" t="n">
        <v>0</v>
      </c>
      <c r="N66" t="n">
        <v>0</v>
      </c>
      <c r="O66" t="n">
        <v>2</v>
      </c>
      <c r="P66" t="n">
        <v>0</v>
      </c>
      <c r="Q66" t="n">
        <v>3</v>
      </c>
      <c r="R66" s="2" t="inlineStr">
        <is>
          <t>Gränsticka
Ullticka
Vedticka</t>
        </is>
      </c>
      <c r="S66">
        <f>HYPERLINK("https://klasma.github.io/Logging_SKELLEFTEA/artfynd/A 41412-2022.xlsx", "A 41412-2022")</f>
        <v/>
      </c>
      <c r="T66">
        <f>HYPERLINK("https://klasma.github.io/Logging_SKELLEFTEA/kartor/A 41412-2022.png", "A 41412-2022")</f>
        <v/>
      </c>
      <c r="V66">
        <f>HYPERLINK("https://klasma.github.io/Logging_SKELLEFTEA/klagomål/A 41412-2022.docx", "A 41412-2022")</f>
        <v/>
      </c>
      <c r="W66">
        <f>HYPERLINK("https://klasma.github.io/Logging_SKELLEFTEA/klagomålsmail/A 41412-2022.docx", "A 41412-2022")</f>
        <v/>
      </c>
      <c r="X66">
        <f>HYPERLINK("https://klasma.github.io/Logging_SKELLEFTEA/tillsyn/A 41412-2022.docx", "A 41412-2022")</f>
        <v/>
      </c>
      <c r="Y66">
        <f>HYPERLINK("https://klasma.github.io/Logging_SKELLEFTEA/tillsynsmail/A 41412-2022.docx", "A 41412-2022")</f>
        <v/>
      </c>
    </row>
    <row r="67" ht="15" customHeight="1">
      <c r="A67" t="inlineStr">
        <is>
          <t>A 42687-2022</t>
        </is>
      </c>
      <c r="B67" s="1" t="n">
        <v>44831</v>
      </c>
      <c r="C67" s="1" t="n">
        <v>45192</v>
      </c>
      <c r="D67" t="inlineStr">
        <is>
          <t>VÄSTERBOTTENS LÄN</t>
        </is>
      </c>
      <c r="E67" t="inlineStr">
        <is>
          <t>SKELLEFTEÅ</t>
        </is>
      </c>
      <c r="G67" t="n">
        <v>2.7</v>
      </c>
      <c r="H67" t="n">
        <v>0</v>
      </c>
      <c r="I67" t="n">
        <v>0</v>
      </c>
      <c r="J67" t="n">
        <v>3</v>
      </c>
      <c r="K67" t="n">
        <v>0</v>
      </c>
      <c r="L67" t="n">
        <v>0</v>
      </c>
      <c r="M67" t="n">
        <v>0</v>
      </c>
      <c r="N67" t="n">
        <v>0</v>
      </c>
      <c r="O67" t="n">
        <v>3</v>
      </c>
      <c r="P67" t="n">
        <v>0</v>
      </c>
      <c r="Q67" t="n">
        <v>3</v>
      </c>
      <c r="R67" s="2" t="inlineStr">
        <is>
          <t>Granticka
Stjärntagging
Ullticka</t>
        </is>
      </c>
      <c r="S67">
        <f>HYPERLINK("https://klasma.github.io/Logging_SKELLEFTEA/artfynd/A 42687-2022.xlsx", "A 42687-2022")</f>
        <v/>
      </c>
      <c r="T67">
        <f>HYPERLINK("https://klasma.github.io/Logging_SKELLEFTEA/kartor/A 42687-2022.png", "A 42687-2022")</f>
        <v/>
      </c>
      <c r="V67">
        <f>HYPERLINK("https://klasma.github.io/Logging_SKELLEFTEA/klagomål/A 42687-2022.docx", "A 42687-2022")</f>
        <v/>
      </c>
      <c r="W67">
        <f>HYPERLINK("https://klasma.github.io/Logging_SKELLEFTEA/klagomålsmail/A 42687-2022.docx", "A 42687-2022")</f>
        <v/>
      </c>
      <c r="X67">
        <f>HYPERLINK("https://klasma.github.io/Logging_SKELLEFTEA/tillsyn/A 42687-2022.docx", "A 42687-2022")</f>
        <v/>
      </c>
      <c r="Y67">
        <f>HYPERLINK("https://klasma.github.io/Logging_SKELLEFTEA/tillsynsmail/A 42687-2022.docx", "A 42687-2022")</f>
        <v/>
      </c>
    </row>
    <row r="68" ht="15" customHeight="1">
      <c r="A68" t="inlineStr">
        <is>
          <t>A 61019-2018</t>
        </is>
      </c>
      <c r="B68" s="1" t="n">
        <v>43412</v>
      </c>
      <c r="C68" s="1" t="n">
        <v>45192</v>
      </c>
      <c r="D68" t="inlineStr">
        <is>
          <t>VÄSTERBOTTENS LÄN</t>
        </is>
      </c>
      <c r="E68" t="inlineStr">
        <is>
          <t>SKELLEFTEÅ</t>
        </is>
      </c>
      <c r="G68" t="n">
        <v>2.6</v>
      </c>
      <c r="H68" t="n">
        <v>2</v>
      </c>
      <c r="I68" t="n">
        <v>0</v>
      </c>
      <c r="J68" t="n">
        <v>2</v>
      </c>
      <c r="K68" t="n">
        <v>0</v>
      </c>
      <c r="L68" t="n">
        <v>0</v>
      </c>
      <c r="M68" t="n">
        <v>0</v>
      </c>
      <c r="N68" t="n">
        <v>0</v>
      </c>
      <c r="O68" t="n">
        <v>2</v>
      </c>
      <c r="P68" t="n">
        <v>0</v>
      </c>
      <c r="Q68" t="n">
        <v>2</v>
      </c>
      <c r="R68" s="2" t="inlineStr">
        <is>
          <t>Rödvingetrast
Spillkråka</t>
        </is>
      </c>
      <c r="S68">
        <f>HYPERLINK("https://klasma.github.io/Logging_SKELLEFTEA/artfynd/A 61019-2018.xlsx", "A 61019-2018")</f>
        <v/>
      </c>
      <c r="T68">
        <f>HYPERLINK("https://klasma.github.io/Logging_SKELLEFTEA/kartor/A 61019-2018.png", "A 61019-2018")</f>
        <v/>
      </c>
      <c r="V68">
        <f>HYPERLINK("https://klasma.github.io/Logging_SKELLEFTEA/klagomål/A 61019-2018.docx", "A 61019-2018")</f>
        <v/>
      </c>
      <c r="W68">
        <f>HYPERLINK("https://klasma.github.io/Logging_SKELLEFTEA/klagomålsmail/A 61019-2018.docx", "A 61019-2018")</f>
        <v/>
      </c>
      <c r="X68">
        <f>HYPERLINK("https://klasma.github.io/Logging_SKELLEFTEA/tillsyn/A 61019-2018.docx", "A 61019-2018")</f>
        <v/>
      </c>
      <c r="Y68">
        <f>HYPERLINK("https://klasma.github.io/Logging_SKELLEFTEA/tillsynsmail/A 61019-2018.docx", "A 61019-2018")</f>
        <v/>
      </c>
    </row>
    <row r="69" ht="15" customHeight="1">
      <c r="A69" t="inlineStr">
        <is>
          <t>A 67241-2018</t>
        </is>
      </c>
      <c r="B69" s="1" t="n">
        <v>43431</v>
      </c>
      <c r="C69" s="1" t="n">
        <v>45192</v>
      </c>
      <c r="D69" t="inlineStr">
        <is>
          <t>VÄSTERBOTTENS LÄN</t>
        </is>
      </c>
      <c r="E69" t="inlineStr">
        <is>
          <t>SKELLEFTEÅ</t>
        </is>
      </c>
      <c r="G69" t="n">
        <v>6.5</v>
      </c>
      <c r="H69" t="n">
        <v>0</v>
      </c>
      <c r="I69" t="n">
        <v>0</v>
      </c>
      <c r="J69" t="n">
        <v>1</v>
      </c>
      <c r="K69" t="n">
        <v>1</v>
      </c>
      <c r="L69" t="n">
        <v>0</v>
      </c>
      <c r="M69" t="n">
        <v>0</v>
      </c>
      <c r="N69" t="n">
        <v>0</v>
      </c>
      <c r="O69" t="n">
        <v>2</v>
      </c>
      <c r="P69" t="n">
        <v>1</v>
      </c>
      <c r="Q69" t="n">
        <v>2</v>
      </c>
      <c r="R69" s="2" t="inlineStr">
        <is>
          <t>Fläckporing
Gammelgransskål</t>
        </is>
      </c>
      <c r="S69">
        <f>HYPERLINK("https://klasma.github.io/Logging_SKELLEFTEA/artfynd/A 67241-2018.xlsx", "A 67241-2018")</f>
        <v/>
      </c>
      <c r="T69">
        <f>HYPERLINK("https://klasma.github.io/Logging_SKELLEFTEA/kartor/A 67241-2018.png", "A 67241-2018")</f>
        <v/>
      </c>
      <c r="V69">
        <f>HYPERLINK("https://klasma.github.io/Logging_SKELLEFTEA/klagomål/A 67241-2018.docx", "A 67241-2018")</f>
        <v/>
      </c>
      <c r="W69">
        <f>HYPERLINK("https://klasma.github.io/Logging_SKELLEFTEA/klagomålsmail/A 67241-2018.docx", "A 67241-2018")</f>
        <v/>
      </c>
      <c r="X69">
        <f>HYPERLINK("https://klasma.github.io/Logging_SKELLEFTEA/tillsyn/A 67241-2018.docx", "A 67241-2018")</f>
        <v/>
      </c>
      <c r="Y69">
        <f>HYPERLINK("https://klasma.github.io/Logging_SKELLEFTEA/tillsynsmail/A 67241-2018.docx", "A 67241-2018")</f>
        <v/>
      </c>
    </row>
    <row r="70" ht="15" customHeight="1">
      <c r="A70" t="inlineStr">
        <is>
          <t>A 2764-2019</t>
        </is>
      </c>
      <c r="B70" s="1" t="n">
        <v>43479</v>
      </c>
      <c r="C70" s="1" t="n">
        <v>45192</v>
      </c>
      <c r="D70" t="inlineStr">
        <is>
          <t>VÄSTERBOTTENS LÄN</t>
        </is>
      </c>
      <c r="E70" t="inlineStr">
        <is>
          <t>SKELLEFTEÅ</t>
        </is>
      </c>
      <c r="F70" t="inlineStr">
        <is>
          <t>Sveaskog</t>
        </is>
      </c>
      <c r="G70" t="n">
        <v>5.2</v>
      </c>
      <c r="H70" t="n">
        <v>0</v>
      </c>
      <c r="I70" t="n">
        <v>0</v>
      </c>
      <c r="J70" t="n">
        <v>2</v>
      </c>
      <c r="K70" t="n">
        <v>0</v>
      </c>
      <c r="L70" t="n">
        <v>0</v>
      </c>
      <c r="M70" t="n">
        <v>0</v>
      </c>
      <c r="N70" t="n">
        <v>0</v>
      </c>
      <c r="O70" t="n">
        <v>2</v>
      </c>
      <c r="P70" t="n">
        <v>0</v>
      </c>
      <c r="Q70" t="n">
        <v>2</v>
      </c>
      <c r="R70" s="2" t="inlineStr">
        <is>
          <t>Lunglav
Violettgrå tagellav</t>
        </is>
      </c>
      <c r="S70">
        <f>HYPERLINK("https://klasma.github.io/Logging_SKELLEFTEA/artfynd/A 2764-2019.xlsx", "A 2764-2019")</f>
        <v/>
      </c>
      <c r="T70">
        <f>HYPERLINK("https://klasma.github.io/Logging_SKELLEFTEA/kartor/A 2764-2019.png", "A 2764-2019")</f>
        <v/>
      </c>
      <c r="V70">
        <f>HYPERLINK("https://klasma.github.io/Logging_SKELLEFTEA/klagomål/A 2764-2019.docx", "A 2764-2019")</f>
        <v/>
      </c>
      <c r="W70">
        <f>HYPERLINK("https://klasma.github.io/Logging_SKELLEFTEA/klagomålsmail/A 2764-2019.docx", "A 2764-2019")</f>
        <v/>
      </c>
      <c r="X70">
        <f>HYPERLINK("https://klasma.github.io/Logging_SKELLEFTEA/tillsyn/A 2764-2019.docx", "A 2764-2019")</f>
        <v/>
      </c>
      <c r="Y70">
        <f>HYPERLINK("https://klasma.github.io/Logging_SKELLEFTEA/tillsynsmail/A 2764-2019.docx", "A 2764-2019")</f>
        <v/>
      </c>
    </row>
    <row r="71" ht="15" customHeight="1">
      <c r="A71" t="inlineStr">
        <is>
          <t>A 4756-2019</t>
        </is>
      </c>
      <c r="B71" s="1" t="n">
        <v>43486</v>
      </c>
      <c r="C71" s="1" t="n">
        <v>45192</v>
      </c>
      <c r="D71" t="inlineStr">
        <is>
          <t>VÄSTERBOTTENS LÄN</t>
        </is>
      </c>
      <c r="E71" t="inlineStr">
        <is>
          <t>SKELLEFTEÅ</t>
        </is>
      </c>
      <c r="G71" t="n">
        <v>7.6</v>
      </c>
      <c r="H71" t="n">
        <v>0</v>
      </c>
      <c r="I71" t="n">
        <v>0</v>
      </c>
      <c r="J71" t="n">
        <v>2</v>
      </c>
      <c r="K71" t="n">
        <v>0</v>
      </c>
      <c r="L71" t="n">
        <v>0</v>
      </c>
      <c r="M71" t="n">
        <v>0</v>
      </c>
      <c r="N71" t="n">
        <v>0</v>
      </c>
      <c r="O71" t="n">
        <v>2</v>
      </c>
      <c r="P71" t="n">
        <v>0</v>
      </c>
      <c r="Q71" t="n">
        <v>2</v>
      </c>
      <c r="R71" s="2" t="inlineStr">
        <is>
          <t>Garnlav
Granticka</t>
        </is>
      </c>
      <c r="S71">
        <f>HYPERLINK("https://klasma.github.io/Logging_SKELLEFTEA/artfynd/A 4756-2019.xlsx", "A 4756-2019")</f>
        <v/>
      </c>
      <c r="T71">
        <f>HYPERLINK("https://klasma.github.io/Logging_SKELLEFTEA/kartor/A 4756-2019.png", "A 4756-2019")</f>
        <v/>
      </c>
      <c r="V71">
        <f>HYPERLINK("https://klasma.github.io/Logging_SKELLEFTEA/klagomål/A 4756-2019.docx", "A 4756-2019")</f>
        <v/>
      </c>
      <c r="W71">
        <f>HYPERLINK("https://klasma.github.io/Logging_SKELLEFTEA/klagomålsmail/A 4756-2019.docx", "A 4756-2019")</f>
        <v/>
      </c>
      <c r="X71">
        <f>HYPERLINK("https://klasma.github.io/Logging_SKELLEFTEA/tillsyn/A 4756-2019.docx", "A 4756-2019")</f>
        <v/>
      </c>
      <c r="Y71">
        <f>HYPERLINK("https://klasma.github.io/Logging_SKELLEFTEA/tillsynsmail/A 4756-2019.docx", "A 4756-2019")</f>
        <v/>
      </c>
    </row>
    <row r="72" ht="15" customHeight="1">
      <c r="A72" t="inlineStr">
        <is>
          <t>A 9403-2019</t>
        </is>
      </c>
      <c r="B72" s="1" t="n">
        <v>43507</v>
      </c>
      <c r="C72" s="1" t="n">
        <v>45192</v>
      </c>
      <c r="D72" t="inlineStr">
        <is>
          <t>VÄSTERBOTTENS LÄN</t>
        </is>
      </c>
      <c r="E72" t="inlineStr">
        <is>
          <t>SKELLEFTEÅ</t>
        </is>
      </c>
      <c r="G72" t="n">
        <v>0.8</v>
      </c>
      <c r="H72" t="n">
        <v>1</v>
      </c>
      <c r="I72" t="n">
        <v>0</v>
      </c>
      <c r="J72" t="n">
        <v>1</v>
      </c>
      <c r="K72" t="n">
        <v>1</v>
      </c>
      <c r="L72" t="n">
        <v>0</v>
      </c>
      <c r="M72" t="n">
        <v>0</v>
      </c>
      <c r="N72" t="n">
        <v>0</v>
      </c>
      <c r="O72" t="n">
        <v>2</v>
      </c>
      <c r="P72" t="n">
        <v>1</v>
      </c>
      <c r="Q72" t="n">
        <v>2</v>
      </c>
      <c r="R72" s="2" t="inlineStr">
        <is>
          <t>Knärot
Ullticka</t>
        </is>
      </c>
      <c r="S72">
        <f>HYPERLINK("https://klasma.github.io/Logging_SKELLEFTEA/artfynd/A 9403-2019.xlsx", "A 9403-2019")</f>
        <v/>
      </c>
      <c r="T72">
        <f>HYPERLINK("https://klasma.github.io/Logging_SKELLEFTEA/kartor/A 9403-2019.png", "A 9403-2019")</f>
        <v/>
      </c>
      <c r="U72">
        <f>HYPERLINK("https://klasma.github.io/Logging_SKELLEFTEA/knärot/A 9403-2019.png", "A 9403-2019")</f>
        <v/>
      </c>
      <c r="V72">
        <f>HYPERLINK("https://klasma.github.io/Logging_SKELLEFTEA/klagomål/A 9403-2019.docx", "A 9403-2019")</f>
        <v/>
      </c>
      <c r="W72">
        <f>HYPERLINK("https://klasma.github.io/Logging_SKELLEFTEA/klagomålsmail/A 9403-2019.docx", "A 9403-2019")</f>
        <v/>
      </c>
      <c r="X72">
        <f>HYPERLINK("https://klasma.github.io/Logging_SKELLEFTEA/tillsyn/A 9403-2019.docx", "A 9403-2019")</f>
        <v/>
      </c>
      <c r="Y72">
        <f>HYPERLINK("https://klasma.github.io/Logging_SKELLEFTEA/tillsynsmail/A 9403-2019.docx", "A 9403-2019")</f>
        <v/>
      </c>
    </row>
    <row r="73" ht="15" customHeight="1">
      <c r="A73" t="inlineStr">
        <is>
          <t>A 14561-2019</t>
        </is>
      </c>
      <c r="B73" s="1" t="n">
        <v>43535</v>
      </c>
      <c r="C73" s="1" t="n">
        <v>45192</v>
      </c>
      <c r="D73" t="inlineStr">
        <is>
          <t>VÄSTERBOTTENS LÄN</t>
        </is>
      </c>
      <c r="E73" t="inlineStr">
        <is>
          <t>SKELLEFTEÅ</t>
        </is>
      </c>
      <c r="G73" t="n">
        <v>3.2</v>
      </c>
      <c r="H73" t="n">
        <v>0</v>
      </c>
      <c r="I73" t="n">
        <v>0</v>
      </c>
      <c r="J73" t="n">
        <v>2</v>
      </c>
      <c r="K73" t="n">
        <v>0</v>
      </c>
      <c r="L73" t="n">
        <v>0</v>
      </c>
      <c r="M73" t="n">
        <v>0</v>
      </c>
      <c r="N73" t="n">
        <v>0</v>
      </c>
      <c r="O73" t="n">
        <v>2</v>
      </c>
      <c r="P73" t="n">
        <v>0</v>
      </c>
      <c r="Q73" t="n">
        <v>2</v>
      </c>
      <c r="R73" s="2" t="inlineStr">
        <is>
          <t>Gammelgransskål
Granticka</t>
        </is>
      </c>
      <c r="S73">
        <f>HYPERLINK("https://klasma.github.io/Logging_SKELLEFTEA/artfynd/A 14561-2019.xlsx", "A 14561-2019")</f>
        <v/>
      </c>
      <c r="T73">
        <f>HYPERLINK("https://klasma.github.io/Logging_SKELLEFTEA/kartor/A 14561-2019.png", "A 14561-2019")</f>
        <v/>
      </c>
      <c r="V73">
        <f>HYPERLINK("https://klasma.github.io/Logging_SKELLEFTEA/klagomål/A 14561-2019.docx", "A 14561-2019")</f>
        <v/>
      </c>
      <c r="W73">
        <f>HYPERLINK("https://klasma.github.io/Logging_SKELLEFTEA/klagomålsmail/A 14561-2019.docx", "A 14561-2019")</f>
        <v/>
      </c>
      <c r="X73">
        <f>HYPERLINK("https://klasma.github.io/Logging_SKELLEFTEA/tillsyn/A 14561-2019.docx", "A 14561-2019")</f>
        <v/>
      </c>
      <c r="Y73">
        <f>HYPERLINK("https://klasma.github.io/Logging_SKELLEFTEA/tillsynsmail/A 14561-2019.docx", "A 14561-2019")</f>
        <v/>
      </c>
    </row>
    <row r="74" ht="15" customHeight="1">
      <c r="A74" t="inlineStr">
        <is>
          <t>A 18882-2019</t>
        </is>
      </c>
      <c r="B74" s="1" t="n">
        <v>43563</v>
      </c>
      <c r="C74" s="1" t="n">
        <v>45192</v>
      </c>
      <c r="D74" t="inlineStr">
        <is>
          <t>VÄSTERBOTTENS LÄN</t>
        </is>
      </c>
      <c r="E74" t="inlineStr">
        <is>
          <t>SKELLEFTEÅ</t>
        </is>
      </c>
      <c r="F74" t="inlineStr">
        <is>
          <t>Kommuner</t>
        </is>
      </c>
      <c r="G74" t="n">
        <v>33.1</v>
      </c>
      <c r="H74" t="n">
        <v>2</v>
      </c>
      <c r="I74" t="n">
        <v>1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2</v>
      </c>
      <c r="R74" s="2" t="inlineStr">
        <is>
          <t>Plattlummer
Revlummer</t>
        </is>
      </c>
      <c r="S74">
        <f>HYPERLINK("https://klasma.github.io/Logging_SKELLEFTEA/artfynd/A 18882-2019.xlsx", "A 18882-2019")</f>
        <v/>
      </c>
      <c r="T74">
        <f>HYPERLINK("https://klasma.github.io/Logging_SKELLEFTEA/kartor/A 18882-2019.png", "A 18882-2019")</f>
        <v/>
      </c>
      <c r="V74">
        <f>HYPERLINK("https://klasma.github.io/Logging_SKELLEFTEA/klagomål/A 18882-2019.docx", "A 18882-2019")</f>
        <v/>
      </c>
      <c r="W74">
        <f>HYPERLINK("https://klasma.github.io/Logging_SKELLEFTEA/klagomålsmail/A 18882-2019.docx", "A 18882-2019")</f>
        <v/>
      </c>
      <c r="X74">
        <f>HYPERLINK("https://klasma.github.io/Logging_SKELLEFTEA/tillsyn/A 18882-2019.docx", "A 18882-2019")</f>
        <v/>
      </c>
      <c r="Y74">
        <f>HYPERLINK("https://klasma.github.io/Logging_SKELLEFTEA/tillsynsmail/A 18882-2019.docx", "A 18882-2019")</f>
        <v/>
      </c>
    </row>
    <row r="75" ht="15" customHeight="1">
      <c r="A75" t="inlineStr">
        <is>
          <t>A 29514-2019</t>
        </is>
      </c>
      <c r="B75" s="1" t="n">
        <v>43627</v>
      </c>
      <c r="C75" s="1" t="n">
        <v>45192</v>
      </c>
      <c r="D75" t="inlineStr">
        <is>
          <t>VÄSTERBOTTENS LÄN</t>
        </is>
      </c>
      <c r="E75" t="inlineStr">
        <is>
          <t>SKELLEFTEÅ</t>
        </is>
      </c>
      <c r="G75" t="n">
        <v>9.5</v>
      </c>
      <c r="H75" t="n">
        <v>1</v>
      </c>
      <c r="I75" t="n">
        <v>1</v>
      </c>
      <c r="J75" t="n">
        <v>1</v>
      </c>
      <c r="K75" t="n">
        <v>0</v>
      </c>
      <c r="L75" t="n">
        <v>0</v>
      </c>
      <c r="M75" t="n">
        <v>0</v>
      </c>
      <c r="N75" t="n">
        <v>0</v>
      </c>
      <c r="O75" t="n">
        <v>1</v>
      </c>
      <c r="P75" t="n">
        <v>0</v>
      </c>
      <c r="Q75" t="n">
        <v>2</v>
      </c>
      <c r="R75" s="2" t="inlineStr">
        <is>
          <t>Ullticka
Lappranunkel</t>
        </is>
      </c>
      <c r="S75">
        <f>HYPERLINK("https://klasma.github.io/Logging_SKELLEFTEA/artfynd/A 29514-2019.xlsx", "A 29514-2019")</f>
        <v/>
      </c>
      <c r="T75">
        <f>HYPERLINK("https://klasma.github.io/Logging_SKELLEFTEA/kartor/A 29514-2019.png", "A 29514-2019")</f>
        <v/>
      </c>
      <c r="V75">
        <f>HYPERLINK("https://klasma.github.io/Logging_SKELLEFTEA/klagomål/A 29514-2019.docx", "A 29514-2019")</f>
        <v/>
      </c>
      <c r="W75">
        <f>HYPERLINK("https://klasma.github.io/Logging_SKELLEFTEA/klagomålsmail/A 29514-2019.docx", "A 29514-2019")</f>
        <v/>
      </c>
      <c r="X75">
        <f>HYPERLINK("https://klasma.github.io/Logging_SKELLEFTEA/tillsyn/A 29514-2019.docx", "A 29514-2019")</f>
        <v/>
      </c>
      <c r="Y75">
        <f>HYPERLINK("https://klasma.github.io/Logging_SKELLEFTEA/tillsynsmail/A 29514-2019.docx", "A 29514-2019")</f>
        <v/>
      </c>
    </row>
    <row r="76" ht="15" customHeight="1">
      <c r="A76" t="inlineStr">
        <is>
          <t>A 35097-2019</t>
        </is>
      </c>
      <c r="B76" s="1" t="n">
        <v>43661</v>
      </c>
      <c r="C76" s="1" t="n">
        <v>45192</v>
      </c>
      <c r="D76" t="inlineStr">
        <is>
          <t>VÄSTERBOTTENS LÄN</t>
        </is>
      </c>
      <c r="E76" t="inlineStr">
        <is>
          <t>SKELLEFTEÅ</t>
        </is>
      </c>
      <c r="F76" t="inlineStr">
        <is>
          <t>Sveaskog</t>
        </is>
      </c>
      <c r="G76" t="n">
        <v>19.2</v>
      </c>
      <c r="H76" t="n">
        <v>0</v>
      </c>
      <c r="I76" t="n">
        <v>1</v>
      </c>
      <c r="J76" t="n">
        <v>1</v>
      </c>
      <c r="K76" t="n">
        <v>0</v>
      </c>
      <c r="L76" t="n">
        <v>0</v>
      </c>
      <c r="M76" t="n">
        <v>0</v>
      </c>
      <c r="N76" t="n">
        <v>0</v>
      </c>
      <c r="O76" t="n">
        <v>1</v>
      </c>
      <c r="P76" t="n">
        <v>0</v>
      </c>
      <c r="Q76" t="n">
        <v>2</v>
      </c>
      <c r="R76" s="2" t="inlineStr">
        <is>
          <t>Grönhjon
Bronshjon</t>
        </is>
      </c>
      <c r="S76">
        <f>HYPERLINK("https://klasma.github.io/Logging_SKELLEFTEA/artfynd/A 35097-2019.xlsx", "A 35097-2019")</f>
        <v/>
      </c>
      <c r="T76">
        <f>HYPERLINK("https://klasma.github.io/Logging_SKELLEFTEA/kartor/A 35097-2019.png", "A 35097-2019")</f>
        <v/>
      </c>
      <c r="V76">
        <f>HYPERLINK("https://klasma.github.io/Logging_SKELLEFTEA/klagomål/A 35097-2019.docx", "A 35097-2019")</f>
        <v/>
      </c>
      <c r="W76">
        <f>HYPERLINK("https://klasma.github.io/Logging_SKELLEFTEA/klagomålsmail/A 35097-2019.docx", "A 35097-2019")</f>
        <v/>
      </c>
      <c r="X76">
        <f>HYPERLINK("https://klasma.github.io/Logging_SKELLEFTEA/tillsyn/A 35097-2019.docx", "A 35097-2019")</f>
        <v/>
      </c>
      <c r="Y76">
        <f>HYPERLINK("https://klasma.github.io/Logging_SKELLEFTEA/tillsynsmail/A 35097-2019.docx", "A 35097-2019")</f>
        <v/>
      </c>
    </row>
    <row r="77" ht="15" customHeight="1">
      <c r="A77" t="inlineStr">
        <is>
          <t>A 46354-2019</t>
        </is>
      </c>
      <c r="B77" s="1" t="n">
        <v>43718</v>
      </c>
      <c r="C77" s="1" t="n">
        <v>45192</v>
      </c>
      <c r="D77" t="inlineStr">
        <is>
          <t>VÄSTERBOTTENS LÄN</t>
        </is>
      </c>
      <c r="E77" t="inlineStr">
        <is>
          <t>SKELLEFTEÅ</t>
        </is>
      </c>
      <c r="F77" t="inlineStr">
        <is>
          <t>SCA</t>
        </is>
      </c>
      <c r="G77" t="n">
        <v>5.5</v>
      </c>
      <c r="H77" t="n">
        <v>2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2</v>
      </c>
      <c r="R77" s="2" t="inlineStr">
        <is>
          <t>Vanlig groda
Revlummer</t>
        </is>
      </c>
      <c r="S77">
        <f>HYPERLINK("https://klasma.github.io/Logging_SKELLEFTEA/artfynd/A 46354-2019.xlsx", "A 46354-2019")</f>
        <v/>
      </c>
      <c r="T77">
        <f>HYPERLINK("https://klasma.github.io/Logging_SKELLEFTEA/kartor/A 46354-2019.png", "A 46354-2019")</f>
        <v/>
      </c>
      <c r="V77">
        <f>HYPERLINK("https://klasma.github.io/Logging_SKELLEFTEA/klagomål/A 46354-2019.docx", "A 46354-2019")</f>
        <v/>
      </c>
      <c r="W77">
        <f>HYPERLINK("https://klasma.github.io/Logging_SKELLEFTEA/klagomålsmail/A 46354-2019.docx", "A 46354-2019")</f>
        <v/>
      </c>
      <c r="X77">
        <f>HYPERLINK("https://klasma.github.io/Logging_SKELLEFTEA/tillsyn/A 46354-2019.docx", "A 46354-2019")</f>
        <v/>
      </c>
      <c r="Y77">
        <f>HYPERLINK("https://klasma.github.io/Logging_SKELLEFTEA/tillsynsmail/A 46354-2019.docx", "A 46354-2019")</f>
        <v/>
      </c>
    </row>
    <row r="78" ht="15" customHeight="1">
      <c r="A78" t="inlineStr">
        <is>
          <t>A 63593-2019</t>
        </is>
      </c>
      <c r="B78" s="1" t="n">
        <v>43780</v>
      </c>
      <c r="C78" s="1" t="n">
        <v>45192</v>
      </c>
      <c r="D78" t="inlineStr">
        <is>
          <t>VÄSTERBOTTENS LÄN</t>
        </is>
      </c>
      <c r="E78" t="inlineStr">
        <is>
          <t>SKELLEFTEÅ</t>
        </is>
      </c>
      <c r="G78" t="n">
        <v>37.6</v>
      </c>
      <c r="H78" t="n">
        <v>1</v>
      </c>
      <c r="I78" t="n">
        <v>0</v>
      </c>
      <c r="J78" t="n">
        <v>0</v>
      </c>
      <c r="K78" t="n">
        <v>1</v>
      </c>
      <c r="L78" t="n">
        <v>0</v>
      </c>
      <c r="M78" t="n">
        <v>0</v>
      </c>
      <c r="N78" t="n">
        <v>0</v>
      </c>
      <c r="O78" t="n">
        <v>1</v>
      </c>
      <c r="P78" t="n">
        <v>1</v>
      </c>
      <c r="Q78" t="n">
        <v>2</v>
      </c>
      <c r="R78" s="2" t="inlineStr">
        <is>
          <t>Grenlav
Revlummer</t>
        </is>
      </c>
      <c r="S78">
        <f>HYPERLINK("https://klasma.github.io/Logging_SKELLEFTEA/artfynd/A 63593-2019.xlsx", "A 63593-2019")</f>
        <v/>
      </c>
      <c r="T78">
        <f>HYPERLINK("https://klasma.github.io/Logging_SKELLEFTEA/kartor/A 63593-2019.png", "A 63593-2019")</f>
        <v/>
      </c>
      <c r="V78">
        <f>HYPERLINK("https://klasma.github.io/Logging_SKELLEFTEA/klagomål/A 63593-2019.docx", "A 63593-2019")</f>
        <v/>
      </c>
      <c r="W78">
        <f>HYPERLINK("https://klasma.github.io/Logging_SKELLEFTEA/klagomålsmail/A 63593-2019.docx", "A 63593-2019")</f>
        <v/>
      </c>
      <c r="X78">
        <f>HYPERLINK("https://klasma.github.io/Logging_SKELLEFTEA/tillsyn/A 63593-2019.docx", "A 63593-2019")</f>
        <v/>
      </c>
      <c r="Y78">
        <f>HYPERLINK("https://klasma.github.io/Logging_SKELLEFTEA/tillsynsmail/A 63593-2019.docx", "A 63593-2019")</f>
        <v/>
      </c>
    </row>
    <row r="79" ht="15" customHeight="1">
      <c r="A79" t="inlineStr">
        <is>
          <t>A 65623-2019</t>
        </is>
      </c>
      <c r="B79" s="1" t="n">
        <v>43804</v>
      </c>
      <c r="C79" s="1" t="n">
        <v>45192</v>
      </c>
      <c r="D79" t="inlineStr">
        <is>
          <t>VÄSTERBOTTENS LÄN</t>
        </is>
      </c>
      <c r="E79" t="inlineStr">
        <is>
          <t>SKELLEFTEÅ</t>
        </is>
      </c>
      <c r="G79" t="n">
        <v>1.2</v>
      </c>
      <c r="H79" t="n">
        <v>0</v>
      </c>
      <c r="I79" t="n">
        <v>1</v>
      </c>
      <c r="J79" t="n">
        <v>1</v>
      </c>
      <c r="K79" t="n">
        <v>0</v>
      </c>
      <c r="L79" t="n">
        <v>0</v>
      </c>
      <c r="M79" t="n">
        <v>0</v>
      </c>
      <c r="N79" t="n">
        <v>0</v>
      </c>
      <c r="O79" t="n">
        <v>1</v>
      </c>
      <c r="P79" t="n">
        <v>0</v>
      </c>
      <c r="Q79" t="n">
        <v>2</v>
      </c>
      <c r="R79" s="2" t="inlineStr">
        <is>
          <t>Granticka
Vedticka</t>
        </is>
      </c>
      <c r="S79">
        <f>HYPERLINK("https://klasma.github.io/Logging_SKELLEFTEA/artfynd/A 65623-2019.xlsx", "A 65623-2019")</f>
        <v/>
      </c>
      <c r="T79">
        <f>HYPERLINK("https://klasma.github.io/Logging_SKELLEFTEA/kartor/A 65623-2019.png", "A 65623-2019")</f>
        <v/>
      </c>
      <c r="V79">
        <f>HYPERLINK("https://klasma.github.io/Logging_SKELLEFTEA/klagomål/A 65623-2019.docx", "A 65623-2019")</f>
        <v/>
      </c>
      <c r="W79">
        <f>HYPERLINK("https://klasma.github.io/Logging_SKELLEFTEA/klagomålsmail/A 65623-2019.docx", "A 65623-2019")</f>
        <v/>
      </c>
      <c r="X79">
        <f>HYPERLINK("https://klasma.github.io/Logging_SKELLEFTEA/tillsyn/A 65623-2019.docx", "A 65623-2019")</f>
        <v/>
      </c>
      <c r="Y79">
        <f>HYPERLINK("https://klasma.github.io/Logging_SKELLEFTEA/tillsynsmail/A 65623-2019.docx", "A 65623-2019")</f>
        <v/>
      </c>
    </row>
    <row r="80" ht="15" customHeight="1">
      <c r="A80" t="inlineStr">
        <is>
          <t>A 40134-2020</t>
        </is>
      </c>
      <c r="B80" s="1" t="n">
        <v>44067</v>
      </c>
      <c r="C80" s="1" t="n">
        <v>45192</v>
      </c>
      <c r="D80" t="inlineStr">
        <is>
          <t>VÄSTERBOTTENS LÄN</t>
        </is>
      </c>
      <c r="E80" t="inlineStr">
        <is>
          <t>SKELLEFTEÅ</t>
        </is>
      </c>
      <c r="G80" t="n">
        <v>6.1</v>
      </c>
      <c r="H80" t="n">
        <v>0</v>
      </c>
      <c r="I80" t="n">
        <v>1</v>
      </c>
      <c r="J80" t="n">
        <v>0</v>
      </c>
      <c r="K80" t="n">
        <v>0</v>
      </c>
      <c r="L80" t="n">
        <v>1</v>
      </c>
      <c r="M80" t="n">
        <v>0</v>
      </c>
      <c r="N80" t="n">
        <v>0</v>
      </c>
      <c r="O80" t="n">
        <v>1</v>
      </c>
      <c r="P80" t="n">
        <v>1</v>
      </c>
      <c r="Q80" t="n">
        <v>2</v>
      </c>
      <c r="R80" s="2" t="inlineStr">
        <is>
          <t>Större svartbagge
Stekelbock</t>
        </is>
      </c>
      <c r="S80">
        <f>HYPERLINK("https://klasma.github.io/Logging_SKELLEFTEA/artfynd/A 40134-2020.xlsx", "A 40134-2020")</f>
        <v/>
      </c>
      <c r="T80">
        <f>HYPERLINK("https://klasma.github.io/Logging_SKELLEFTEA/kartor/A 40134-2020.png", "A 40134-2020")</f>
        <v/>
      </c>
      <c r="V80">
        <f>HYPERLINK("https://klasma.github.io/Logging_SKELLEFTEA/klagomål/A 40134-2020.docx", "A 40134-2020")</f>
        <v/>
      </c>
      <c r="W80">
        <f>HYPERLINK("https://klasma.github.io/Logging_SKELLEFTEA/klagomålsmail/A 40134-2020.docx", "A 40134-2020")</f>
        <v/>
      </c>
      <c r="X80">
        <f>HYPERLINK("https://klasma.github.io/Logging_SKELLEFTEA/tillsyn/A 40134-2020.docx", "A 40134-2020")</f>
        <v/>
      </c>
      <c r="Y80">
        <f>HYPERLINK("https://klasma.github.io/Logging_SKELLEFTEA/tillsynsmail/A 40134-2020.docx", "A 40134-2020")</f>
        <v/>
      </c>
    </row>
    <row r="81" ht="15" customHeight="1">
      <c r="A81" t="inlineStr">
        <is>
          <t>A 44648-2020</t>
        </is>
      </c>
      <c r="B81" s="1" t="n">
        <v>44085</v>
      </c>
      <c r="C81" s="1" t="n">
        <v>45192</v>
      </c>
      <c r="D81" t="inlineStr">
        <is>
          <t>VÄSTERBOTTENS LÄN</t>
        </is>
      </c>
      <c r="E81" t="inlineStr">
        <is>
          <t>SKELLEFTEÅ</t>
        </is>
      </c>
      <c r="F81" t="inlineStr">
        <is>
          <t>Sveaskog</t>
        </is>
      </c>
      <c r="G81" t="n">
        <v>7.6</v>
      </c>
      <c r="H81" t="n">
        <v>0</v>
      </c>
      <c r="I81" t="n">
        <v>0</v>
      </c>
      <c r="J81" t="n">
        <v>2</v>
      </c>
      <c r="K81" t="n">
        <v>0</v>
      </c>
      <c r="L81" t="n">
        <v>0</v>
      </c>
      <c r="M81" t="n">
        <v>0</v>
      </c>
      <c r="N81" t="n">
        <v>0</v>
      </c>
      <c r="O81" t="n">
        <v>2</v>
      </c>
      <c r="P81" t="n">
        <v>0</v>
      </c>
      <c r="Q81" t="n">
        <v>2</v>
      </c>
      <c r="R81" s="2" t="inlineStr">
        <is>
          <t>Lunglav
Veckticka</t>
        </is>
      </c>
      <c r="S81">
        <f>HYPERLINK("https://klasma.github.io/Logging_SKELLEFTEA/artfynd/A 44648-2020.xlsx", "A 44648-2020")</f>
        <v/>
      </c>
      <c r="T81">
        <f>HYPERLINK("https://klasma.github.io/Logging_SKELLEFTEA/kartor/A 44648-2020.png", "A 44648-2020")</f>
        <v/>
      </c>
      <c r="V81">
        <f>HYPERLINK("https://klasma.github.io/Logging_SKELLEFTEA/klagomål/A 44648-2020.docx", "A 44648-2020")</f>
        <v/>
      </c>
      <c r="W81">
        <f>HYPERLINK("https://klasma.github.io/Logging_SKELLEFTEA/klagomålsmail/A 44648-2020.docx", "A 44648-2020")</f>
        <v/>
      </c>
      <c r="X81">
        <f>HYPERLINK("https://klasma.github.io/Logging_SKELLEFTEA/tillsyn/A 44648-2020.docx", "A 44648-2020")</f>
        <v/>
      </c>
      <c r="Y81">
        <f>HYPERLINK("https://klasma.github.io/Logging_SKELLEFTEA/tillsynsmail/A 44648-2020.docx", "A 44648-2020")</f>
        <v/>
      </c>
    </row>
    <row r="82" ht="15" customHeight="1">
      <c r="A82" t="inlineStr">
        <is>
          <t>A 53541-2020</t>
        </is>
      </c>
      <c r="B82" s="1" t="n">
        <v>44124</v>
      </c>
      <c r="C82" s="1" t="n">
        <v>45192</v>
      </c>
      <c r="D82" t="inlineStr">
        <is>
          <t>VÄSTERBOTTENS LÄN</t>
        </is>
      </c>
      <c r="E82" t="inlineStr">
        <is>
          <t>SKELLEFTEÅ</t>
        </is>
      </c>
      <c r="F82" t="inlineStr">
        <is>
          <t>Sveaskog</t>
        </is>
      </c>
      <c r="G82" t="n">
        <v>4.4</v>
      </c>
      <c r="H82" t="n">
        <v>0</v>
      </c>
      <c r="I82" t="n">
        <v>1</v>
      </c>
      <c r="J82" t="n">
        <v>1</v>
      </c>
      <c r="K82" t="n">
        <v>0</v>
      </c>
      <c r="L82" t="n">
        <v>0</v>
      </c>
      <c r="M82" t="n">
        <v>0</v>
      </c>
      <c r="N82" t="n">
        <v>0</v>
      </c>
      <c r="O82" t="n">
        <v>1</v>
      </c>
      <c r="P82" t="n">
        <v>0</v>
      </c>
      <c r="Q82" t="n">
        <v>2</v>
      </c>
      <c r="R82" s="2" t="inlineStr">
        <is>
          <t>Motaggsvamp
Dropptaggsvamp</t>
        </is>
      </c>
      <c r="S82">
        <f>HYPERLINK("https://klasma.github.io/Logging_SKELLEFTEA/artfynd/A 53541-2020.xlsx", "A 53541-2020")</f>
        <v/>
      </c>
      <c r="T82">
        <f>HYPERLINK("https://klasma.github.io/Logging_SKELLEFTEA/kartor/A 53541-2020.png", "A 53541-2020")</f>
        <v/>
      </c>
      <c r="V82">
        <f>HYPERLINK("https://klasma.github.io/Logging_SKELLEFTEA/klagomål/A 53541-2020.docx", "A 53541-2020")</f>
        <v/>
      </c>
      <c r="W82">
        <f>HYPERLINK("https://klasma.github.io/Logging_SKELLEFTEA/klagomålsmail/A 53541-2020.docx", "A 53541-2020")</f>
        <v/>
      </c>
      <c r="X82">
        <f>HYPERLINK("https://klasma.github.io/Logging_SKELLEFTEA/tillsyn/A 53541-2020.docx", "A 53541-2020")</f>
        <v/>
      </c>
      <c r="Y82">
        <f>HYPERLINK("https://klasma.github.io/Logging_SKELLEFTEA/tillsynsmail/A 53541-2020.docx", "A 53541-2020")</f>
        <v/>
      </c>
    </row>
    <row r="83" ht="15" customHeight="1">
      <c r="A83" t="inlineStr">
        <is>
          <t>A 55809-2020</t>
        </is>
      </c>
      <c r="B83" s="1" t="n">
        <v>44132</v>
      </c>
      <c r="C83" s="1" t="n">
        <v>45192</v>
      </c>
      <c r="D83" t="inlineStr">
        <is>
          <t>VÄSTERBOTTENS LÄN</t>
        </is>
      </c>
      <c r="E83" t="inlineStr">
        <is>
          <t>SKELLEFTEÅ</t>
        </is>
      </c>
      <c r="F83" t="inlineStr">
        <is>
          <t>Sveaskog</t>
        </is>
      </c>
      <c r="G83" t="n">
        <v>9.9</v>
      </c>
      <c r="H83" t="n">
        <v>2</v>
      </c>
      <c r="I83" t="n">
        <v>0</v>
      </c>
      <c r="J83" t="n">
        <v>1</v>
      </c>
      <c r="K83" t="n">
        <v>0</v>
      </c>
      <c r="L83" t="n">
        <v>0</v>
      </c>
      <c r="M83" t="n">
        <v>0</v>
      </c>
      <c r="N83" t="n">
        <v>0</v>
      </c>
      <c r="O83" t="n">
        <v>1</v>
      </c>
      <c r="P83" t="n">
        <v>0</v>
      </c>
      <c r="Q83" t="n">
        <v>2</v>
      </c>
      <c r="R83" s="2" t="inlineStr">
        <is>
          <t>Nordfladdermus
Fläcknycklar</t>
        </is>
      </c>
      <c r="S83">
        <f>HYPERLINK("https://klasma.github.io/Logging_SKELLEFTEA/artfynd/A 55809-2020.xlsx", "A 55809-2020")</f>
        <v/>
      </c>
      <c r="T83">
        <f>HYPERLINK("https://klasma.github.io/Logging_SKELLEFTEA/kartor/A 55809-2020.png", "A 55809-2020")</f>
        <v/>
      </c>
      <c r="V83">
        <f>HYPERLINK("https://klasma.github.io/Logging_SKELLEFTEA/klagomål/A 55809-2020.docx", "A 55809-2020")</f>
        <v/>
      </c>
      <c r="W83">
        <f>HYPERLINK("https://klasma.github.io/Logging_SKELLEFTEA/klagomålsmail/A 55809-2020.docx", "A 55809-2020")</f>
        <v/>
      </c>
      <c r="X83">
        <f>HYPERLINK("https://klasma.github.io/Logging_SKELLEFTEA/tillsyn/A 55809-2020.docx", "A 55809-2020")</f>
        <v/>
      </c>
      <c r="Y83">
        <f>HYPERLINK("https://klasma.github.io/Logging_SKELLEFTEA/tillsynsmail/A 55809-2020.docx", "A 55809-2020")</f>
        <v/>
      </c>
    </row>
    <row r="84" ht="15" customHeight="1">
      <c r="A84" t="inlineStr">
        <is>
          <t>A 64203-2020</t>
        </is>
      </c>
      <c r="B84" s="1" t="n">
        <v>44167</v>
      </c>
      <c r="C84" s="1" t="n">
        <v>45192</v>
      </c>
      <c r="D84" t="inlineStr">
        <is>
          <t>VÄSTERBOTTENS LÄN</t>
        </is>
      </c>
      <c r="E84" t="inlineStr">
        <is>
          <t>SKELLEFTEÅ</t>
        </is>
      </c>
      <c r="G84" t="n">
        <v>9.800000000000001</v>
      </c>
      <c r="H84" t="n">
        <v>2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2</v>
      </c>
      <c r="R84" s="2" t="inlineStr">
        <is>
          <t>Brudsporre
Fläcknycklar</t>
        </is>
      </c>
      <c r="S84">
        <f>HYPERLINK("https://klasma.github.io/Logging_SKELLEFTEA/artfynd/A 64203-2020.xlsx", "A 64203-2020")</f>
        <v/>
      </c>
      <c r="T84">
        <f>HYPERLINK("https://klasma.github.io/Logging_SKELLEFTEA/kartor/A 64203-2020.png", "A 64203-2020")</f>
        <v/>
      </c>
      <c r="V84">
        <f>HYPERLINK("https://klasma.github.io/Logging_SKELLEFTEA/klagomål/A 64203-2020.docx", "A 64203-2020")</f>
        <v/>
      </c>
      <c r="W84">
        <f>HYPERLINK("https://klasma.github.io/Logging_SKELLEFTEA/klagomålsmail/A 64203-2020.docx", "A 64203-2020")</f>
        <v/>
      </c>
      <c r="X84">
        <f>HYPERLINK("https://klasma.github.io/Logging_SKELLEFTEA/tillsyn/A 64203-2020.docx", "A 64203-2020")</f>
        <v/>
      </c>
      <c r="Y84">
        <f>HYPERLINK("https://klasma.github.io/Logging_SKELLEFTEA/tillsynsmail/A 64203-2020.docx", "A 64203-2020")</f>
        <v/>
      </c>
    </row>
    <row r="85" ht="15" customHeight="1">
      <c r="A85" t="inlineStr">
        <is>
          <t>A 34250-2021</t>
        </is>
      </c>
      <c r="B85" s="1" t="n">
        <v>44379</v>
      </c>
      <c r="C85" s="1" t="n">
        <v>45192</v>
      </c>
      <c r="D85" t="inlineStr">
        <is>
          <t>VÄSTERBOTTENS LÄN</t>
        </is>
      </c>
      <c r="E85" t="inlineStr">
        <is>
          <t>SKELLEFTEÅ</t>
        </is>
      </c>
      <c r="F85" t="inlineStr">
        <is>
          <t>Holmen skog AB</t>
        </is>
      </c>
      <c r="G85" t="n">
        <v>4.3</v>
      </c>
      <c r="H85" t="n">
        <v>0</v>
      </c>
      <c r="I85" t="n">
        <v>0</v>
      </c>
      <c r="J85" t="n">
        <v>2</v>
      </c>
      <c r="K85" t="n">
        <v>0</v>
      </c>
      <c r="L85" t="n">
        <v>0</v>
      </c>
      <c r="M85" t="n">
        <v>0</v>
      </c>
      <c r="N85" t="n">
        <v>0</v>
      </c>
      <c r="O85" t="n">
        <v>2</v>
      </c>
      <c r="P85" t="n">
        <v>0</v>
      </c>
      <c r="Q85" t="n">
        <v>2</v>
      </c>
      <c r="R85" s="2" t="inlineStr">
        <is>
          <t>Gammelgransskål
Garnlav</t>
        </is>
      </c>
      <c r="S85">
        <f>HYPERLINK("https://klasma.github.io/Logging_SKELLEFTEA/artfynd/A 34250-2021.xlsx", "A 34250-2021")</f>
        <v/>
      </c>
      <c r="T85">
        <f>HYPERLINK("https://klasma.github.io/Logging_SKELLEFTEA/kartor/A 34250-2021.png", "A 34250-2021")</f>
        <v/>
      </c>
      <c r="V85">
        <f>HYPERLINK("https://klasma.github.io/Logging_SKELLEFTEA/klagomål/A 34250-2021.docx", "A 34250-2021")</f>
        <v/>
      </c>
      <c r="W85">
        <f>HYPERLINK("https://klasma.github.io/Logging_SKELLEFTEA/klagomålsmail/A 34250-2021.docx", "A 34250-2021")</f>
        <v/>
      </c>
      <c r="X85">
        <f>HYPERLINK("https://klasma.github.io/Logging_SKELLEFTEA/tillsyn/A 34250-2021.docx", "A 34250-2021")</f>
        <v/>
      </c>
      <c r="Y85">
        <f>HYPERLINK("https://klasma.github.io/Logging_SKELLEFTEA/tillsynsmail/A 34250-2021.docx", "A 34250-2021")</f>
        <v/>
      </c>
    </row>
    <row r="86" ht="15" customHeight="1">
      <c r="A86" t="inlineStr">
        <is>
          <t>A 35585-2021</t>
        </is>
      </c>
      <c r="B86" s="1" t="n">
        <v>44386</v>
      </c>
      <c r="C86" s="1" t="n">
        <v>45192</v>
      </c>
      <c r="D86" t="inlineStr">
        <is>
          <t>VÄSTERBOTTENS LÄN</t>
        </is>
      </c>
      <c r="E86" t="inlineStr">
        <is>
          <t>SKELLEFTEÅ</t>
        </is>
      </c>
      <c r="F86" t="inlineStr">
        <is>
          <t>Holmen skog AB</t>
        </is>
      </c>
      <c r="G86" t="n">
        <v>8.4</v>
      </c>
      <c r="H86" t="n">
        <v>0</v>
      </c>
      <c r="I86" t="n">
        <v>0</v>
      </c>
      <c r="J86" t="n">
        <v>2</v>
      </c>
      <c r="K86" t="n">
        <v>0</v>
      </c>
      <c r="L86" t="n">
        <v>0</v>
      </c>
      <c r="M86" t="n">
        <v>0</v>
      </c>
      <c r="N86" t="n">
        <v>0</v>
      </c>
      <c r="O86" t="n">
        <v>2</v>
      </c>
      <c r="P86" t="n">
        <v>0</v>
      </c>
      <c r="Q86" t="n">
        <v>2</v>
      </c>
      <c r="R86" s="2" t="inlineStr">
        <is>
          <t>Garnlav
Ullticka</t>
        </is>
      </c>
      <c r="S86">
        <f>HYPERLINK("https://klasma.github.io/Logging_SKELLEFTEA/artfynd/A 35585-2021.xlsx", "A 35585-2021")</f>
        <v/>
      </c>
      <c r="T86">
        <f>HYPERLINK("https://klasma.github.io/Logging_SKELLEFTEA/kartor/A 35585-2021.png", "A 35585-2021")</f>
        <v/>
      </c>
      <c r="V86">
        <f>HYPERLINK("https://klasma.github.io/Logging_SKELLEFTEA/klagomål/A 35585-2021.docx", "A 35585-2021")</f>
        <v/>
      </c>
      <c r="W86">
        <f>HYPERLINK("https://klasma.github.io/Logging_SKELLEFTEA/klagomålsmail/A 35585-2021.docx", "A 35585-2021")</f>
        <v/>
      </c>
      <c r="X86">
        <f>HYPERLINK("https://klasma.github.io/Logging_SKELLEFTEA/tillsyn/A 35585-2021.docx", "A 35585-2021")</f>
        <v/>
      </c>
      <c r="Y86">
        <f>HYPERLINK("https://klasma.github.io/Logging_SKELLEFTEA/tillsynsmail/A 35585-2021.docx", "A 35585-2021")</f>
        <v/>
      </c>
    </row>
    <row r="87" ht="15" customHeight="1">
      <c r="A87" t="inlineStr">
        <is>
          <t>A 58885-2021</t>
        </is>
      </c>
      <c r="B87" s="1" t="n">
        <v>44489</v>
      </c>
      <c r="C87" s="1" t="n">
        <v>45192</v>
      </c>
      <c r="D87" t="inlineStr">
        <is>
          <t>VÄSTERBOTTENS LÄN</t>
        </is>
      </c>
      <c r="E87" t="inlineStr">
        <is>
          <t>SKELLEFTEÅ</t>
        </is>
      </c>
      <c r="F87" t="inlineStr">
        <is>
          <t>Sveaskog</t>
        </is>
      </c>
      <c r="G87" t="n">
        <v>13.7</v>
      </c>
      <c r="H87" t="n">
        <v>0</v>
      </c>
      <c r="I87" t="n">
        <v>1</v>
      </c>
      <c r="J87" t="n">
        <v>1</v>
      </c>
      <c r="K87" t="n">
        <v>0</v>
      </c>
      <c r="L87" t="n">
        <v>0</v>
      </c>
      <c r="M87" t="n">
        <v>0</v>
      </c>
      <c r="N87" t="n">
        <v>0</v>
      </c>
      <c r="O87" t="n">
        <v>1</v>
      </c>
      <c r="P87" t="n">
        <v>0</v>
      </c>
      <c r="Q87" t="n">
        <v>2</v>
      </c>
      <c r="R87" s="2" t="inlineStr">
        <is>
          <t>Lunglav
Stuplav</t>
        </is>
      </c>
      <c r="S87">
        <f>HYPERLINK("https://klasma.github.io/Logging_SKELLEFTEA/artfynd/A 58885-2021.xlsx", "A 58885-2021")</f>
        <v/>
      </c>
      <c r="T87">
        <f>HYPERLINK("https://klasma.github.io/Logging_SKELLEFTEA/kartor/A 58885-2021.png", "A 58885-2021")</f>
        <v/>
      </c>
      <c r="V87">
        <f>HYPERLINK("https://klasma.github.io/Logging_SKELLEFTEA/klagomål/A 58885-2021.docx", "A 58885-2021")</f>
        <v/>
      </c>
      <c r="W87">
        <f>HYPERLINK("https://klasma.github.io/Logging_SKELLEFTEA/klagomålsmail/A 58885-2021.docx", "A 58885-2021")</f>
        <v/>
      </c>
      <c r="X87">
        <f>HYPERLINK("https://klasma.github.io/Logging_SKELLEFTEA/tillsyn/A 58885-2021.docx", "A 58885-2021")</f>
        <v/>
      </c>
      <c r="Y87">
        <f>HYPERLINK("https://klasma.github.io/Logging_SKELLEFTEA/tillsynsmail/A 58885-2021.docx", "A 58885-2021")</f>
        <v/>
      </c>
    </row>
    <row r="88" ht="15" customHeight="1">
      <c r="A88" t="inlineStr">
        <is>
          <t>A 59706-2021</t>
        </is>
      </c>
      <c r="B88" s="1" t="n">
        <v>44494</v>
      </c>
      <c r="C88" s="1" t="n">
        <v>45192</v>
      </c>
      <c r="D88" t="inlineStr">
        <is>
          <t>VÄSTERBOTTENS LÄN</t>
        </is>
      </c>
      <c r="E88" t="inlineStr">
        <is>
          <t>SKELLEFTEÅ</t>
        </is>
      </c>
      <c r="F88" t="inlineStr">
        <is>
          <t>Sveaskog</t>
        </is>
      </c>
      <c r="G88" t="n">
        <v>2.5</v>
      </c>
      <c r="H88" t="n">
        <v>0</v>
      </c>
      <c r="I88" t="n">
        <v>0</v>
      </c>
      <c r="J88" t="n">
        <v>2</v>
      </c>
      <c r="K88" t="n">
        <v>0</v>
      </c>
      <c r="L88" t="n">
        <v>0</v>
      </c>
      <c r="M88" t="n">
        <v>0</v>
      </c>
      <c r="N88" t="n">
        <v>0</v>
      </c>
      <c r="O88" t="n">
        <v>2</v>
      </c>
      <c r="P88" t="n">
        <v>0</v>
      </c>
      <c r="Q88" t="n">
        <v>2</v>
      </c>
      <c r="R88" s="2" t="inlineStr">
        <is>
          <t>Garnlav
Violettgrå tagellav</t>
        </is>
      </c>
      <c r="S88">
        <f>HYPERLINK("https://klasma.github.io/Logging_SKELLEFTEA/artfynd/A 59706-2021.xlsx", "A 59706-2021")</f>
        <v/>
      </c>
      <c r="T88">
        <f>HYPERLINK("https://klasma.github.io/Logging_SKELLEFTEA/kartor/A 59706-2021.png", "A 59706-2021")</f>
        <v/>
      </c>
      <c r="V88">
        <f>HYPERLINK("https://klasma.github.io/Logging_SKELLEFTEA/klagomål/A 59706-2021.docx", "A 59706-2021")</f>
        <v/>
      </c>
      <c r="W88">
        <f>HYPERLINK("https://klasma.github.io/Logging_SKELLEFTEA/klagomålsmail/A 59706-2021.docx", "A 59706-2021")</f>
        <v/>
      </c>
      <c r="X88">
        <f>HYPERLINK("https://klasma.github.io/Logging_SKELLEFTEA/tillsyn/A 59706-2021.docx", "A 59706-2021")</f>
        <v/>
      </c>
      <c r="Y88">
        <f>HYPERLINK("https://klasma.github.io/Logging_SKELLEFTEA/tillsynsmail/A 59706-2021.docx", "A 59706-2021")</f>
        <v/>
      </c>
    </row>
    <row r="89" ht="15" customHeight="1">
      <c r="A89" t="inlineStr">
        <is>
          <t>A 42694-2022</t>
        </is>
      </c>
      <c r="B89" s="1" t="n">
        <v>44831</v>
      </c>
      <c r="C89" s="1" t="n">
        <v>45192</v>
      </c>
      <c r="D89" t="inlineStr">
        <is>
          <t>VÄSTERBOTTENS LÄN</t>
        </is>
      </c>
      <c r="E89" t="inlineStr">
        <is>
          <t>SKELLEFTEÅ</t>
        </is>
      </c>
      <c r="G89" t="n">
        <v>5.6</v>
      </c>
      <c r="H89" t="n">
        <v>0</v>
      </c>
      <c r="I89" t="n">
        <v>1</v>
      </c>
      <c r="J89" t="n">
        <v>1</v>
      </c>
      <c r="K89" t="n">
        <v>0</v>
      </c>
      <c r="L89" t="n">
        <v>0</v>
      </c>
      <c r="M89" t="n">
        <v>0</v>
      </c>
      <c r="N89" t="n">
        <v>0</v>
      </c>
      <c r="O89" t="n">
        <v>1</v>
      </c>
      <c r="P89" t="n">
        <v>0</v>
      </c>
      <c r="Q89" t="n">
        <v>2</v>
      </c>
      <c r="R89" s="2" t="inlineStr">
        <is>
          <t>Granticka
Vedticka</t>
        </is>
      </c>
      <c r="S89">
        <f>HYPERLINK("https://klasma.github.io/Logging_SKELLEFTEA/artfynd/A 42694-2022.xlsx", "A 42694-2022")</f>
        <v/>
      </c>
      <c r="T89">
        <f>HYPERLINK("https://klasma.github.io/Logging_SKELLEFTEA/kartor/A 42694-2022.png", "A 42694-2022")</f>
        <v/>
      </c>
      <c r="V89">
        <f>HYPERLINK("https://klasma.github.io/Logging_SKELLEFTEA/klagomål/A 42694-2022.docx", "A 42694-2022")</f>
        <v/>
      </c>
      <c r="W89">
        <f>HYPERLINK("https://klasma.github.io/Logging_SKELLEFTEA/klagomålsmail/A 42694-2022.docx", "A 42694-2022")</f>
        <v/>
      </c>
      <c r="X89">
        <f>HYPERLINK("https://klasma.github.io/Logging_SKELLEFTEA/tillsyn/A 42694-2022.docx", "A 42694-2022")</f>
        <v/>
      </c>
      <c r="Y89">
        <f>HYPERLINK("https://klasma.github.io/Logging_SKELLEFTEA/tillsynsmail/A 42694-2022.docx", "A 42694-2022")</f>
        <v/>
      </c>
    </row>
    <row r="90" ht="15" customHeight="1">
      <c r="A90" t="inlineStr">
        <is>
          <t>A 49440-2022</t>
        </is>
      </c>
      <c r="B90" s="1" t="n">
        <v>44859</v>
      </c>
      <c r="C90" s="1" t="n">
        <v>45192</v>
      </c>
      <c r="D90" t="inlineStr">
        <is>
          <t>VÄSTERBOTTENS LÄN</t>
        </is>
      </c>
      <c r="E90" t="inlineStr">
        <is>
          <t>SKELLEFTEÅ</t>
        </is>
      </c>
      <c r="G90" t="n">
        <v>1.5</v>
      </c>
      <c r="H90" t="n">
        <v>0</v>
      </c>
      <c r="I90" t="n">
        <v>0</v>
      </c>
      <c r="J90" t="n">
        <v>2</v>
      </c>
      <c r="K90" t="n">
        <v>0</v>
      </c>
      <c r="L90" t="n">
        <v>0</v>
      </c>
      <c r="M90" t="n">
        <v>0</v>
      </c>
      <c r="N90" t="n">
        <v>0</v>
      </c>
      <c r="O90" t="n">
        <v>2</v>
      </c>
      <c r="P90" t="n">
        <v>0</v>
      </c>
      <c r="Q90" t="n">
        <v>2</v>
      </c>
      <c r="R90" s="2" t="inlineStr">
        <is>
          <t>Gränsticka
Ullticka</t>
        </is>
      </c>
      <c r="S90">
        <f>HYPERLINK("https://klasma.github.io/Logging_SKELLEFTEA/artfynd/A 49440-2022.xlsx", "A 49440-2022")</f>
        <v/>
      </c>
      <c r="T90">
        <f>HYPERLINK("https://klasma.github.io/Logging_SKELLEFTEA/kartor/A 49440-2022.png", "A 49440-2022")</f>
        <v/>
      </c>
      <c r="V90">
        <f>HYPERLINK("https://klasma.github.io/Logging_SKELLEFTEA/klagomål/A 49440-2022.docx", "A 49440-2022")</f>
        <v/>
      </c>
      <c r="W90">
        <f>HYPERLINK("https://klasma.github.io/Logging_SKELLEFTEA/klagomålsmail/A 49440-2022.docx", "A 49440-2022")</f>
        <v/>
      </c>
      <c r="X90">
        <f>HYPERLINK("https://klasma.github.io/Logging_SKELLEFTEA/tillsyn/A 49440-2022.docx", "A 49440-2022")</f>
        <v/>
      </c>
      <c r="Y90">
        <f>HYPERLINK("https://klasma.github.io/Logging_SKELLEFTEA/tillsynsmail/A 49440-2022.docx", "A 49440-2022")</f>
        <v/>
      </c>
    </row>
    <row r="91" ht="15" customHeight="1">
      <c r="A91" t="inlineStr">
        <is>
          <t>A 56157-2022</t>
        </is>
      </c>
      <c r="B91" s="1" t="n">
        <v>44889</v>
      </c>
      <c r="C91" s="1" t="n">
        <v>45192</v>
      </c>
      <c r="D91" t="inlineStr">
        <is>
          <t>VÄSTERBOTTENS LÄN</t>
        </is>
      </c>
      <c r="E91" t="inlineStr">
        <is>
          <t>SKELLEFTEÅ</t>
        </is>
      </c>
      <c r="G91" t="n">
        <v>3.9</v>
      </c>
      <c r="H91" t="n">
        <v>2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2</v>
      </c>
      <c r="R91" s="2" t="inlineStr">
        <is>
          <t>Fläcknycklar
Revlummer</t>
        </is>
      </c>
      <c r="S91">
        <f>HYPERLINK("https://klasma.github.io/Logging_SKELLEFTEA/artfynd/A 56157-2022.xlsx", "A 56157-2022")</f>
        <v/>
      </c>
      <c r="T91">
        <f>HYPERLINK("https://klasma.github.io/Logging_SKELLEFTEA/kartor/A 56157-2022.png", "A 56157-2022")</f>
        <v/>
      </c>
      <c r="V91">
        <f>HYPERLINK("https://klasma.github.io/Logging_SKELLEFTEA/klagomål/A 56157-2022.docx", "A 56157-2022")</f>
        <v/>
      </c>
      <c r="W91">
        <f>HYPERLINK("https://klasma.github.io/Logging_SKELLEFTEA/klagomålsmail/A 56157-2022.docx", "A 56157-2022")</f>
        <v/>
      </c>
      <c r="X91">
        <f>HYPERLINK("https://klasma.github.io/Logging_SKELLEFTEA/tillsyn/A 56157-2022.docx", "A 56157-2022")</f>
        <v/>
      </c>
      <c r="Y91">
        <f>HYPERLINK("https://klasma.github.io/Logging_SKELLEFTEA/tillsynsmail/A 56157-2022.docx", "A 56157-2022")</f>
        <v/>
      </c>
    </row>
    <row r="92" ht="15" customHeight="1">
      <c r="A92" t="inlineStr">
        <is>
          <t>A 787-2023</t>
        </is>
      </c>
      <c r="B92" s="1" t="n">
        <v>44931</v>
      </c>
      <c r="C92" s="1" t="n">
        <v>45192</v>
      </c>
      <c r="D92" t="inlineStr">
        <is>
          <t>VÄSTERBOTTENS LÄN</t>
        </is>
      </c>
      <c r="E92" t="inlineStr">
        <is>
          <t>SKELLEFTEÅ</t>
        </is>
      </c>
      <c r="G92" t="n">
        <v>13.9</v>
      </c>
      <c r="H92" t="n">
        <v>0</v>
      </c>
      <c r="I92" t="n">
        <v>1</v>
      </c>
      <c r="J92" t="n">
        <v>1</v>
      </c>
      <c r="K92" t="n">
        <v>0</v>
      </c>
      <c r="L92" t="n">
        <v>0</v>
      </c>
      <c r="M92" t="n">
        <v>0</v>
      </c>
      <c r="N92" t="n">
        <v>0</v>
      </c>
      <c r="O92" t="n">
        <v>1</v>
      </c>
      <c r="P92" t="n">
        <v>0</v>
      </c>
      <c r="Q92" t="n">
        <v>2</v>
      </c>
      <c r="R92" s="2" t="inlineStr">
        <is>
          <t>Storgröe
Ögonpyrola</t>
        </is>
      </c>
      <c r="S92">
        <f>HYPERLINK("https://klasma.github.io/Logging_SKELLEFTEA/artfynd/A 787-2023.xlsx", "A 787-2023")</f>
        <v/>
      </c>
      <c r="T92">
        <f>HYPERLINK("https://klasma.github.io/Logging_SKELLEFTEA/kartor/A 787-2023.png", "A 787-2023")</f>
        <v/>
      </c>
      <c r="V92">
        <f>HYPERLINK("https://klasma.github.io/Logging_SKELLEFTEA/klagomål/A 787-2023.docx", "A 787-2023")</f>
        <v/>
      </c>
      <c r="W92">
        <f>HYPERLINK("https://klasma.github.io/Logging_SKELLEFTEA/klagomålsmail/A 787-2023.docx", "A 787-2023")</f>
        <v/>
      </c>
      <c r="X92">
        <f>HYPERLINK("https://klasma.github.io/Logging_SKELLEFTEA/tillsyn/A 787-2023.docx", "A 787-2023")</f>
        <v/>
      </c>
      <c r="Y92">
        <f>HYPERLINK("https://klasma.github.io/Logging_SKELLEFTEA/tillsynsmail/A 787-2023.docx", "A 787-2023")</f>
        <v/>
      </c>
    </row>
    <row r="93" ht="15" customHeight="1">
      <c r="A93" t="inlineStr">
        <is>
          <t>A 29998-2023</t>
        </is>
      </c>
      <c r="B93" s="1" t="n">
        <v>45109</v>
      </c>
      <c r="C93" s="1" t="n">
        <v>45192</v>
      </c>
      <c r="D93" t="inlineStr">
        <is>
          <t>VÄSTERBOTTENS LÄN</t>
        </is>
      </c>
      <c r="E93" t="inlineStr">
        <is>
          <t>SKELLEFTEÅ</t>
        </is>
      </c>
      <c r="F93" t="inlineStr">
        <is>
          <t>Sveaskog</t>
        </is>
      </c>
      <c r="G93" t="n">
        <v>10.2</v>
      </c>
      <c r="H93" t="n">
        <v>0</v>
      </c>
      <c r="I93" t="n">
        <v>1</v>
      </c>
      <c r="J93" t="n">
        <v>1</v>
      </c>
      <c r="K93" t="n">
        <v>0</v>
      </c>
      <c r="L93" t="n">
        <v>0</v>
      </c>
      <c r="M93" t="n">
        <v>0</v>
      </c>
      <c r="N93" t="n">
        <v>0</v>
      </c>
      <c r="O93" t="n">
        <v>1</v>
      </c>
      <c r="P93" t="n">
        <v>0</v>
      </c>
      <c r="Q93" t="n">
        <v>2</v>
      </c>
      <c r="R93" s="2" t="inlineStr">
        <is>
          <t>Ullticka
Luddlav</t>
        </is>
      </c>
      <c r="S93">
        <f>HYPERLINK("https://klasma.github.io/Logging_SKELLEFTEA/artfynd/A 29998-2023.xlsx", "A 29998-2023")</f>
        <v/>
      </c>
      <c r="T93">
        <f>HYPERLINK("https://klasma.github.io/Logging_SKELLEFTEA/kartor/A 29998-2023.png", "A 29998-2023")</f>
        <v/>
      </c>
      <c r="V93">
        <f>HYPERLINK("https://klasma.github.io/Logging_SKELLEFTEA/klagomål/A 29998-2023.docx", "A 29998-2023")</f>
        <v/>
      </c>
      <c r="W93">
        <f>HYPERLINK("https://klasma.github.io/Logging_SKELLEFTEA/klagomålsmail/A 29998-2023.docx", "A 29998-2023")</f>
        <v/>
      </c>
      <c r="X93">
        <f>HYPERLINK("https://klasma.github.io/Logging_SKELLEFTEA/tillsyn/A 29998-2023.docx", "A 29998-2023")</f>
        <v/>
      </c>
      <c r="Y93">
        <f>HYPERLINK("https://klasma.github.io/Logging_SKELLEFTEA/tillsynsmail/A 29998-2023.docx", "A 29998-2023")</f>
        <v/>
      </c>
    </row>
    <row r="94" ht="15" customHeight="1">
      <c r="A94" t="inlineStr">
        <is>
          <t>A 65202-2018</t>
        </is>
      </c>
      <c r="B94" s="1" t="n">
        <v>43423</v>
      </c>
      <c r="C94" s="1" t="n">
        <v>45192</v>
      </c>
      <c r="D94" t="inlineStr">
        <is>
          <t>VÄSTERBOTTENS LÄN</t>
        </is>
      </c>
      <c r="E94" t="inlineStr">
        <is>
          <t>SKELLEFTEÅ</t>
        </is>
      </c>
      <c r="G94" t="n">
        <v>4.7</v>
      </c>
      <c r="H94" t="n">
        <v>1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1</v>
      </c>
      <c r="R94" s="2" t="inlineStr">
        <is>
          <t>Fläcknycklar</t>
        </is>
      </c>
      <c r="S94">
        <f>HYPERLINK("https://klasma.github.io/Logging_SKELLEFTEA/artfynd/A 65202-2018.xlsx", "A 65202-2018")</f>
        <v/>
      </c>
      <c r="T94">
        <f>HYPERLINK("https://klasma.github.io/Logging_SKELLEFTEA/kartor/A 65202-2018.png", "A 65202-2018")</f>
        <v/>
      </c>
      <c r="V94">
        <f>HYPERLINK("https://klasma.github.io/Logging_SKELLEFTEA/klagomål/A 65202-2018.docx", "A 65202-2018")</f>
        <v/>
      </c>
      <c r="W94">
        <f>HYPERLINK("https://klasma.github.io/Logging_SKELLEFTEA/klagomålsmail/A 65202-2018.docx", "A 65202-2018")</f>
        <v/>
      </c>
      <c r="X94">
        <f>HYPERLINK("https://klasma.github.io/Logging_SKELLEFTEA/tillsyn/A 65202-2018.docx", "A 65202-2018")</f>
        <v/>
      </c>
      <c r="Y94">
        <f>HYPERLINK("https://klasma.github.io/Logging_SKELLEFTEA/tillsynsmail/A 65202-2018.docx", "A 65202-2018")</f>
        <v/>
      </c>
    </row>
    <row r="95" ht="15" customHeight="1">
      <c r="A95" t="inlineStr">
        <is>
          <t>A 65167-2018</t>
        </is>
      </c>
      <c r="B95" s="1" t="n">
        <v>43432</v>
      </c>
      <c r="C95" s="1" t="n">
        <v>45192</v>
      </c>
      <c r="D95" t="inlineStr">
        <is>
          <t>VÄSTERBOTTENS LÄN</t>
        </is>
      </c>
      <c r="E95" t="inlineStr">
        <is>
          <t>SKELLEFTEÅ</t>
        </is>
      </c>
      <c r="F95" t="inlineStr">
        <is>
          <t>Sveaskog</t>
        </is>
      </c>
      <c r="G95" t="n">
        <v>3.6</v>
      </c>
      <c r="H95" t="n">
        <v>0</v>
      </c>
      <c r="I95" t="n">
        <v>0</v>
      </c>
      <c r="J95" t="n">
        <v>1</v>
      </c>
      <c r="K95" t="n">
        <v>0</v>
      </c>
      <c r="L95" t="n">
        <v>0</v>
      </c>
      <c r="M95" t="n">
        <v>0</v>
      </c>
      <c r="N95" t="n">
        <v>0</v>
      </c>
      <c r="O95" t="n">
        <v>1</v>
      </c>
      <c r="P95" t="n">
        <v>0</v>
      </c>
      <c r="Q95" t="n">
        <v>1</v>
      </c>
      <c r="R95" s="2" t="inlineStr">
        <is>
          <t>Lunglav</t>
        </is>
      </c>
      <c r="S95">
        <f>HYPERLINK("https://klasma.github.io/Logging_SKELLEFTEA/artfynd/A 65167-2018.xlsx", "A 65167-2018")</f>
        <v/>
      </c>
      <c r="T95">
        <f>HYPERLINK("https://klasma.github.io/Logging_SKELLEFTEA/kartor/A 65167-2018.png", "A 65167-2018")</f>
        <v/>
      </c>
      <c r="V95">
        <f>HYPERLINK("https://klasma.github.io/Logging_SKELLEFTEA/klagomål/A 65167-2018.docx", "A 65167-2018")</f>
        <v/>
      </c>
      <c r="W95">
        <f>HYPERLINK("https://klasma.github.io/Logging_SKELLEFTEA/klagomålsmail/A 65167-2018.docx", "A 65167-2018")</f>
        <v/>
      </c>
      <c r="X95">
        <f>HYPERLINK("https://klasma.github.io/Logging_SKELLEFTEA/tillsyn/A 65167-2018.docx", "A 65167-2018")</f>
        <v/>
      </c>
      <c r="Y95">
        <f>HYPERLINK("https://klasma.github.io/Logging_SKELLEFTEA/tillsynsmail/A 65167-2018.docx", "A 65167-2018")</f>
        <v/>
      </c>
    </row>
    <row r="96" ht="15" customHeight="1">
      <c r="A96" t="inlineStr">
        <is>
          <t>A 68072-2018</t>
        </is>
      </c>
      <c r="B96" s="1" t="n">
        <v>43441</v>
      </c>
      <c r="C96" s="1" t="n">
        <v>45192</v>
      </c>
      <c r="D96" t="inlineStr">
        <is>
          <t>VÄSTERBOTTENS LÄN</t>
        </is>
      </c>
      <c r="E96" t="inlineStr">
        <is>
          <t>SKELLEFTEÅ</t>
        </is>
      </c>
      <c r="G96" t="n">
        <v>25.1</v>
      </c>
      <c r="H96" t="n">
        <v>0</v>
      </c>
      <c r="I96" t="n">
        <v>0</v>
      </c>
      <c r="J96" t="n">
        <v>0</v>
      </c>
      <c r="K96" t="n">
        <v>0</v>
      </c>
      <c r="L96" t="n">
        <v>1</v>
      </c>
      <c r="M96" t="n">
        <v>0</v>
      </c>
      <c r="N96" t="n">
        <v>0</v>
      </c>
      <c r="O96" t="n">
        <v>1</v>
      </c>
      <c r="P96" t="n">
        <v>1</v>
      </c>
      <c r="Q96" t="n">
        <v>1</v>
      </c>
      <c r="R96" s="2" t="inlineStr">
        <is>
          <t>Flodpärlmussla</t>
        </is>
      </c>
      <c r="S96">
        <f>HYPERLINK("https://klasma.github.io/Logging_SKELLEFTEA/artfynd/A 68072-2018.xlsx", "A 68072-2018")</f>
        <v/>
      </c>
      <c r="T96">
        <f>HYPERLINK("https://klasma.github.io/Logging_SKELLEFTEA/kartor/A 68072-2018.png", "A 68072-2018")</f>
        <v/>
      </c>
      <c r="V96">
        <f>HYPERLINK("https://klasma.github.io/Logging_SKELLEFTEA/klagomål/A 68072-2018.docx", "A 68072-2018")</f>
        <v/>
      </c>
      <c r="W96">
        <f>HYPERLINK("https://klasma.github.io/Logging_SKELLEFTEA/klagomålsmail/A 68072-2018.docx", "A 68072-2018")</f>
        <v/>
      </c>
      <c r="X96">
        <f>HYPERLINK("https://klasma.github.io/Logging_SKELLEFTEA/tillsyn/A 68072-2018.docx", "A 68072-2018")</f>
        <v/>
      </c>
      <c r="Y96">
        <f>HYPERLINK("https://klasma.github.io/Logging_SKELLEFTEA/tillsynsmail/A 68072-2018.docx", "A 68072-2018")</f>
        <v/>
      </c>
    </row>
    <row r="97" ht="15" customHeight="1">
      <c r="A97" t="inlineStr">
        <is>
          <t>A 4641-2019</t>
        </is>
      </c>
      <c r="B97" s="1" t="n">
        <v>43479</v>
      </c>
      <c r="C97" s="1" t="n">
        <v>45192</v>
      </c>
      <c r="D97" t="inlineStr">
        <is>
          <t>VÄSTERBOTTENS LÄN</t>
        </is>
      </c>
      <c r="E97" t="inlineStr">
        <is>
          <t>SKELLEFTEÅ</t>
        </is>
      </c>
      <c r="G97" t="n">
        <v>3.1</v>
      </c>
      <c r="H97" t="n">
        <v>1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1</v>
      </c>
      <c r="R97" s="2" t="inlineStr">
        <is>
          <t>Revlummer</t>
        </is>
      </c>
      <c r="S97">
        <f>HYPERLINK("https://klasma.github.io/Logging_SKELLEFTEA/artfynd/A 4641-2019.xlsx", "A 4641-2019")</f>
        <v/>
      </c>
      <c r="T97">
        <f>HYPERLINK("https://klasma.github.io/Logging_SKELLEFTEA/kartor/A 4641-2019.png", "A 4641-2019")</f>
        <v/>
      </c>
      <c r="V97">
        <f>HYPERLINK("https://klasma.github.io/Logging_SKELLEFTEA/klagomål/A 4641-2019.docx", "A 4641-2019")</f>
        <v/>
      </c>
      <c r="W97">
        <f>HYPERLINK("https://klasma.github.io/Logging_SKELLEFTEA/klagomålsmail/A 4641-2019.docx", "A 4641-2019")</f>
        <v/>
      </c>
      <c r="X97">
        <f>HYPERLINK("https://klasma.github.io/Logging_SKELLEFTEA/tillsyn/A 4641-2019.docx", "A 4641-2019")</f>
        <v/>
      </c>
      <c r="Y97">
        <f>HYPERLINK("https://klasma.github.io/Logging_SKELLEFTEA/tillsynsmail/A 4641-2019.docx", "A 4641-2019")</f>
        <v/>
      </c>
    </row>
    <row r="98" ht="15" customHeight="1">
      <c r="A98" t="inlineStr">
        <is>
          <t>A 5009-2019</t>
        </is>
      </c>
      <c r="B98" s="1" t="n">
        <v>43480</v>
      </c>
      <c r="C98" s="1" t="n">
        <v>45192</v>
      </c>
      <c r="D98" t="inlineStr">
        <is>
          <t>VÄSTERBOTTENS LÄN</t>
        </is>
      </c>
      <c r="E98" t="inlineStr">
        <is>
          <t>SKELLEFTEÅ</t>
        </is>
      </c>
      <c r="G98" t="n">
        <v>7.4</v>
      </c>
      <c r="H98" t="n">
        <v>0</v>
      </c>
      <c r="I98" t="n">
        <v>0</v>
      </c>
      <c r="J98" t="n">
        <v>1</v>
      </c>
      <c r="K98" t="n">
        <v>0</v>
      </c>
      <c r="L98" t="n">
        <v>0</v>
      </c>
      <c r="M98" t="n">
        <v>0</v>
      </c>
      <c r="N98" t="n">
        <v>0</v>
      </c>
      <c r="O98" t="n">
        <v>1</v>
      </c>
      <c r="P98" t="n">
        <v>0</v>
      </c>
      <c r="Q98" t="n">
        <v>1</v>
      </c>
      <c r="R98" s="2" t="inlineStr">
        <is>
          <t>Garnlav</t>
        </is>
      </c>
      <c r="S98">
        <f>HYPERLINK("https://klasma.github.io/Logging_SKELLEFTEA/artfynd/A 5009-2019.xlsx", "A 5009-2019")</f>
        <v/>
      </c>
      <c r="T98">
        <f>HYPERLINK("https://klasma.github.io/Logging_SKELLEFTEA/kartor/A 5009-2019.png", "A 5009-2019")</f>
        <v/>
      </c>
      <c r="V98">
        <f>HYPERLINK("https://klasma.github.io/Logging_SKELLEFTEA/klagomål/A 5009-2019.docx", "A 5009-2019")</f>
        <v/>
      </c>
      <c r="W98">
        <f>HYPERLINK("https://klasma.github.io/Logging_SKELLEFTEA/klagomålsmail/A 5009-2019.docx", "A 5009-2019")</f>
        <v/>
      </c>
      <c r="X98">
        <f>HYPERLINK("https://klasma.github.io/Logging_SKELLEFTEA/tillsyn/A 5009-2019.docx", "A 5009-2019")</f>
        <v/>
      </c>
      <c r="Y98">
        <f>HYPERLINK("https://klasma.github.io/Logging_SKELLEFTEA/tillsynsmail/A 5009-2019.docx", "A 5009-2019")</f>
        <v/>
      </c>
    </row>
    <row r="99" ht="15" customHeight="1">
      <c r="A99" t="inlineStr">
        <is>
          <t>A 20465-2019</t>
        </is>
      </c>
      <c r="B99" s="1" t="n">
        <v>43572</v>
      </c>
      <c r="C99" s="1" t="n">
        <v>45192</v>
      </c>
      <c r="D99" t="inlineStr">
        <is>
          <t>VÄSTERBOTTENS LÄN</t>
        </is>
      </c>
      <c r="E99" t="inlineStr">
        <is>
          <t>SKELLEFTEÅ</t>
        </is>
      </c>
      <c r="G99" t="n">
        <v>2.1</v>
      </c>
      <c r="H99" t="n">
        <v>0</v>
      </c>
      <c r="I99" t="n">
        <v>0</v>
      </c>
      <c r="J99" t="n">
        <v>1</v>
      </c>
      <c r="K99" t="n">
        <v>0</v>
      </c>
      <c r="L99" t="n">
        <v>0</v>
      </c>
      <c r="M99" t="n">
        <v>0</v>
      </c>
      <c r="N99" t="n">
        <v>0</v>
      </c>
      <c r="O99" t="n">
        <v>1</v>
      </c>
      <c r="P99" t="n">
        <v>0</v>
      </c>
      <c r="Q99" t="n">
        <v>1</v>
      </c>
      <c r="R99" s="2" t="inlineStr">
        <is>
          <t>Violettgrå tagellav</t>
        </is>
      </c>
      <c r="S99">
        <f>HYPERLINK("https://klasma.github.io/Logging_SKELLEFTEA/artfynd/A 20465-2019.xlsx", "A 20465-2019")</f>
        <v/>
      </c>
      <c r="T99">
        <f>HYPERLINK("https://klasma.github.io/Logging_SKELLEFTEA/kartor/A 20465-2019.png", "A 20465-2019")</f>
        <v/>
      </c>
      <c r="V99">
        <f>HYPERLINK("https://klasma.github.io/Logging_SKELLEFTEA/klagomål/A 20465-2019.docx", "A 20465-2019")</f>
        <v/>
      </c>
      <c r="W99">
        <f>HYPERLINK("https://klasma.github.io/Logging_SKELLEFTEA/klagomålsmail/A 20465-2019.docx", "A 20465-2019")</f>
        <v/>
      </c>
      <c r="X99">
        <f>HYPERLINK("https://klasma.github.io/Logging_SKELLEFTEA/tillsyn/A 20465-2019.docx", "A 20465-2019")</f>
        <v/>
      </c>
      <c r="Y99">
        <f>HYPERLINK("https://klasma.github.io/Logging_SKELLEFTEA/tillsynsmail/A 20465-2019.docx", "A 20465-2019")</f>
        <v/>
      </c>
    </row>
    <row r="100" ht="15" customHeight="1">
      <c r="A100" t="inlineStr">
        <is>
          <t>A 25651-2019</t>
        </is>
      </c>
      <c r="B100" s="1" t="n">
        <v>43602</v>
      </c>
      <c r="C100" s="1" t="n">
        <v>45192</v>
      </c>
      <c r="D100" t="inlineStr">
        <is>
          <t>VÄSTERBOTTENS LÄN</t>
        </is>
      </c>
      <c r="E100" t="inlineStr">
        <is>
          <t>SKELLEFTEÅ</t>
        </is>
      </c>
      <c r="G100" t="n">
        <v>16.9</v>
      </c>
      <c r="H100" t="n">
        <v>1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1</v>
      </c>
      <c r="R100" s="2" t="inlineStr">
        <is>
          <t>Fläcknycklar</t>
        </is>
      </c>
      <c r="S100">
        <f>HYPERLINK("https://klasma.github.io/Logging_SKELLEFTEA/artfynd/A 25651-2019.xlsx", "A 25651-2019")</f>
        <v/>
      </c>
      <c r="T100">
        <f>HYPERLINK("https://klasma.github.io/Logging_SKELLEFTEA/kartor/A 25651-2019.png", "A 25651-2019")</f>
        <v/>
      </c>
      <c r="V100">
        <f>HYPERLINK("https://klasma.github.io/Logging_SKELLEFTEA/klagomål/A 25651-2019.docx", "A 25651-2019")</f>
        <v/>
      </c>
      <c r="W100">
        <f>HYPERLINK("https://klasma.github.io/Logging_SKELLEFTEA/klagomålsmail/A 25651-2019.docx", "A 25651-2019")</f>
        <v/>
      </c>
      <c r="X100">
        <f>HYPERLINK("https://klasma.github.io/Logging_SKELLEFTEA/tillsyn/A 25651-2019.docx", "A 25651-2019")</f>
        <v/>
      </c>
      <c r="Y100">
        <f>HYPERLINK("https://klasma.github.io/Logging_SKELLEFTEA/tillsynsmail/A 25651-2019.docx", "A 25651-2019")</f>
        <v/>
      </c>
    </row>
    <row r="101" ht="15" customHeight="1">
      <c r="A101" t="inlineStr">
        <is>
          <t>A 51461-2019</t>
        </is>
      </c>
      <c r="B101" s="1" t="n">
        <v>43740</v>
      </c>
      <c r="C101" s="1" t="n">
        <v>45192</v>
      </c>
      <c r="D101" t="inlineStr">
        <is>
          <t>VÄSTERBOTTENS LÄN</t>
        </is>
      </c>
      <c r="E101" t="inlineStr">
        <is>
          <t>SKELLEFTEÅ</t>
        </is>
      </c>
      <c r="F101" t="inlineStr">
        <is>
          <t>Sveaskog</t>
        </is>
      </c>
      <c r="G101" t="n">
        <v>12.2</v>
      </c>
      <c r="H101" t="n">
        <v>0</v>
      </c>
      <c r="I101" t="n">
        <v>0</v>
      </c>
      <c r="J101" t="n">
        <v>0</v>
      </c>
      <c r="K101" t="n">
        <v>0</v>
      </c>
      <c r="L101" t="n">
        <v>1</v>
      </c>
      <c r="M101" t="n">
        <v>0</v>
      </c>
      <c r="N101" t="n">
        <v>0</v>
      </c>
      <c r="O101" t="n">
        <v>1</v>
      </c>
      <c r="P101" t="n">
        <v>1</v>
      </c>
      <c r="Q101" t="n">
        <v>1</v>
      </c>
      <c r="R101" s="2" t="inlineStr">
        <is>
          <t>Flodpärlmussla</t>
        </is>
      </c>
      <c r="S101">
        <f>HYPERLINK("https://klasma.github.io/Logging_SKELLEFTEA/artfynd/A 51461-2019.xlsx", "A 51461-2019")</f>
        <v/>
      </c>
      <c r="T101">
        <f>HYPERLINK("https://klasma.github.io/Logging_SKELLEFTEA/kartor/A 51461-2019.png", "A 51461-2019")</f>
        <v/>
      </c>
      <c r="V101">
        <f>HYPERLINK("https://klasma.github.io/Logging_SKELLEFTEA/klagomål/A 51461-2019.docx", "A 51461-2019")</f>
        <v/>
      </c>
      <c r="W101">
        <f>HYPERLINK("https://klasma.github.io/Logging_SKELLEFTEA/klagomålsmail/A 51461-2019.docx", "A 51461-2019")</f>
        <v/>
      </c>
      <c r="X101">
        <f>HYPERLINK("https://klasma.github.io/Logging_SKELLEFTEA/tillsyn/A 51461-2019.docx", "A 51461-2019")</f>
        <v/>
      </c>
      <c r="Y101">
        <f>HYPERLINK("https://klasma.github.io/Logging_SKELLEFTEA/tillsynsmail/A 51461-2019.docx", "A 51461-2019")</f>
        <v/>
      </c>
    </row>
    <row r="102" ht="15" customHeight="1">
      <c r="A102" t="inlineStr">
        <is>
          <t>A 55341-2019</t>
        </is>
      </c>
      <c r="B102" s="1" t="n">
        <v>43756</v>
      </c>
      <c r="C102" s="1" t="n">
        <v>45192</v>
      </c>
      <c r="D102" t="inlineStr">
        <is>
          <t>VÄSTERBOTTENS LÄN</t>
        </is>
      </c>
      <c r="E102" t="inlineStr">
        <is>
          <t>SKELLEFTEÅ</t>
        </is>
      </c>
      <c r="F102" t="inlineStr">
        <is>
          <t>Sveaskog</t>
        </is>
      </c>
      <c r="G102" t="n">
        <v>8.5</v>
      </c>
      <c r="H102" t="n">
        <v>0</v>
      </c>
      <c r="I102" t="n">
        <v>1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1</v>
      </c>
      <c r="R102" s="2" t="inlineStr">
        <is>
          <t>Skinnlav</t>
        </is>
      </c>
      <c r="S102">
        <f>HYPERLINK("https://klasma.github.io/Logging_SKELLEFTEA/artfynd/A 55341-2019.xlsx", "A 55341-2019")</f>
        <v/>
      </c>
      <c r="T102">
        <f>HYPERLINK("https://klasma.github.io/Logging_SKELLEFTEA/kartor/A 55341-2019.png", "A 55341-2019")</f>
        <v/>
      </c>
      <c r="V102">
        <f>HYPERLINK("https://klasma.github.io/Logging_SKELLEFTEA/klagomål/A 55341-2019.docx", "A 55341-2019")</f>
        <v/>
      </c>
      <c r="W102">
        <f>HYPERLINK("https://klasma.github.io/Logging_SKELLEFTEA/klagomålsmail/A 55341-2019.docx", "A 55341-2019")</f>
        <v/>
      </c>
      <c r="X102">
        <f>HYPERLINK("https://klasma.github.io/Logging_SKELLEFTEA/tillsyn/A 55341-2019.docx", "A 55341-2019")</f>
        <v/>
      </c>
      <c r="Y102">
        <f>HYPERLINK("https://klasma.github.io/Logging_SKELLEFTEA/tillsynsmail/A 55341-2019.docx", "A 55341-2019")</f>
        <v/>
      </c>
    </row>
    <row r="103" ht="15" customHeight="1">
      <c r="A103" t="inlineStr">
        <is>
          <t>A 63709-2019</t>
        </is>
      </c>
      <c r="B103" s="1" t="n">
        <v>43795</v>
      </c>
      <c r="C103" s="1" t="n">
        <v>45192</v>
      </c>
      <c r="D103" t="inlineStr">
        <is>
          <t>VÄSTERBOTTENS LÄN</t>
        </is>
      </c>
      <c r="E103" t="inlineStr">
        <is>
          <t>SKELLEFTEÅ</t>
        </is>
      </c>
      <c r="F103" t="inlineStr">
        <is>
          <t>Sveaskog</t>
        </is>
      </c>
      <c r="G103" t="n">
        <v>39.7</v>
      </c>
      <c r="H103" t="n">
        <v>1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1</v>
      </c>
      <c r="R103" s="2" t="inlineStr">
        <is>
          <t>Fläcknycklar</t>
        </is>
      </c>
      <c r="S103">
        <f>HYPERLINK("https://klasma.github.io/Logging_SKELLEFTEA/artfynd/A 63709-2019.xlsx", "A 63709-2019")</f>
        <v/>
      </c>
      <c r="T103">
        <f>HYPERLINK("https://klasma.github.io/Logging_SKELLEFTEA/kartor/A 63709-2019.png", "A 63709-2019")</f>
        <v/>
      </c>
      <c r="V103">
        <f>HYPERLINK("https://klasma.github.io/Logging_SKELLEFTEA/klagomål/A 63709-2019.docx", "A 63709-2019")</f>
        <v/>
      </c>
      <c r="W103">
        <f>HYPERLINK("https://klasma.github.io/Logging_SKELLEFTEA/klagomålsmail/A 63709-2019.docx", "A 63709-2019")</f>
        <v/>
      </c>
      <c r="X103">
        <f>HYPERLINK("https://klasma.github.io/Logging_SKELLEFTEA/tillsyn/A 63709-2019.docx", "A 63709-2019")</f>
        <v/>
      </c>
      <c r="Y103">
        <f>HYPERLINK("https://klasma.github.io/Logging_SKELLEFTEA/tillsynsmail/A 63709-2019.docx", "A 63709-2019")</f>
        <v/>
      </c>
    </row>
    <row r="104" ht="15" customHeight="1">
      <c r="A104" t="inlineStr">
        <is>
          <t>A 4765-2020</t>
        </is>
      </c>
      <c r="B104" s="1" t="n">
        <v>43850</v>
      </c>
      <c r="C104" s="1" t="n">
        <v>45192</v>
      </c>
      <c r="D104" t="inlineStr">
        <is>
          <t>VÄSTERBOTTENS LÄN</t>
        </is>
      </c>
      <c r="E104" t="inlineStr">
        <is>
          <t>SKELLEFTEÅ</t>
        </is>
      </c>
      <c r="G104" t="n">
        <v>2.5</v>
      </c>
      <c r="H104" t="n">
        <v>1</v>
      </c>
      <c r="I104" t="n">
        <v>1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1</v>
      </c>
      <c r="R104" s="2" t="inlineStr">
        <is>
          <t>Plattlummer</t>
        </is>
      </c>
      <c r="S104">
        <f>HYPERLINK("https://klasma.github.io/Logging_SKELLEFTEA/artfynd/A 4765-2020.xlsx", "A 4765-2020")</f>
        <v/>
      </c>
      <c r="T104">
        <f>HYPERLINK("https://klasma.github.io/Logging_SKELLEFTEA/kartor/A 4765-2020.png", "A 4765-2020")</f>
        <v/>
      </c>
      <c r="V104">
        <f>HYPERLINK("https://klasma.github.io/Logging_SKELLEFTEA/klagomål/A 4765-2020.docx", "A 4765-2020")</f>
        <v/>
      </c>
      <c r="W104">
        <f>HYPERLINK("https://klasma.github.io/Logging_SKELLEFTEA/klagomålsmail/A 4765-2020.docx", "A 4765-2020")</f>
        <v/>
      </c>
      <c r="X104">
        <f>HYPERLINK("https://klasma.github.io/Logging_SKELLEFTEA/tillsyn/A 4765-2020.docx", "A 4765-2020")</f>
        <v/>
      </c>
      <c r="Y104">
        <f>HYPERLINK("https://klasma.github.io/Logging_SKELLEFTEA/tillsynsmail/A 4765-2020.docx", "A 4765-2020")</f>
        <v/>
      </c>
    </row>
    <row r="105" ht="15" customHeight="1">
      <c r="A105" t="inlineStr">
        <is>
          <t>A 30604-2020</t>
        </is>
      </c>
      <c r="B105" s="1" t="n">
        <v>44008</v>
      </c>
      <c r="C105" s="1" t="n">
        <v>45192</v>
      </c>
      <c r="D105" t="inlineStr">
        <is>
          <t>VÄSTERBOTTENS LÄN</t>
        </is>
      </c>
      <c r="E105" t="inlineStr">
        <is>
          <t>SKELLEFTEÅ</t>
        </is>
      </c>
      <c r="G105" t="n">
        <v>17.9</v>
      </c>
      <c r="H105" t="n">
        <v>0</v>
      </c>
      <c r="I105" t="n">
        <v>0</v>
      </c>
      <c r="J105" t="n">
        <v>1</v>
      </c>
      <c r="K105" t="n">
        <v>0</v>
      </c>
      <c r="L105" t="n">
        <v>0</v>
      </c>
      <c r="M105" t="n">
        <v>0</v>
      </c>
      <c r="N105" t="n">
        <v>0</v>
      </c>
      <c r="O105" t="n">
        <v>1</v>
      </c>
      <c r="P105" t="n">
        <v>0</v>
      </c>
      <c r="Q105" t="n">
        <v>1</v>
      </c>
      <c r="R105" s="2" t="inlineStr">
        <is>
          <t>Lunglav</t>
        </is>
      </c>
      <c r="S105">
        <f>HYPERLINK("https://klasma.github.io/Logging_SKELLEFTEA/artfynd/A 30604-2020.xlsx", "A 30604-2020")</f>
        <v/>
      </c>
      <c r="T105">
        <f>HYPERLINK("https://klasma.github.io/Logging_SKELLEFTEA/kartor/A 30604-2020.png", "A 30604-2020")</f>
        <v/>
      </c>
      <c r="V105">
        <f>HYPERLINK("https://klasma.github.io/Logging_SKELLEFTEA/klagomål/A 30604-2020.docx", "A 30604-2020")</f>
        <v/>
      </c>
      <c r="W105">
        <f>HYPERLINK("https://klasma.github.io/Logging_SKELLEFTEA/klagomålsmail/A 30604-2020.docx", "A 30604-2020")</f>
        <v/>
      </c>
      <c r="X105">
        <f>HYPERLINK("https://klasma.github.io/Logging_SKELLEFTEA/tillsyn/A 30604-2020.docx", "A 30604-2020")</f>
        <v/>
      </c>
      <c r="Y105">
        <f>HYPERLINK("https://klasma.github.io/Logging_SKELLEFTEA/tillsynsmail/A 30604-2020.docx", "A 30604-2020")</f>
        <v/>
      </c>
    </row>
    <row r="106" ht="15" customHeight="1">
      <c r="A106" t="inlineStr">
        <is>
          <t>A 43180-2020</t>
        </is>
      </c>
      <c r="B106" s="1" t="n">
        <v>44076</v>
      </c>
      <c r="C106" s="1" t="n">
        <v>45192</v>
      </c>
      <c r="D106" t="inlineStr">
        <is>
          <t>VÄSTERBOTTENS LÄN</t>
        </is>
      </c>
      <c r="E106" t="inlineStr">
        <is>
          <t>SKELLEFTEÅ</t>
        </is>
      </c>
      <c r="G106" t="n">
        <v>0.6</v>
      </c>
      <c r="H106" t="n">
        <v>0</v>
      </c>
      <c r="I106" t="n">
        <v>0</v>
      </c>
      <c r="J106" t="n">
        <v>1</v>
      </c>
      <c r="K106" t="n">
        <v>0</v>
      </c>
      <c r="L106" t="n">
        <v>0</v>
      </c>
      <c r="M106" t="n">
        <v>0</v>
      </c>
      <c r="N106" t="n">
        <v>0</v>
      </c>
      <c r="O106" t="n">
        <v>1</v>
      </c>
      <c r="P106" t="n">
        <v>0</v>
      </c>
      <c r="Q106" t="n">
        <v>1</v>
      </c>
      <c r="R106" s="2" t="inlineStr">
        <is>
          <t>Garnlav</t>
        </is>
      </c>
      <c r="S106">
        <f>HYPERLINK("https://klasma.github.io/Logging_SKELLEFTEA/artfynd/A 43180-2020.xlsx", "A 43180-2020")</f>
        <v/>
      </c>
      <c r="T106">
        <f>HYPERLINK("https://klasma.github.io/Logging_SKELLEFTEA/kartor/A 43180-2020.png", "A 43180-2020")</f>
        <v/>
      </c>
      <c r="V106">
        <f>HYPERLINK("https://klasma.github.io/Logging_SKELLEFTEA/klagomål/A 43180-2020.docx", "A 43180-2020")</f>
        <v/>
      </c>
      <c r="W106">
        <f>HYPERLINK("https://klasma.github.io/Logging_SKELLEFTEA/klagomålsmail/A 43180-2020.docx", "A 43180-2020")</f>
        <v/>
      </c>
      <c r="X106">
        <f>HYPERLINK("https://klasma.github.io/Logging_SKELLEFTEA/tillsyn/A 43180-2020.docx", "A 43180-2020")</f>
        <v/>
      </c>
      <c r="Y106">
        <f>HYPERLINK("https://klasma.github.io/Logging_SKELLEFTEA/tillsynsmail/A 43180-2020.docx", "A 43180-2020")</f>
        <v/>
      </c>
    </row>
    <row r="107" ht="15" customHeight="1">
      <c r="A107" t="inlineStr">
        <is>
          <t>A 43303-2020</t>
        </is>
      </c>
      <c r="B107" s="1" t="n">
        <v>44081</v>
      </c>
      <c r="C107" s="1" t="n">
        <v>45192</v>
      </c>
      <c r="D107" t="inlineStr">
        <is>
          <t>VÄSTERBOTTENS LÄN</t>
        </is>
      </c>
      <c r="E107" t="inlineStr">
        <is>
          <t>SKELLEFTEÅ</t>
        </is>
      </c>
      <c r="F107" t="inlineStr">
        <is>
          <t>Sveaskog</t>
        </is>
      </c>
      <c r="G107" t="n">
        <v>2.8</v>
      </c>
      <c r="H107" t="n">
        <v>0</v>
      </c>
      <c r="I107" t="n">
        <v>1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1</v>
      </c>
      <c r="R107" s="2" t="inlineStr">
        <is>
          <t>Stuplav</t>
        </is>
      </c>
      <c r="S107">
        <f>HYPERLINK("https://klasma.github.io/Logging_SKELLEFTEA/artfynd/A 43303-2020.xlsx", "A 43303-2020")</f>
        <v/>
      </c>
      <c r="T107">
        <f>HYPERLINK("https://klasma.github.io/Logging_SKELLEFTEA/kartor/A 43303-2020.png", "A 43303-2020")</f>
        <v/>
      </c>
      <c r="V107">
        <f>HYPERLINK("https://klasma.github.io/Logging_SKELLEFTEA/klagomål/A 43303-2020.docx", "A 43303-2020")</f>
        <v/>
      </c>
      <c r="W107">
        <f>HYPERLINK("https://klasma.github.io/Logging_SKELLEFTEA/klagomålsmail/A 43303-2020.docx", "A 43303-2020")</f>
        <v/>
      </c>
      <c r="X107">
        <f>HYPERLINK("https://klasma.github.io/Logging_SKELLEFTEA/tillsyn/A 43303-2020.docx", "A 43303-2020")</f>
        <v/>
      </c>
      <c r="Y107">
        <f>HYPERLINK("https://klasma.github.io/Logging_SKELLEFTEA/tillsynsmail/A 43303-2020.docx", "A 43303-2020")</f>
        <v/>
      </c>
    </row>
    <row r="108" ht="15" customHeight="1">
      <c r="A108" t="inlineStr">
        <is>
          <t>A 43297-2020</t>
        </is>
      </c>
      <c r="B108" s="1" t="n">
        <v>44081</v>
      </c>
      <c r="C108" s="1" t="n">
        <v>45192</v>
      </c>
      <c r="D108" t="inlineStr">
        <is>
          <t>VÄSTERBOTTENS LÄN</t>
        </is>
      </c>
      <c r="E108" t="inlineStr">
        <is>
          <t>SKELLEFTEÅ</t>
        </is>
      </c>
      <c r="F108" t="inlineStr">
        <is>
          <t>Sveaskog</t>
        </is>
      </c>
      <c r="G108" t="n">
        <v>6</v>
      </c>
      <c r="H108" t="n">
        <v>0</v>
      </c>
      <c r="I108" t="n">
        <v>1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1</v>
      </c>
      <c r="R108" s="2" t="inlineStr">
        <is>
          <t>Vedticka</t>
        </is>
      </c>
      <c r="S108">
        <f>HYPERLINK("https://klasma.github.io/Logging_SKELLEFTEA/artfynd/A 43297-2020.xlsx", "A 43297-2020")</f>
        <v/>
      </c>
      <c r="T108">
        <f>HYPERLINK("https://klasma.github.io/Logging_SKELLEFTEA/kartor/A 43297-2020.png", "A 43297-2020")</f>
        <v/>
      </c>
      <c r="V108">
        <f>HYPERLINK("https://klasma.github.io/Logging_SKELLEFTEA/klagomål/A 43297-2020.docx", "A 43297-2020")</f>
        <v/>
      </c>
      <c r="W108">
        <f>HYPERLINK("https://klasma.github.io/Logging_SKELLEFTEA/klagomålsmail/A 43297-2020.docx", "A 43297-2020")</f>
        <v/>
      </c>
      <c r="X108">
        <f>HYPERLINK("https://klasma.github.io/Logging_SKELLEFTEA/tillsyn/A 43297-2020.docx", "A 43297-2020")</f>
        <v/>
      </c>
      <c r="Y108">
        <f>HYPERLINK("https://klasma.github.io/Logging_SKELLEFTEA/tillsynsmail/A 43297-2020.docx", "A 43297-2020")</f>
        <v/>
      </c>
    </row>
    <row r="109" ht="15" customHeight="1">
      <c r="A109" t="inlineStr">
        <is>
          <t>A 55810-2020</t>
        </is>
      </c>
      <c r="B109" s="1" t="n">
        <v>44132</v>
      </c>
      <c r="C109" s="1" t="n">
        <v>45192</v>
      </c>
      <c r="D109" t="inlineStr">
        <is>
          <t>VÄSTERBOTTENS LÄN</t>
        </is>
      </c>
      <c r="E109" t="inlineStr">
        <is>
          <t>SKELLEFTEÅ</t>
        </is>
      </c>
      <c r="F109" t="inlineStr">
        <is>
          <t>Sveaskog</t>
        </is>
      </c>
      <c r="G109" t="n">
        <v>20.1</v>
      </c>
      <c r="H109" t="n">
        <v>1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1</v>
      </c>
      <c r="R109" s="2" t="inlineStr">
        <is>
          <t>Fläcknycklar</t>
        </is>
      </c>
      <c r="S109">
        <f>HYPERLINK("https://klasma.github.io/Logging_SKELLEFTEA/artfynd/A 55810-2020.xlsx", "A 55810-2020")</f>
        <v/>
      </c>
      <c r="T109">
        <f>HYPERLINK("https://klasma.github.io/Logging_SKELLEFTEA/kartor/A 55810-2020.png", "A 55810-2020")</f>
        <v/>
      </c>
      <c r="V109">
        <f>HYPERLINK("https://klasma.github.io/Logging_SKELLEFTEA/klagomål/A 55810-2020.docx", "A 55810-2020")</f>
        <v/>
      </c>
      <c r="W109">
        <f>HYPERLINK("https://klasma.github.io/Logging_SKELLEFTEA/klagomålsmail/A 55810-2020.docx", "A 55810-2020")</f>
        <v/>
      </c>
      <c r="X109">
        <f>HYPERLINK("https://klasma.github.io/Logging_SKELLEFTEA/tillsyn/A 55810-2020.docx", "A 55810-2020")</f>
        <v/>
      </c>
      <c r="Y109">
        <f>HYPERLINK("https://klasma.github.io/Logging_SKELLEFTEA/tillsynsmail/A 55810-2020.docx", "A 55810-2020")</f>
        <v/>
      </c>
    </row>
    <row r="110" ht="15" customHeight="1">
      <c r="A110" t="inlineStr">
        <is>
          <t>A 35625-2021</t>
        </is>
      </c>
      <c r="B110" s="1" t="n">
        <v>44386</v>
      </c>
      <c r="C110" s="1" t="n">
        <v>45192</v>
      </c>
      <c r="D110" t="inlineStr">
        <is>
          <t>VÄSTERBOTTENS LÄN</t>
        </is>
      </c>
      <c r="E110" t="inlineStr">
        <is>
          <t>SKELLEFTEÅ</t>
        </is>
      </c>
      <c r="F110" t="inlineStr">
        <is>
          <t>Holmen skog AB</t>
        </is>
      </c>
      <c r="G110" t="n">
        <v>3.5</v>
      </c>
      <c r="H110" t="n">
        <v>0</v>
      </c>
      <c r="I110" t="n">
        <v>1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1</v>
      </c>
      <c r="R110" s="2" t="inlineStr">
        <is>
          <t>Vedticka</t>
        </is>
      </c>
      <c r="S110">
        <f>HYPERLINK("https://klasma.github.io/Logging_SKELLEFTEA/artfynd/A 35625-2021.xlsx", "A 35625-2021")</f>
        <v/>
      </c>
      <c r="T110">
        <f>HYPERLINK("https://klasma.github.io/Logging_SKELLEFTEA/kartor/A 35625-2021.png", "A 35625-2021")</f>
        <v/>
      </c>
      <c r="V110">
        <f>HYPERLINK("https://klasma.github.io/Logging_SKELLEFTEA/klagomål/A 35625-2021.docx", "A 35625-2021")</f>
        <v/>
      </c>
      <c r="W110">
        <f>HYPERLINK("https://klasma.github.io/Logging_SKELLEFTEA/klagomålsmail/A 35625-2021.docx", "A 35625-2021")</f>
        <v/>
      </c>
      <c r="X110">
        <f>HYPERLINK("https://klasma.github.io/Logging_SKELLEFTEA/tillsyn/A 35625-2021.docx", "A 35625-2021")</f>
        <v/>
      </c>
      <c r="Y110">
        <f>HYPERLINK("https://klasma.github.io/Logging_SKELLEFTEA/tillsynsmail/A 35625-2021.docx", "A 35625-2021")</f>
        <v/>
      </c>
    </row>
    <row r="111" ht="15" customHeight="1">
      <c r="A111" t="inlineStr">
        <is>
          <t>A 39946-2021</t>
        </is>
      </c>
      <c r="B111" s="1" t="n">
        <v>44417</v>
      </c>
      <c r="C111" s="1" t="n">
        <v>45192</v>
      </c>
      <c r="D111" t="inlineStr">
        <is>
          <t>VÄSTERBOTTENS LÄN</t>
        </is>
      </c>
      <c r="E111" t="inlineStr">
        <is>
          <t>SKELLEFTEÅ</t>
        </is>
      </c>
      <c r="F111" t="inlineStr">
        <is>
          <t>SCA</t>
        </is>
      </c>
      <c r="G111" t="n">
        <v>3.4</v>
      </c>
      <c r="H111" t="n">
        <v>1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1</v>
      </c>
      <c r="R111" s="2" t="inlineStr">
        <is>
          <t>Fläcknycklar</t>
        </is>
      </c>
      <c r="S111">
        <f>HYPERLINK("https://klasma.github.io/Logging_SKELLEFTEA/artfynd/A 39946-2021.xlsx", "A 39946-2021")</f>
        <v/>
      </c>
      <c r="T111">
        <f>HYPERLINK("https://klasma.github.io/Logging_SKELLEFTEA/kartor/A 39946-2021.png", "A 39946-2021")</f>
        <v/>
      </c>
      <c r="V111">
        <f>HYPERLINK("https://klasma.github.io/Logging_SKELLEFTEA/klagomål/A 39946-2021.docx", "A 39946-2021")</f>
        <v/>
      </c>
      <c r="W111">
        <f>HYPERLINK("https://klasma.github.io/Logging_SKELLEFTEA/klagomålsmail/A 39946-2021.docx", "A 39946-2021")</f>
        <v/>
      </c>
      <c r="X111">
        <f>HYPERLINK("https://klasma.github.io/Logging_SKELLEFTEA/tillsyn/A 39946-2021.docx", "A 39946-2021")</f>
        <v/>
      </c>
      <c r="Y111">
        <f>HYPERLINK("https://klasma.github.io/Logging_SKELLEFTEA/tillsynsmail/A 39946-2021.docx", "A 39946-2021")</f>
        <v/>
      </c>
    </row>
    <row r="112" ht="15" customHeight="1">
      <c r="A112" t="inlineStr">
        <is>
          <t>A 57738-2021</t>
        </is>
      </c>
      <c r="B112" s="1" t="n">
        <v>44484</v>
      </c>
      <c r="C112" s="1" t="n">
        <v>45192</v>
      </c>
      <c r="D112" t="inlineStr">
        <is>
          <t>VÄSTERBOTTENS LÄN</t>
        </is>
      </c>
      <c r="E112" t="inlineStr">
        <is>
          <t>SKELLEFTEÅ</t>
        </is>
      </c>
      <c r="G112" t="n">
        <v>11.4</v>
      </c>
      <c r="H112" t="n">
        <v>0</v>
      </c>
      <c r="I112" t="n">
        <v>0</v>
      </c>
      <c r="J112" t="n">
        <v>1</v>
      </c>
      <c r="K112" t="n">
        <v>0</v>
      </c>
      <c r="L112" t="n">
        <v>0</v>
      </c>
      <c r="M112" t="n">
        <v>0</v>
      </c>
      <c r="N112" t="n">
        <v>0</v>
      </c>
      <c r="O112" t="n">
        <v>1</v>
      </c>
      <c r="P112" t="n">
        <v>0</v>
      </c>
      <c r="Q112" t="n">
        <v>1</v>
      </c>
      <c r="R112" s="2" t="inlineStr">
        <is>
          <t>Doftskinn</t>
        </is>
      </c>
      <c r="S112">
        <f>HYPERLINK("https://klasma.github.io/Logging_SKELLEFTEA/artfynd/A 57738-2021.xlsx", "A 57738-2021")</f>
        <v/>
      </c>
      <c r="T112">
        <f>HYPERLINK("https://klasma.github.io/Logging_SKELLEFTEA/kartor/A 57738-2021.png", "A 57738-2021")</f>
        <v/>
      </c>
      <c r="V112">
        <f>HYPERLINK("https://klasma.github.io/Logging_SKELLEFTEA/klagomål/A 57738-2021.docx", "A 57738-2021")</f>
        <v/>
      </c>
      <c r="W112">
        <f>HYPERLINK("https://klasma.github.io/Logging_SKELLEFTEA/klagomålsmail/A 57738-2021.docx", "A 57738-2021")</f>
        <v/>
      </c>
      <c r="X112">
        <f>HYPERLINK("https://klasma.github.io/Logging_SKELLEFTEA/tillsyn/A 57738-2021.docx", "A 57738-2021")</f>
        <v/>
      </c>
      <c r="Y112">
        <f>HYPERLINK("https://klasma.github.io/Logging_SKELLEFTEA/tillsynsmail/A 57738-2021.docx", "A 57738-2021")</f>
        <v/>
      </c>
    </row>
    <row r="113" ht="15" customHeight="1">
      <c r="A113" t="inlineStr">
        <is>
          <t>A 58766-2021</t>
        </is>
      </c>
      <c r="B113" s="1" t="n">
        <v>44489</v>
      </c>
      <c r="C113" s="1" t="n">
        <v>45192</v>
      </c>
      <c r="D113" t="inlineStr">
        <is>
          <t>VÄSTERBOTTENS LÄN</t>
        </is>
      </c>
      <c r="E113" t="inlineStr">
        <is>
          <t>SKELLEFTEÅ</t>
        </is>
      </c>
      <c r="G113" t="n">
        <v>5.5</v>
      </c>
      <c r="H113" t="n">
        <v>0</v>
      </c>
      <c r="I113" t="n">
        <v>0</v>
      </c>
      <c r="J113" t="n">
        <v>1</v>
      </c>
      <c r="K113" t="n">
        <v>0</v>
      </c>
      <c r="L113" t="n">
        <v>0</v>
      </c>
      <c r="M113" t="n">
        <v>0</v>
      </c>
      <c r="N113" t="n">
        <v>0</v>
      </c>
      <c r="O113" t="n">
        <v>1</v>
      </c>
      <c r="P113" t="n">
        <v>0</v>
      </c>
      <c r="Q113" t="n">
        <v>1</v>
      </c>
      <c r="R113" s="2" t="inlineStr">
        <is>
          <t>Stjärntagging</t>
        </is>
      </c>
      <c r="S113">
        <f>HYPERLINK("https://klasma.github.io/Logging_SKELLEFTEA/artfynd/A 58766-2021.xlsx", "A 58766-2021")</f>
        <v/>
      </c>
      <c r="T113">
        <f>HYPERLINK("https://klasma.github.io/Logging_SKELLEFTEA/kartor/A 58766-2021.png", "A 58766-2021")</f>
        <v/>
      </c>
      <c r="V113">
        <f>HYPERLINK("https://klasma.github.io/Logging_SKELLEFTEA/klagomål/A 58766-2021.docx", "A 58766-2021")</f>
        <v/>
      </c>
      <c r="W113">
        <f>HYPERLINK("https://klasma.github.io/Logging_SKELLEFTEA/klagomålsmail/A 58766-2021.docx", "A 58766-2021")</f>
        <v/>
      </c>
      <c r="X113">
        <f>HYPERLINK("https://klasma.github.io/Logging_SKELLEFTEA/tillsyn/A 58766-2021.docx", "A 58766-2021")</f>
        <v/>
      </c>
      <c r="Y113">
        <f>HYPERLINK("https://klasma.github.io/Logging_SKELLEFTEA/tillsynsmail/A 58766-2021.docx", "A 58766-2021")</f>
        <v/>
      </c>
    </row>
    <row r="114" ht="15" customHeight="1">
      <c r="A114" t="inlineStr">
        <is>
          <t>A 61658-2021</t>
        </is>
      </c>
      <c r="B114" s="1" t="n">
        <v>44501</v>
      </c>
      <c r="C114" s="1" t="n">
        <v>45192</v>
      </c>
      <c r="D114" t="inlineStr">
        <is>
          <t>VÄSTERBOTTENS LÄN</t>
        </is>
      </c>
      <c r="E114" t="inlineStr">
        <is>
          <t>SKELLEFTEÅ</t>
        </is>
      </c>
      <c r="F114" t="inlineStr">
        <is>
          <t>Sveaskog</t>
        </is>
      </c>
      <c r="G114" t="n">
        <v>16.3</v>
      </c>
      <c r="H114" t="n">
        <v>1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1</v>
      </c>
      <c r="R114" s="2" t="inlineStr">
        <is>
          <t>Revlummer</t>
        </is>
      </c>
      <c r="S114">
        <f>HYPERLINK("https://klasma.github.io/Logging_SKELLEFTEA/artfynd/A 61658-2021.xlsx", "A 61658-2021")</f>
        <v/>
      </c>
      <c r="T114">
        <f>HYPERLINK("https://klasma.github.io/Logging_SKELLEFTEA/kartor/A 61658-2021.png", "A 61658-2021")</f>
        <v/>
      </c>
      <c r="V114">
        <f>HYPERLINK("https://klasma.github.io/Logging_SKELLEFTEA/klagomål/A 61658-2021.docx", "A 61658-2021")</f>
        <v/>
      </c>
      <c r="W114">
        <f>HYPERLINK("https://klasma.github.io/Logging_SKELLEFTEA/klagomålsmail/A 61658-2021.docx", "A 61658-2021")</f>
        <v/>
      </c>
      <c r="X114">
        <f>HYPERLINK("https://klasma.github.io/Logging_SKELLEFTEA/tillsyn/A 61658-2021.docx", "A 61658-2021")</f>
        <v/>
      </c>
      <c r="Y114">
        <f>HYPERLINK("https://klasma.github.io/Logging_SKELLEFTEA/tillsynsmail/A 61658-2021.docx", "A 61658-2021")</f>
        <v/>
      </c>
    </row>
    <row r="115" ht="15" customHeight="1">
      <c r="A115" t="inlineStr">
        <is>
          <t>A 62436-2021</t>
        </is>
      </c>
      <c r="B115" s="1" t="n">
        <v>44503</v>
      </c>
      <c r="C115" s="1" t="n">
        <v>45192</v>
      </c>
      <c r="D115" t="inlineStr">
        <is>
          <t>VÄSTERBOTTENS LÄN</t>
        </is>
      </c>
      <c r="E115" t="inlineStr">
        <is>
          <t>SKELLEFTEÅ</t>
        </is>
      </c>
      <c r="F115" t="inlineStr">
        <is>
          <t>Holmen skog AB</t>
        </is>
      </c>
      <c r="G115" t="n">
        <v>19.5</v>
      </c>
      <c r="H115" t="n">
        <v>0</v>
      </c>
      <c r="I115" t="n">
        <v>0</v>
      </c>
      <c r="J115" t="n">
        <v>1</v>
      </c>
      <c r="K115" t="n">
        <v>0</v>
      </c>
      <c r="L115" t="n">
        <v>0</v>
      </c>
      <c r="M115" t="n">
        <v>0</v>
      </c>
      <c r="N115" t="n">
        <v>0</v>
      </c>
      <c r="O115" t="n">
        <v>1</v>
      </c>
      <c r="P115" t="n">
        <v>0</v>
      </c>
      <c r="Q115" t="n">
        <v>1</v>
      </c>
      <c r="R115" s="2" t="inlineStr">
        <is>
          <t>Lunglav</t>
        </is>
      </c>
      <c r="S115">
        <f>HYPERLINK("https://klasma.github.io/Logging_SKELLEFTEA/artfynd/A 62436-2021.xlsx", "A 62436-2021")</f>
        <v/>
      </c>
      <c r="T115">
        <f>HYPERLINK("https://klasma.github.io/Logging_SKELLEFTEA/kartor/A 62436-2021.png", "A 62436-2021")</f>
        <v/>
      </c>
      <c r="V115">
        <f>HYPERLINK("https://klasma.github.io/Logging_SKELLEFTEA/klagomål/A 62436-2021.docx", "A 62436-2021")</f>
        <v/>
      </c>
      <c r="W115">
        <f>HYPERLINK("https://klasma.github.io/Logging_SKELLEFTEA/klagomålsmail/A 62436-2021.docx", "A 62436-2021")</f>
        <v/>
      </c>
      <c r="X115">
        <f>HYPERLINK("https://klasma.github.io/Logging_SKELLEFTEA/tillsyn/A 62436-2021.docx", "A 62436-2021")</f>
        <v/>
      </c>
      <c r="Y115">
        <f>HYPERLINK("https://klasma.github.io/Logging_SKELLEFTEA/tillsynsmail/A 62436-2021.docx", "A 62436-2021")</f>
        <v/>
      </c>
    </row>
    <row r="116" ht="15" customHeight="1">
      <c r="A116" t="inlineStr">
        <is>
          <t>A 72939-2021</t>
        </is>
      </c>
      <c r="B116" s="1" t="n">
        <v>44547</v>
      </c>
      <c r="C116" s="1" t="n">
        <v>45192</v>
      </c>
      <c r="D116" t="inlineStr">
        <is>
          <t>VÄSTERBOTTENS LÄN</t>
        </is>
      </c>
      <c r="E116" t="inlineStr">
        <is>
          <t>SKELLEFTEÅ</t>
        </is>
      </c>
      <c r="G116" t="n">
        <v>14.8</v>
      </c>
      <c r="H116" t="n">
        <v>0</v>
      </c>
      <c r="I116" t="n">
        <v>1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1</v>
      </c>
      <c r="R116" s="2" t="inlineStr">
        <is>
          <t>Dropptaggsvamp</t>
        </is>
      </c>
      <c r="S116">
        <f>HYPERLINK("https://klasma.github.io/Logging_SKELLEFTEA/artfynd/A 72939-2021.xlsx", "A 72939-2021")</f>
        <v/>
      </c>
      <c r="T116">
        <f>HYPERLINK("https://klasma.github.io/Logging_SKELLEFTEA/kartor/A 72939-2021.png", "A 72939-2021")</f>
        <v/>
      </c>
      <c r="V116">
        <f>HYPERLINK("https://klasma.github.io/Logging_SKELLEFTEA/klagomål/A 72939-2021.docx", "A 72939-2021")</f>
        <v/>
      </c>
      <c r="W116">
        <f>HYPERLINK("https://klasma.github.io/Logging_SKELLEFTEA/klagomålsmail/A 72939-2021.docx", "A 72939-2021")</f>
        <v/>
      </c>
      <c r="X116">
        <f>HYPERLINK("https://klasma.github.io/Logging_SKELLEFTEA/tillsyn/A 72939-2021.docx", "A 72939-2021")</f>
        <v/>
      </c>
      <c r="Y116">
        <f>HYPERLINK("https://klasma.github.io/Logging_SKELLEFTEA/tillsynsmail/A 72939-2021.docx", "A 72939-2021")</f>
        <v/>
      </c>
    </row>
    <row r="117" ht="15" customHeight="1">
      <c r="A117" t="inlineStr">
        <is>
          <t>A 14277-2022</t>
        </is>
      </c>
      <c r="B117" s="1" t="n">
        <v>44651</v>
      </c>
      <c r="C117" s="1" t="n">
        <v>45192</v>
      </c>
      <c r="D117" t="inlineStr">
        <is>
          <t>VÄSTERBOTTENS LÄN</t>
        </is>
      </c>
      <c r="E117" t="inlineStr">
        <is>
          <t>SKELLEFTEÅ</t>
        </is>
      </c>
      <c r="G117" t="n">
        <v>7.4</v>
      </c>
      <c r="H117" t="n">
        <v>1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1</v>
      </c>
      <c r="R117" s="2" t="inlineStr">
        <is>
          <t>Fläcknycklar</t>
        </is>
      </c>
      <c r="S117">
        <f>HYPERLINK("https://klasma.github.io/Logging_SKELLEFTEA/artfynd/A 14277-2022.xlsx", "A 14277-2022")</f>
        <v/>
      </c>
      <c r="T117">
        <f>HYPERLINK("https://klasma.github.io/Logging_SKELLEFTEA/kartor/A 14277-2022.png", "A 14277-2022")</f>
        <v/>
      </c>
      <c r="V117">
        <f>HYPERLINK("https://klasma.github.io/Logging_SKELLEFTEA/klagomål/A 14277-2022.docx", "A 14277-2022")</f>
        <v/>
      </c>
      <c r="W117">
        <f>HYPERLINK("https://klasma.github.io/Logging_SKELLEFTEA/klagomålsmail/A 14277-2022.docx", "A 14277-2022")</f>
        <v/>
      </c>
      <c r="X117">
        <f>HYPERLINK("https://klasma.github.io/Logging_SKELLEFTEA/tillsyn/A 14277-2022.docx", "A 14277-2022")</f>
        <v/>
      </c>
      <c r="Y117">
        <f>HYPERLINK("https://klasma.github.io/Logging_SKELLEFTEA/tillsynsmail/A 14277-2022.docx", "A 14277-2022")</f>
        <v/>
      </c>
    </row>
    <row r="118" ht="15" customHeight="1">
      <c r="A118" t="inlineStr">
        <is>
          <t>A 17336-2022</t>
        </is>
      </c>
      <c r="B118" s="1" t="n">
        <v>44678</v>
      </c>
      <c r="C118" s="1" t="n">
        <v>45192</v>
      </c>
      <c r="D118" t="inlineStr">
        <is>
          <t>VÄSTERBOTTENS LÄN</t>
        </is>
      </c>
      <c r="E118" t="inlineStr">
        <is>
          <t>SKELLEFTEÅ</t>
        </is>
      </c>
      <c r="G118" t="n">
        <v>0.5</v>
      </c>
      <c r="H118" t="n">
        <v>0</v>
      </c>
      <c r="I118" t="n">
        <v>0</v>
      </c>
      <c r="J118" t="n">
        <v>1</v>
      </c>
      <c r="K118" t="n">
        <v>0</v>
      </c>
      <c r="L118" t="n">
        <v>0</v>
      </c>
      <c r="M118" t="n">
        <v>0</v>
      </c>
      <c r="N118" t="n">
        <v>0</v>
      </c>
      <c r="O118" t="n">
        <v>1</v>
      </c>
      <c r="P118" t="n">
        <v>0</v>
      </c>
      <c r="Q118" t="n">
        <v>1</v>
      </c>
      <c r="R118" s="2" t="inlineStr">
        <is>
          <t>Doftskinn</t>
        </is>
      </c>
      <c r="S118">
        <f>HYPERLINK("https://klasma.github.io/Logging_SKELLEFTEA/artfynd/A 17336-2022.xlsx", "A 17336-2022")</f>
        <v/>
      </c>
      <c r="T118">
        <f>HYPERLINK("https://klasma.github.io/Logging_SKELLEFTEA/kartor/A 17336-2022.png", "A 17336-2022")</f>
        <v/>
      </c>
      <c r="V118">
        <f>HYPERLINK("https://klasma.github.io/Logging_SKELLEFTEA/klagomål/A 17336-2022.docx", "A 17336-2022")</f>
        <v/>
      </c>
      <c r="W118">
        <f>HYPERLINK("https://klasma.github.io/Logging_SKELLEFTEA/klagomålsmail/A 17336-2022.docx", "A 17336-2022")</f>
        <v/>
      </c>
      <c r="X118">
        <f>HYPERLINK("https://klasma.github.io/Logging_SKELLEFTEA/tillsyn/A 17336-2022.docx", "A 17336-2022")</f>
        <v/>
      </c>
      <c r="Y118">
        <f>HYPERLINK("https://klasma.github.io/Logging_SKELLEFTEA/tillsynsmail/A 17336-2022.docx", "A 17336-2022")</f>
        <v/>
      </c>
    </row>
    <row r="119" ht="15" customHeight="1">
      <c r="A119" t="inlineStr">
        <is>
          <t>A 24885-2022</t>
        </is>
      </c>
      <c r="B119" s="1" t="n">
        <v>44728</v>
      </c>
      <c r="C119" s="1" t="n">
        <v>45192</v>
      </c>
      <c r="D119" t="inlineStr">
        <is>
          <t>VÄSTERBOTTENS LÄN</t>
        </is>
      </c>
      <c r="E119" t="inlineStr">
        <is>
          <t>SKELLEFTEÅ</t>
        </is>
      </c>
      <c r="F119" t="inlineStr">
        <is>
          <t>Holmen skog AB</t>
        </is>
      </c>
      <c r="G119" t="n">
        <v>2.7</v>
      </c>
      <c r="H119" t="n">
        <v>0</v>
      </c>
      <c r="I119" t="n">
        <v>0</v>
      </c>
      <c r="J119" t="n">
        <v>1</v>
      </c>
      <c r="K119" t="n">
        <v>0</v>
      </c>
      <c r="L119" t="n">
        <v>0</v>
      </c>
      <c r="M119" t="n">
        <v>0</v>
      </c>
      <c r="N119" t="n">
        <v>0</v>
      </c>
      <c r="O119" t="n">
        <v>1</v>
      </c>
      <c r="P119" t="n">
        <v>0</v>
      </c>
      <c r="Q119" t="n">
        <v>1</v>
      </c>
      <c r="R119" s="2" t="inlineStr">
        <is>
          <t>Lunglav</t>
        </is>
      </c>
      <c r="S119">
        <f>HYPERLINK("https://klasma.github.io/Logging_SKELLEFTEA/artfynd/A 24885-2022.xlsx", "A 24885-2022")</f>
        <v/>
      </c>
      <c r="T119">
        <f>HYPERLINK("https://klasma.github.io/Logging_SKELLEFTEA/kartor/A 24885-2022.png", "A 24885-2022")</f>
        <v/>
      </c>
      <c r="V119">
        <f>HYPERLINK("https://klasma.github.io/Logging_SKELLEFTEA/klagomål/A 24885-2022.docx", "A 24885-2022")</f>
        <v/>
      </c>
      <c r="W119">
        <f>HYPERLINK("https://klasma.github.io/Logging_SKELLEFTEA/klagomålsmail/A 24885-2022.docx", "A 24885-2022")</f>
        <v/>
      </c>
      <c r="X119">
        <f>HYPERLINK("https://klasma.github.io/Logging_SKELLEFTEA/tillsyn/A 24885-2022.docx", "A 24885-2022")</f>
        <v/>
      </c>
      <c r="Y119">
        <f>HYPERLINK("https://klasma.github.io/Logging_SKELLEFTEA/tillsynsmail/A 24885-2022.docx", "A 24885-2022")</f>
        <v/>
      </c>
    </row>
    <row r="120" ht="15" customHeight="1">
      <c r="A120" t="inlineStr">
        <is>
          <t>A 36531-2022</t>
        </is>
      </c>
      <c r="B120" s="1" t="n">
        <v>44804</v>
      </c>
      <c r="C120" s="1" t="n">
        <v>45192</v>
      </c>
      <c r="D120" t="inlineStr">
        <is>
          <t>VÄSTERBOTTENS LÄN</t>
        </is>
      </c>
      <c r="E120" t="inlineStr">
        <is>
          <t>SKELLEFTEÅ</t>
        </is>
      </c>
      <c r="F120" t="inlineStr">
        <is>
          <t>Kommuner</t>
        </is>
      </c>
      <c r="G120" t="n">
        <v>3.1</v>
      </c>
      <c r="H120" t="n">
        <v>0</v>
      </c>
      <c r="I120" t="n">
        <v>1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1</v>
      </c>
      <c r="R120" s="2" t="inlineStr">
        <is>
          <t>Dropptaggsvamp</t>
        </is>
      </c>
      <c r="S120">
        <f>HYPERLINK("https://klasma.github.io/Logging_SKELLEFTEA/artfynd/A 36531-2022.xlsx", "A 36531-2022")</f>
        <v/>
      </c>
      <c r="T120">
        <f>HYPERLINK("https://klasma.github.io/Logging_SKELLEFTEA/kartor/A 36531-2022.png", "A 36531-2022")</f>
        <v/>
      </c>
      <c r="V120">
        <f>HYPERLINK("https://klasma.github.io/Logging_SKELLEFTEA/klagomål/A 36531-2022.docx", "A 36531-2022")</f>
        <v/>
      </c>
      <c r="W120">
        <f>HYPERLINK("https://klasma.github.io/Logging_SKELLEFTEA/klagomålsmail/A 36531-2022.docx", "A 36531-2022")</f>
        <v/>
      </c>
      <c r="X120">
        <f>HYPERLINK("https://klasma.github.io/Logging_SKELLEFTEA/tillsyn/A 36531-2022.docx", "A 36531-2022")</f>
        <v/>
      </c>
      <c r="Y120">
        <f>HYPERLINK("https://klasma.github.io/Logging_SKELLEFTEA/tillsynsmail/A 36531-2022.docx", "A 36531-2022")</f>
        <v/>
      </c>
    </row>
    <row r="121" ht="15" customHeight="1">
      <c r="A121" t="inlineStr">
        <is>
          <t>A 42674-2022</t>
        </is>
      </c>
      <c r="B121" s="1" t="n">
        <v>44831</v>
      </c>
      <c r="C121" s="1" t="n">
        <v>45192</v>
      </c>
      <c r="D121" t="inlineStr">
        <is>
          <t>VÄSTERBOTTENS LÄN</t>
        </is>
      </c>
      <c r="E121" t="inlineStr">
        <is>
          <t>SKELLEFTEÅ</t>
        </is>
      </c>
      <c r="G121" t="n">
        <v>4.4</v>
      </c>
      <c r="H121" t="n">
        <v>0</v>
      </c>
      <c r="I121" t="n">
        <v>0</v>
      </c>
      <c r="J121" t="n">
        <v>1</v>
      </c>
      <c r="K121" t="n">
        <v>0</v>
      </c>
      <c r="L121" t="n">
        <v>0</v>
      </c>
      <c r="M121" t="n">
        <v>0</v>
      </c>
      <c r="N121" t="n">
        <v>0</v>
      </c>
      <c r="O121" t="n">
        <v>1</v>
      </c>
      <c r="P121" t="n">
        <v>0</v>
      </c>
      <c r="Q121" t="n">
        <v>1</v>
      </c>
      <c r="R121" s="2" t="inlineStr">
        <is>
          <t>Granticka</t>
        </is>
      </c>
      <c r="S121">
        <f>HYPERLINK("https://klasma.github.io/Logging_SKELLEFTEA/artfynd/A 42674-2022.xlsx", "A 42674-2022")</f>
        <v/>
      </c>
      <c r="T121">
        <f>HYPERLINK("https://klasma.github.io/Logging_SKELLEFTEA/kartor/A 42674-2022.png", "A 42674-2022")</f>
        <v/>
      </c>
      <c r="V121">
        <f>HYPERLINK("https://klasma.github.io/Logging_SKELLEFTEA/klagomål/A 42674-2022.docx", "A 42674-2022")</f>
        <v/>
      </c>
      <c r="W121">
        <f>HYPERLINK("https://klasma.github.io/Logging_SKELLEFTEA/klagomålsmail/A 42674-2022.docx", "A 42674-2022")</f>
        <v/>
      </c>
      <c r="X121">
        <f>HYPERLINK("https://klasma.github.io/Logging_SKELLEFTEA/tillsyn/A 42674-2022.docx", "A 42674-2022")</f>
        <v/>
      </c>
      <c r="Y121">
        <f>HYPERLINK("https://klasma.github.io/Logging_SKELLEFTEA/tillsynsmail/A 42674-2022.docx", "A 42674-2022")</f>
        <v/>
      </c>
    </row>
    <row r="122" ht="15" customHeight="1">
      <c r="A122" t="inlineStr">
        <is>
          <t>A 47963-2022</t>
        </is>
      </c>
      <c r="B122" s="1" t="n">
        <v>44855</v>
      </c>
      <c r="C122" s="1" t="n">
        <v>45192</v>
      </c>
      <c r="D122" t="inlineStr">
        <is>
          <t>VÄSTERBOTTENS LÄN</t>
        </is>
      </c>
      <c r="E122" t="inlineStr">
        <is>
          <t>SKELLEFTEÅ</t>
        </is>
      </c>
      <c r="F122" t="inlineStr">
        <is>
          <t>Holmen skog AB</t>
        </is>
      </c>
      <c r="G122" t="n">
        <v>18.7</v>
      </c>
      <c r="H122" t="n">
        <v>0</v>
      </c>
      <c r="I122" t="n">
        <v>1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1</v>
      </c>
      <c r="R122" s="2" t="inlineStr">
        <is>
          <t>Skinnlav</t>
        </is>
      </c>
      <c r="S122">
        <f>HYPERLINK("https://klasma.github.io/Logging_SKELLEFTEA/artfynd/A 47963-2022.xlsx", "A 47963-2022")</f>
        <v/>
      </c>
      <c r="T122">
        <f>HYPERLINK("https://klasma.github.io/Logging_SKELLEFTEA/kartor/A 47963-2022.png", "A 47963-2022")</f>
        <v/>
      </c>
      <c r="V122">
        <f>HYPERLINK("https://klasma.github.io/Logging_SKELLEFTEA/klagomål/A 47963-2022.docx", "A 47963-2022")</f>
        <v/>
      </c>
      <c r="W122">
        <f>HYPERLINK("https://klasma.github.io/Logging_SKELLEFTEA/klagomålsmail/A 47963-2022.docx", "A 47963-2022")</f>
        <v/>
      </c>
      <c r="X122">
        <f>HYPERLINK("https://klasma.github.io/Logging_SKELLEFTEA/tillsyn/A 47963-2022.docx", "A 47963-2022")</f>
        <v/>
      </c>
      <c r="Y122">
        <f>HYPERLINK("https://klasma.github.io/Logging_SKELLEFTEA/tillsynsmail/A 47963-2022.docx", "A 47963-2022")</f>
        <v/>
      </c>
    </row>
    <row r="123" ht="15" customHeight="1">
      <c r="A123" t="inlineStr">
        <is>
          <t>A 49842-2022</t>
        </is>
      </c>
      <c r="B123" s="1" t="n">
        <v>44862</v>
      </c>
      <c r="C123" s="1" t="n">
        <v>45192</v>
      </c>
      <c r="D123" t="inlineStr">
        <is>
          <t>VÄSTERBOTTENS LÄN</t>
        </is>
      </c>
      <c r="E123" t="inlineStr">
        <is>
          <t>SKELLEFTEÅ</t>
        </is>
      </c>
      <c r="G123" t="n">
        <v>7</v>
      </c>
      <c r="H123" t="n">
        <v>0</v>
      </c>
      <c r="I123" t="n">
        <v>0</v>
      </c>
      <c r="J123" t="n">
        <v>1</v>
      </c>
      <c r="K123" t="n">
        <v>0</v>
      </c>
      <c r="L123" t="n">
        <v>0</v>
      </c>
      <c r="M123" t="n">
        <v>0</v>
      </c>
      <c r="N123" t="n">
        <v>0</v>
      </c>
      <c r="O123" t="n">
        <v>1</v>
      </c>
      <c r="P123" t="n">
        <v>0</v>
      </c>
      <c r="Q123" t="n">
        <v>1</v>
      </c>
      <c r="R123" s="2" t="inlineStr">
        <is>
          <t>Blå taggsvamp</t>
        </is>
      </c>
      <c r="S123">
        <f>HYPERLINK("https://klasma.github.io/Logging_SKELLEFTEA/artfynd/A 49842-2022.xlsx", "A 49842-2022")</f>
        <v/>
      </c>
      <c r="T123">
        <f>HYPERLINK("https://klasma.github.io/Logging_SKELLEFTEA/kartor/A 49842-2022.png", "A 49842-2022")</f>
        <v/>
      </c>
      <c r="V123">
        <f>HYPERLINK("https://klasma.github.io/Logging_SKELLEFTEA/klagomål/A 49842-2022.docx", "A 49842-2022")</f>
        <v/>
      </c>
      <c r="W123">
        <f>HYPERLINK("https://klasma.github.io/Logging_SKELLEFTEA/klagomålsmail/A 49842-2022.docx", "A 49842-2022")</f>
        <v/>
      </c>
      <c r="X123">
        <f>HYPERLINK("https://klasma.github.io/Logging_SKELLEFTEA/tillsyn/A 49842-2022.docx", "A 49842-2022")</f>
        <v/>
      </c>
      <c r="Y123">
        <f>HYPERLINK("https://klasma.github.io/Logging_SKELLEFTEA/tillsynsmail/A 49842-2022.docx", "A 49842-2022")</f>
        <v/>
      </c>
    </row>
    <row r="124" ht="15" customHeight="1">
      <c r="A124" t="inlineStr">
        <is>
          <t>A 49588-2022</t>
        </is>
      </c>
      <c r="B124" s="1" t="n">
        <v>44862</v>
      </c>
      <c r="C124" s="1" t="n">
        <v>45192</v>
      </c>
      <c r="D124" t="inlineStr">
        <is>
          <t>VÄSTERBOTTENS LÄN</t>
        </is>
      </c>
      <c r="E124" t="inlineStr">
        <is>
          <t>SKELLEFTEÅ</t>
        </is>
      </c>
      <c r="F124" t="inlineStr">
        <is>
          <t>Holmen skog AB</t>
        </is>
      </c>
      <c r="G124" t="n">
        <v>6.1</v>
      </c>
      <c r="H124" t="n">
        <v>0</v>
      </c>
      <c r="I124" t="n">
        <v>0</v>
      </c>
      <c r="J124" t="n">
        <v>1</v>
      </c>
      <c r="K124" t="n">
        <v>0</v>
      </c>
      <c r="L124" t="n">
        <v>0</v>
      </c>
      <c r="M124" t="n">
        <v>0</v>
      </c>
      <c r="N124" t="n">
        <v>0</v>
      </c>
      <c r="O124" t="n">
        <v>1</v>
      </c>
      <c r="P124" t="n">
        <v>0</v>
      </c>
      <c r="Q124" t="n">
        <v>1</v>
      </c>
      <c r="R124" s="2" t="inlineStr">
        <is>
          <t>Lunglav</t>
        </is>
      </c>
      <c r="S124">
        <f>HYPERLINK("https://klasma.github.io/Logging_SKELLEFTEA/artfynd/A 49588-2022.xlsx", "A 49588-2022")</f>
        <v/>
      </c>
      <c r="T124">
        <f>HYPERLINK("https://klasma.github.io/Logging_SKELLEFTEA/kartor/A 49588-2022.png", "A 49588-2022")</f>
        <v/>
      </c>
      <c r="V124">
        <f>HYPERLINK("https://klasma.github.io/Logging_SKELLEFTEA/klagomål/A 49588-2022.docx", "A 49588-2022")</f>
        <v/>
      </c>
      <c r="W124">
        <f>HYPERLINK("https://klasma.github.io/Logging_SKELLEFTEA/klagomålsmail/A 49588-2022.docx", "A 49588-2022")</f>
        <v/>
      </c>
      <c r="X124">
        <f>HYPERLINK("https://klasma.github.io/Logging_SKELLEFTEA/tillsyn/A 49588-2022.docx", "A 49588-2022")</f>
        <v/>
      </c>
      <c r="Y124">
        <f>HYPERLINK("https://klasma.github.io/Logging_SKELLEFTEA/tillsynsmail/A 49588-2022.docx", "A 49588-2022")</f>
        <v/>
      </c>
    </row>
    <row r="125" ht="15" customHeight="1">
      <c r="A125" t="inlineStr">
        <is>
          <t>A 53071-2022</t>
        </is>
      </c>
      <c r="B125" s="1" t="n">
        <v>44873</v>
      </c>
      <c r="C125" s="1" t="n">
        <v>45192</v>
      </c>
      <c r="D125" t="inlineStr">
        <is>
          <t>VÄSTERBOTTENS LÄN</t>
        </is>
      </c>
      <c r="E125" t="inlineStr">
        <is>
          <t>SKELLEFTEÅ</t>
        </is>
      </c>
      <c r="G125" t="n">
        <v>10.6</v>
      </c>
      <c r="H125" t="n">
        <v>0</v>
      </c>
      <c r="I125" t="n">
        <v>0</v>
      </c>
      <c r="J125" t="n">
        <v>1</v>
      </c>
      <c r="K125" t="n">
        <v>0</v>
      </c>
      <c r="L125" t="n">
        <v>0</v>
      </c>
      <c r="M125" t="n">
        <v>0</v>
      </c>
      <c r="N125" t="n">
        <v>0</v>
      </c>
      <c r="O125" t="n">
        <v>1</v>
      </c>
      <c r="P125" t="n">
        <v>0</v>
      </c>
      <c r="Q125" t="n">
        <v>1</v>
      </c>
      <c r="R125" s="2" t="inlineStr">
        <is>
          <t>Granticka</t>
        </is>
      </c>
      <c r="S125">
        <f>HYPERLINK("https://klasma.github.io/Logging_SKELLEFTEA/artfynd/A 53071-2022.xlsx", "A 53071-2022")</f>
        <v/>
      </c>
      <c r="T125">
        <f>HYPERLINK("https://klasma.github.io/Logging_SKELLEFTEA/kartor/A 53071-2022.png", "A 53071-2022")</f>
        <v/>
      </c>
      <c r="V125">
        <f>HYPERLINK("https://klasma.github.io/Logging_SKELLEFTEA/klagomål/A 53071-2022.docx", "A 53071-2022")</f>
        <v/>
      </c>
      <c r="W125">
        <f>HYPERLINK("https://klasma.github.io/Logging_SKELLEFTEA/klagomålsmail/A 53071-2022.docx", "A 53071-2022")</f>
        <v/>
      </c>
      <c r="X125">
        <f>HYPERLINK("https://klasma.github.io/Logging_SKELLEFTEA/tillsyn/A 53071-2022.docx", "A 53071-2022")</f>
        <v/>
      </c>
      <c r="Y125">
        <f>HYPERLINK("https://klasma.github.io/Logging_SKELLEFTEA/tillsynsmail/A 53071-2022.docx", "A 53071-2022")</f>
        <v/>
      </c>
    </row>
    <row r="126" ht="15" customHeight="1">
      <c r="A126" t="inlineStr">
        <is>
          <t>A 54058-2022</t>
        </is>
      </c>
      <c r="B126" s="1" t="n">
        <v>44881</v>
      </c>
      <c r="C126" s="1" t="n">
        <v>45192</v>
      </c>
      <c r="D126" t="inlineStr">
        <is>
          <t>VÄSTERBOTTENS LÄN</t>
        </is>
      </c>
      <c r="E126" t="inlineStr">
        <is>
          <t>SKELLEFTEÅ</t>
        </is>
      </c>
      <c r="F126" t="inlineStr">
        <is>
          <t>Sveaskog</t>
        </is>
      </c>
      <c r="G126" t="n">
        <v>1.2</v>
      </c>
      <c r="H126" t="n">
        <v>0</v>
      </c>
      <c r="I126" t="n">
        <v>1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1</v>
      </c>
      <c r="R126" s="2" t="inlineStr">
        <is>
          <t>Luddlav</t>
        </is>
      </c>
      <c r="S126">
        <f>HYPERLINK("https://klasma.github.io/Logging_SKELLEFTEA/artfynd/A 54058-2022.xlsx", "A 54058-2022")</f>
        <v/>
      </c>
      <c r="T126">
        <f>HYPERLINK("https://klasma.github.io/Logging_SKELLEFTEA/kartor/A 54058-2022.png", "A 54058-2022")</f>
        <v/>
      </c>
      <c r="V126">
        <f>HYPERLINK("https://klasma.github.io/Logging_SKELLEFTEA/klagomål/A 54058-2022.docx", "A 54058-2022")</f>
        <v/>
      </c>
      <c r="W126">
        <f>HYPERLINK("https://klasma.github.io/Logging_SKELLEFTEA/klagomålsmail/A 54058-2022.docx", "A 54058-2022")</f>
        <v/>
      </c>
      <c r="X126">
        <f>HYPERLINK("https://klasma.github.io/Logging_SKELLEFTEA/tillsyn/A 54058-2022.docx", "A 54058-2022")</f>
        <v/>
      </c>
      <c r="Y126">
        <f>HYPERLINK("https://klasma.github.io/Logging_SKELLEFTEA/tillsynsmail/A 54058-2022.docx", "A 54058-2022")</f>
        <v/>
      </c>
    </row>
    <row r="127" ht="15" customHeight="1">
      <c r="A127" t="inlineStr">
        <is>
          <t>A 58306-2022</t>
        </is>
      </c>
      <c r="B127" s="1" t="n">
        <v>44901</v>
      </c>
      <c r="C127" s="1" t="n">
        <v>45192</v>
      </c>
      <c r="D127" t="inlineStr">
        <is>
          <t>VÄSTERBOTTENS LÄN</t>
        </is>
      </c>
      <c r="E127" t="inlineStr">
        <is>
          <t>SKELLEFTEÅ</t>
        </is>
      </c>
      <c r="F127" t="inlineStr">
        <is>
          <t>Sveaskog</t>
        </is>
      </c>
      <c r="G127" t="n">
        <v>10.8</v>
      </c>
      <c r="H127" t="n">
        <v>0</v>
      </c>
      <c r="I127" t="n">
        <v>0</v>
      </c>
      <c r="J127" t="n">
        <v>1</v>
      </c>
      <c r="K127" t="n">
        <v>0</v>
      </c>
      <c r="L127" t="n">
        <v>0</v>
      </c>
      <c r="M127" t="n">
        <v>0</v>
      </c>
      <c r="N127" t="n">
        <v>0</v>
      </c>
      <c r="O127" t="n">
        <v>1</v>
      </c>
      <c r="P127" t="n">
        <v>0</v>
      </c>
      <c r="Q127" t="n">
        <v>1</v>
      </c>
      <c r="R127" s="2" t="inlineStr">
        <is>
          <t>Lunglav</t>
        </is>
      </c>
      <c r="S127">
        <f>HYPERLINK("https://klasma.github.io/Logging_SKELLEFTEA/artfynd/A 58306-2022.xlsx", "A 58306-2022")</f>
        <v/>
      </c>
      <c r="T127">
        <f>HYPERLINK("https://klasma.github.io/Logging_SKELLEFTEA/kartor/A 58306-2022.png", "A 58306-2022")</f>
        <v/>
      </c>
      <c r="V127">
        <f>HYPERLINK("https://klasma.github.io/Logging_SKELLEFTEA/klagomål/A 58306-2022.docx", "A 58306-2022")</f>
        <v/>
      </c>
      <c r="W127">
        <f>HYPERLINK("https://klasma.github.io/Logging_SKELLEFTEA/klagomålsmail/A 58306-2022.docx", "A 58306-2022")</f>
        <v/>
      </c>
      <c r="X127">
        <f>HYPERLINK("https://klasma.github.io/Logging_SKELLEFTEA/tillsyn/A 58306-2022.docx", "A 58306-2022")</f>
        <v/>
      </c>
      <c r="Y127">
        <f>HYPERLINK("https://klasma.github.io/Logging_SKELLEFTEA/tillsynsmail/A 58306-2022.docx", "A 58306-2022")</f>
        <v/>
      </c>
    </row>
    <row r="128" ht="15" customHeight="1">
      <c r="A128" t="inlineStr">
        <is>
          <t>A 60231-2022</t>
        </is>
      </c>
      <c r="B128" s="1" t="n">
        <v>44910</v>
      </c>
      <c r="C128" s="1" t="n">
        <v>45192</v>
      </c>
      <c r="D128" t="inlineStr">
        <is>
          <t>VÄSTERBOTTENS LÄN</t>
        </is>
      </c>
      <c r="E128" t="inlineStr">
        <is>
          <t>SKELLEFTEÅ</t>
        </is>
      </c>
      <c r="F128" t="inlineStr">
        <is>
          <t>Holmen skog AB</t>
        </is>
      </c>
      <c r="G128" t="n">
        <v>6.4</v>
      </c>
      <c r="H128" t="n">
        <v>1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1</v>
      </c>
      <c r="R128" s="2" t="inlineStr">
        <is>
          <t>Fläcknycklar</t>
        </is>
      </c>
      <c r="S128">
        <f>HYPERLINK("https://klasma.github.io/Logging_SKELLEFTEA/artfynd/A 60231-2022.xlsx", "A 60231-2022")</f>
        <v/>
      </c>
      <c r="T128">
        <f>HYPERLINK("https://klasma.github.io/Logging_SKELLEFTEA/kartor/A 60231-2022.png", "A 60231-2022")</f>
        <v/>
      </c>
      <c r="V128">
        <f>HYPERLINK("https://klasma.github.io/Logging_SKELLEFTEA/klagomål/A 60231-2022.docx", "A 60231-2022")</f>
        <v/>
      </c>
      <c r="W128">
        <f>HYPERLINK("https://klasma.github.io/Logging_SKELLEFTEA/klagomålsmail/A 60231-2022.docx", "A 60231-2022")</f>
        <v/>
      </c>
      <c r="X128">
        <f>HYPERLINK("https://klasma.github.io/Logging_SKELLEFTEA/tillsyn/A 60231-2022.docx", "A 60231-2022")</f>
        <v/>
      </c>
      <c r="Y128">
        <f>HYPERLINK("https://klasma.github.io/Logging_SKELLEFTEA/tillsynsmail/A 60231-2022.docx", "A 60231-2022")</f>
        <v/>
      </c>
    </row>
    <row r="129" ht="15" customHeight="1">
      <c r="A129" t="inlineStr">
        <is>
          <t>A 60586-2022</t>
        </is>
      </c>
      <c r="B129" s="1" t="n">
        <v>44911</v>
      </c>
      <c r="C129" s="1" t="n">
        <v>45192</v>
      </c>
      <c r="D129" t="inlineStr">
        <is>
          <t>VÄSTERBOTTENS LÄN</t>
        </is>
      </c>
      <c r="E129" t="inlineStr">
        <is>
          <t>SKELLEFTEÅ</t>
        </is>
      </c>
      <c r="F129" t="inlineStr">
        <is>
          <t>Sveaskog</t>
        </is>
      </c>
      <c r="G129" t="n">
        <v>10.8</v>
      </c>
      <c r="H129" t="n">
        <v>0</v>
      </c>
      <c r="I129" t="n">
        <v>0</v>
      </c>
      <c r="J129" t="n">
        <v>1</v>
      </c>
      <c r="K129" t="n">
        <v>0</v>
      </c>
      <c r="L129" t="n">
        <v>0</v>
      </c>
      <c r="M129" t="n">
        <v>0</v>
      </c>
      <c r="N129" t="n">
        <v>0</v>
      </c>
      <c r="O129" t="n">
        <v>1</v>
      </c>
      <c r="P129" t="n">
        <v>0</v>
      </c>
      <c r="Q129" t="n">
        <v>1</v>
      </c>
      <c r="R129" s="2" t="inlineStr">
        <is>
          <t>Garnlav</t>
        </is>
      </c>
      <c r="S129">
        <f>HYPERLINK("https://klasma.github.io/Logging_SKELLEFTEA/artfynd/A 60586-2022.xlsx", "A 60586-2022")</f>
        <v/>
      </c>
      <c r="T129">
        <f>HYPERLINK("https://klasma.github.io/Logging_SKELLEFTEA/kartor/A 60586-2022.png", "A 60586-2022")</f>
        <v/>
      </c>
      <c r="V129">
        <f>HYPERLINK("https://klasma.github.io/Logging_SKELLEFTEA/klagomål/A 60586-2022.docx", "A 60586-2022")</f>
        <v/>
      </c>
      <c r="W129">
        <f>HYPERLINK("https://klasma.github.io/Logging_SKELLEFTEA/klagomålsmail/A 60586-2022.docx", "A 60586-2022")</f>
        <v/>
      </c>
      <c r="X129">
        <f>HYPERLINK("https://klasma.github.io/Logging_SKELLEFTEA/tillsyn/A 60586-2022.docx", "A 60586-2022")</f>
        <v/>
      </c>
      <c r="Y129">
        <f>HYPERLINK("https://klasma.github.io/Logging_SKELLEFTEA/tillsynsmail/A 60586-2022.docx", "A 60586-2022")</f>
        <v/>
      </c>
    </row>
    <row r="130" ht="15" customHeight="1">
      <c r="A130" t="inlineStr">
        <is>
          <t>A 60468-2022</t>
        </is>
      </c>
      <c r="B130" s="1" t="n">
        <v>44911</v>
      </c>
      <c r="C130" s="1" t="n">
        <v>45192</v>
      </c>
      <c r="D130" t="inlineStr">
        <is>
          <t>VÄSTERBOTTENS LÄN</t>
        </is>
      </c>
      <c r="E130" t="inlineStr">
        <is>
          <t>SKELLEFTEÅ</t>
        </is>
      </c>
      <c r="F130" t="inlineStr">
        <is>
          <t>Sveaskog</t>
        </is>
      </c>
      <c r="G130" t="n">
        <v>20.2</v>
      </c>
      <c r="H130" t="n">
        <v>1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1</v>
      </c>
      <c r="R130" s="2" t="inlineStr">
        <is>
          <t>Fläcknycklar</t>
        </is>
      </c>
      <c r="S130">
        <f>HYPERLINK("https://klasma.github.io/Logging_SKELLEFTEA/artfynd/A 60468-2022.xlsx", "A 60468-2022")</f>
        <v/>
      </c>
      <c r="T130">
        <f>HYPERLINK("https://klasma.github.io/Logging_SKELLEFTEA/kartor/A 60468-2022.png", "A 60468-2022")</f>
        <v/>
      </c>
      <c r="V130">
        <f>HYPERLINK("https://klasma.github.io/Logging_SKELLEFTEA/klagomål/A 60468-2022.docx", "A 60468-2022")</f>
        <v/>
      </c>
      <c r="W130">
        <f>HYPERLINK("https://klasma.github.io/Logging_SKELLEFTEA/klagomålsmail/A 60468-2022.docx", "A 60468-2022")</f>
        <v/>
      </c>
      <c r="X130">
        <f>HYPERLINK("https://klasma.github.io/Logging_SKELLEFTEA/tillsyn/A 60468-2022.docx", "A 60468-2022")</f>
        <v/>
      </c>
      <c r="Y130">
        <f>HYPERLINK("https://klasma.github.io/Logging_SKELLEFTEA/tillsynsmail/A 60468-2022.docx", "A 60468-2022")</f>
        <v/>
      </c>
    </row>
    <row r="131" ht="15" customHeight="1">
      <c r="A131" t="inlineStr">
        <is>
          <t>A 609-2023</t>
        </is>
      </c>
      <c r="B131" s="1" t="n">
        <v>44928</v>
      </c>
      <c r="C131" s="1" t="n">
        <v>45192</v>
      </c>
      <c r="D131" t="inlineStr">
        <is>
          <t>VÄSTERBOTTENS LÄN</t>
        </is>
      </c>
      <c r="E131" t="inlineStr">
        <is>
          <t>SKELLEFTEÅ</t>
        </is>
      </c>
      <c r="G131" t="n">
        <v>20.1</v>
      </c>
      <c r="H131" t="n">
        <v>0</v>
      </c>
      <c r="I131" t="n">
        <v>0</v>
      </c>
      <c r="J131" t="n">
        <v>1</v>
      </c>
      <c r="K131" t="n">
        <v>0</v>
      </c>
      <c r="L131" t="n">
        <v>0</v>
      </c>
      <c r="M131" t="n">
        <v>0</v>
      </c>
      <c r="N131" t="n">
        <v>0</v>
      </c>
      <c r="O131" t="n">
        <v>1</v>
      </c>
      <c r="P131" t="n">
        <v>0</v>
      </c>
      <c r="Q131" t="n">
        <v>1</v>
      </c>
      <c r="R131" s="2" t="inlineStr">
        <is>
          <t>Granticka</t>
        </is>
      </c>
      <c r="S131">
        <f>HYPERLINK("https://klasma.github.io/Logging_SKELLEFTEA/artfynd/A 609-2023.xlsx", "A 609-2023")</f>
        <v/>
      </c>
      <c r="T131">
        <f>HYPERLINK("https://klasma.github.io/Logging_SKELLEFTEA/kartor/A 609-2023.png", "A 609-2023")</f>
        <v/>
      </c>
      <c r="V131">
        <f>HYPERLINK("https://klasma.github.io/Logging_SKELLEFTEA/klagomål/A 609-2023.docx", "A 609-2023")</f>
        <v/>
      </c>
      <c r="W131">
        <f>HYPERLINK("https://klasma.github.io/Logging_SKELLEFTEA/klagomålsmail/A 609-2023.docx", "A 609-2023")</f>
        <v/>
      </c>
      <c r="X131">
        <f>HYPERLINK("https://klasma.github.io/Logging_SKELLEFTEA/tillsyn/A 609-2023.docx", "A 609-2023")</f>
        <v/>
      </c>
      <c r="Y131">
        <f>HYPERLINK("https://klasma.github.io/Logging_SKELLEFTEA/tillsynsmail/A 609-2023.docx", "A 609-2023")</f>
        <v/>
      </c>
    </row>
    <row r="132" ht="15" customHeight="1">
      <c r="A132" t="inlineStr">
        <is>
          <t>A 11891-2023</t>
        </is>
      </c>
      <c r="B132" s="1" t="n">
        <v>44994</v>
      </c>
      <c r="C132" s="1" t="n">
        <v>45192</v>
      </c>
      <c r="D132" t="inlineStr">
        <is>
          <t>VÄSTERBOTTENS LÄN</t>
        </is>
      </c>
      <c r="E132" t="inlineStr">
        <is>
          <t>SKELLEFTEÅ</t>
        </is>
      </c>
      <c r="G132" t="n">
        <v>10.5</v>
      </c>
      <c r="H132" t="n">
        <v>0</v>
      </c>
      <c r="I132" t="n">
        <v>0</v>
      </c>
      <c r="J132" t="n">
        <v>1</v>
      </c>
      <c r="K132" t="n">
        <v>0</v>
      </c>
      <c r="L132" t="n">
        <v>0</v>
      </c>
      <c r="M132" t="n">
        <v>0</v>
      </c>
      <c r="N132" t="n">
        <v>0</v>
      </c>
      <c r="O132" t="n">
        <v>1</v>
      </c>
      <c r="P132" t="n">
        <v>0</v>
      </c>
      <c r="Q132" t="n">
        <v>1</v>
      </c>
      <c r="R132" s="2" t="inlineStr">
        <is>
          <t>Violettgrå tagellav</t>
        </is>
      </c>
      <c r="S132">
        <f>HYPERLINK("https://klasma.github.io/Logging_SKELLEFTEA/artfynd/A 11891-2023.xlsx", "A 11891-2023")</f>
        <v/>
      </c>
      <c r="T132">
        <f>HYPERLINK("https://klasma.github.io/Logging_SKELLEFTEA/kartor/A 11891-2023.png", "A 11891-2023")</f>
        <v/>
      </c>
      <c r="V132">
        <f>HYPERLINK("https://klasma.github.io/Logging_SKELLEFTEA/klagomål/A 11891-2023.docx", "A 11891-2023")</f>
        <v/>
      </c>
      <c r="W132">
        <f>HYPERLINK("https://klasma.github.io/Logging_SKELLEFTEA/klagomålsmail/A 11891-2023.docx", "A 11891-2023")</f>
        <v/>
      </c>
      <c r="X132">
        <f>HYPERLINK("https://klasma.github.io/Logging_SKELLEFTEA/tillsyn/A 11891-2023.docx", "A 11891-2023")</f>
        <v/>
      </c>
      <c r="Y132">
        <f>HYPERLINK("https://klasma.github.io/Logging_SKELLEFTEA/tillsynsmail/A 11891-2023.docx", "A 11891-2023")</f>
        <v/>
      </c>
    </row>
    <row r="133" ht="15" customHeight="1">
      <c r="A133" t="inlineStr">
        <is>
          <t>A 27358-2023</t>
        </is>
      </c>
      <c r="B133" s="1" t="n">
        <v>45096</v>
      </c>
      <c r="C133" s="1" t="n">
        <v>45192</v>
      </c>
      <c r="D133" t="inlineStr">
        <is>
          <t>VÄSTERBOTTENS LÄN</t>
        </is>
      </c>
      <c r="E133" t="inlineStr">
        <is>
          <t>SKELLEFTEÅ</t>
        </is>
      </c>
      <c r="G133" t="n">
        <v>5</v>
      </c>
      <c r="H133" t="n">
        <v>1</v>
      </c>
      <c r="I133" t="n">
        <v>0</v>
      </c>
      <c r="J133" t="n">
        <v>0</v>
      </c>
      <c r="K133" t="n">
        <v>1</v>
      </c>
      <c r="L133" t="n">
        <v>0</v>
      </c>
      <c r="M133" t="n">
        <v>0</v>
      </c>
      <c r="N133" t="n">
        <v>0</v>
      </c>
      <c r="O133" t="n">
        <v>1</v>
      </c>
      <c r="P133" t="n">
        <v>1</v>
      </c>
      <c r="Q133" t="n">
        <v>1</v>
      </c>
      <c r="R133" s="2" t="inlineStr">
        <is>
          <t>Knärot</t>
        </is>
      </c>
      <c r="S133">
        <f>HYPERLINK("https://klasma.github.io/Logging_SKELLEFTEA/artfynd/A 27358-2023.xlsx", "A 27358-2023")</f>
        <v/>
      </c>
      <c r="T133">
        <f>HYPERLINK("https://klasma.github.io/Logging_SKELLEFTEA/kartor/A 27358-2023.png", "A 27358-2023")</f>
        <v/>
      </c>
      <c r="U133">
        <f>HYPERLINK("https://klasma.github.io/Logging_SKELLEFTEA/knärot/A 27358-2023.png", "A 27358-2023")</f>
        <v/>
      </c>
      <c r="V133">
        <f>HYPERLINK("https://klasma.github.io/Logging_SKELLEFTEA/klagomål/A 27358-2023.docx", "A 27358-2023")</f>
        <v/>
      </c>
      <c r="W133">
        <f>HYPERLINK("https://klasma.github.io/Logging_SKELLEFTEA/klagomålsmail/A 27358-2023.docx", "A 27358-2023")</f>
        <v/>
      </c>
      <c r="X133">
        <f>HYPERLINK("https://klasma.github.io/Logging_SKELLEFTEA/tillsyn/A 27358-2023.docx", "A 27358-2023")</f>
        <v/>
      </c>
      <c r="Y133">
        <f>HYPERLINK("https://klasma.github.io/Logging_SKELLEFTEA/tillsynsmail/A 27358-2023.docx", "A 27358-2023")</f>
        <v/>
      </c>
    </row>
    <row r="134" ht="15" customHeight="1">
      <c r="A134" t="inlineStr">
        <is>
          <t>A 28448-2023</t>
        </is>
      </c>
      <c r="B134" s="1" t="n">
        <v>45103</v>
      </c>
      <c r="C134" s="1" t="n">
        <v>45192</v>
      </c>
      <c r="D134" t="inlineStr">
        <is>
          <t>VÄSTERBOTTENS LÄN</t>
        </is>
      </c>
      <c r="E134" t="inlineStr">
        <is>
          <t>SKELLEFTEÅ</t>
        </is>
      </c>
      <c r="F134" t="inlineStr">
        <is>
          <t>Kyrkan</t>
        </is>
      </c>
      <c r="G134" t="n">
        <v>9.4</v>
      </c>
      <c r="H134" t="n">
        <v>0</v>
      </c>
      <c r="I134" t="n">
        <v>0</v>
      </c>
      <c r="J134" t="n">
        <v>1</v>
      </c>
      <c r="K134" t="n">
        <v>0</v>
      </c>
      <c r="L134" t="n">
        <v>0</v>
      </c>
      <c r="M134" t="n">
        <v>0</v>
      </c>
      <c r="N134" t="n">
        <v>0</v>
      </c>
      <c r="O134" t="n">
        <v>1</v>
      </c>
      <c r="P134" t="n">
        <v>0</v>
      </c>
      <c r="Q134" t="n">
        <v>1</v>
      </c>
      <c r="R134" s="2" t="inlineStr">
        <is>
          <t>Tallriska</t>
        </is>
      </c>
      <c r="S134">
        <f>HYPERLINK("https://klasma.github.io/Logging_SKELLEFTEA/artfynd/A 28448-2023.xlsx", "A 28448-2023")</f>
        <v/>
      </c>
      <c r="T134">
        <f>HYPERLINK("https://klasma.github.io/Logging_SKELLEFTEA/kartor/A 28448-2023.png", "A 28448-2023")</f>
        <v/>
      </c>
      <c r="V134">
        <f>HYPERLINK("https://klasma.github.io/Logging_SKELLEFTEA/klagomål/A 28448-2023.docx", "A 28448-2023")</f>
        <v/>
      </c>
      <c r="W134">
        <f>HYPERLINK("https://klasma.github.io/Logging_SKELLEFTEA/klagomålsmail/A 28448-2023.docx", "A 28448-2023")</f>
        <v/>
      </c>
      <c r="X134">
        <f>HYPERLINK("https://klasma.github.io/Logging_SKELLEFTEA/tillsyn/A 28448-2023.docx", "A 28448-2023")</f>
        <v/>
      </c>
      <c r="Y134">
        <f>HYPERLINK("https://klasma.github.io/Logging_SKELLEFTEA/tillsynsmail/A 28448-2023.docx", "A 28448-2023")</f>
        <v/>
      </c>
    </row>
    <row r="135" ht="15" customHeight="1">
      <c r="A135" t="inlineStr">
        <is>
          <t>A 30703-2023</t>
        </is>
      </c>
      <c r="B135" s="1" t="n">
        <v>45112</v>
      </c>
      <c r="C135" s="1" t="n">
        <v>45192</v>
      </c>
      <c r="D135" t="inlineStr">
        <is>
          <t>VÄSTERBOTTENS LÄN</t>
        </is>
      </c>
      <c r="E135" t="inlineStr">
        <is>
          <t>SKELLEFTEÅ</t>
        </is>
      </c>
      <c r="F135" t="inlineStr">
        <is>
          <t>Sveaskog</t>
        </is>
      </c>
      <c r="G135" t="n">
        <v>10.9</v>
      </c>
      <c r="H135" t="n">
        <v>1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1</v>
      </c>
      <c r="R135" s="2" t="inlineStr">
        <is>
          <t>Fläcknycklar</t>
        </is>
      </c>
      <c r="S135">
        <f>HYPERLINK("https://klasma.github.io/Logging_SKELLEFTEA/artfynd/A 30703-2023.xlsx", "A 30703-2023")</f>
        <v/>
      </c>
      <c r="T135">
        <f>HYPERLINK("https://klasma.github.io/Logging_SKELLEFTEA/kartor/A 30703-2023.png", "A 30703-2023")</f>
        <v/>
      </c>
      <c r="V135">
        <f>HYPERLINK("https://klasma.github.io/Logging_SKELLEFTEA/klagomål/A 30703-2023.docx", "A 30703-2023")</f>
        <v/>
      </c>
      <c r="W135">
        <f>HYPERLINK("https://klasma.github.io/Logging_SKELLEFTEA/klagomålsmail/A 30703-2023.docx", "A 30703-2023")</f>
        <v/>
      </c>
      <c r="X135">
        <f>HYPERLINK("https://klasma.github.io/Logging_SKELLEFTEA/tillsyn/A 30703-2023.docx", "A 30703-2023")</f>
        <v/>
      </c>
      <c r="Y135">
        <f>HYPERLINK("https://klasma.github.io/Logging_SKELLEFTEA/tillsynsmail/A 30703-2023.docx", "A 30703-2023")</f>
        <v/>
      </c>
    </row>
    <row r="136" ht="15" customHeight="1">
      <c r="A136" t="inlineStr">
        <is>
          <t>A 32605-2023</t>
        </is>
      </c>
      <c r="B136" s="1" t="n">
        <v>45121</v>
      </c>
      <c r="C136" s="1" t="n">
        <v>45192</v>
      </c>
      <c r="D136" t="inlineStr">
        <is>
          <t>VÄSTERBOTTENS LÄN</t>
        </is>
      </c>
      <c r="E136" t="inlineStr">
        <is>
          <t>SKELLEFTEÅ</t>
        </is>
      </c>
      <c r="F136" t="inlineStr">
        <is>
          <t>Holmen skog AB</t>
        </is>
      </c>
      <c r="G136" t="n">
        <v>5.5</v>
      </c>
      <c r="H136" t="n">
        <v>0</v>
      </c>
      <c r="I136" t="n">
        <v>0</v>
      </c>
      <c r="J136" t="n">
        <v>1</v>
      </c>
      <c r="K136" t="n">
        <v>0</v>
      </c>
      <c r="L136" t="n">
        <v>0</v>
      </c>
      <c r="M136" t="n">
        <v>0</v>
      </c>
      <c r="N136" t="n">
        <v>0</v>
      </c>
      <c r="O136" t="n">
        <v>1</v>
      </c>
      <c r="P136" t="n">
        <v>0</v>
      </c>
      <c r="Q136" t="n">
        <v>1</v>
      </c>
      <c r="R136" s="2" t="inlineStr">
        <is>
          <t>Gammelgransskål</t>
        </is>
      </c>
      <c r="S136">
        <f>HYPERLINK("https://klasma.github.io/Logging_SKELLEFTEA/artfynd/A 32605-2023.xlsx", "A 32605-2023")</f>
        <v/>
      </c>
      <c r="T136">
        <f>HYPERLINK("https://klasma.github.io/Logging_SKELLEFTEA/kartor/A 32605-2023.png", "A 32605-2023")</f>
        <v/>
      </c>
      <c r="V136">
        <f>HYPERLINK("https://klasma.github.io/Logging_SKELLEFTEA/klagomål/A 32605-2023.docx", "A 32605-2023")</f>
        <v/>
      </c>
      <c r="W136">
        <f>HYPERLINK("https://klasma.github.io/Logging_SKELLEFTEA/klagomålsmail/A 32605-2023.docx", "A 32605-2023")</f>
        <v/>
      </c>
      <c r="X136">
        <f>HYPERLINK("https://klasma.github.io/Logging_SKELLEFTEA/tillsyn/A 32605-2023.docx", "A 32605-2023")</f>
        <v/>
      </c>
      <c r="Y136">
        <f>HYPERLINK("https://klasma.github.io/Logging_SKELLEFTEA/tillsynsmail/A 32605-2023.docx", "A 32605-2023")</f>
        <v/>
      </c>
    </row>
    <row r="137" ht="15" customHeight="1">
      <c r="A137" t="inlineStr">
        <is>
          <t>A 32566-2023</t>
        </is>
      </c>
      <c r="B137" s="1" t="n">
        <v>45121</v>
      </c>
      <c r="C137" s="1" t="n">
        <v>45192</v>
      </c>
      <c r="D137" t="inlineStr">
        <is>
          <t>VÄSTERBOTTENS LÄN</t>
        </is>
      </c>
      <c r="E137" t="inlineStr">
        <is>
          <t>SKELLEFTEÅ</t>
        </is>
      </c>
      <c r="F137" t="inlineStr">
        <is>
          <t>Holmen skog AB</t>
        </is>
      </c>
      <c r="G137" t="n">
        <v>13</v>
      </c>
      <c r="H137" t="n">
        <v>1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1</v>
      </c>
      <c r="R137" s="2" t="inlineStr">
        <is>
          <t>Revlummer</t>
        </is>
      </c>
      <c r="S137">
        <f>HYPERLINK("https://klasma.github.io/Logging_SKELLEFTEA/artfynd/A 32566-2023.xlsx", "A 32566-2023")</f>
        <v/>
      </c>
      <c r="T137">
        <f>HYPERLINK("https://klasma.github.io/Logging_SKELLEFTEA/kartor/A 32566-2023.png", "A 32566-2023")</f>
        <v/>
      </c>
      <c r="V137">
        <f>HYPERLINK("https://klasma.github.io/Logging_SKELLEFTEA/klagomål/A 32566-2023.docx", "A 32566-2023")</f>
        <v/>
      </c>
      <c r="W137">
        <f>HYPERLINK("https://klasma.github.io/Logging_SKELLEFTEA/klagomålsmail/A 32566-2023.docx", "A 32566-2023")</f>
        <v/>
      </c>
      <c r="X137">
        <f>HYPERLINK("https://klasma.github.io/Logging_SKELLEFTEA/tillsyn/A 32566-2023.docx", "A 32566-2023")</f>
        <v/>
      </c>
      <c r="Y137">
        <f>HYPERLINK("https://klasma.github.io/Logging_SKELLEFTEA/tillsynsmail/A 32566-2023.docx", "A 32566-2023")</f>
        <v/>
      </c>
    </row>
    <row r="138" ht="15" customHeight="1">
      <c r="A138" t="inlineStr">
        <is>
          <t>A 36628-2023</t>
        </is>
      </c>
      <c r="B138" s="1" t="n">
        <v>45153</v>
      </c>
      <c r="C138" s="1" t="n">
        <v>45192</v>
      </c>
      <c r="D138" t="inlineStr">
        <is>
          <t>VÄSTERBOTTENS LÄN</t>
        </is>
      </c>
      <c r="E138" t="inlineStr">
        <is>
          <t>SKELLEFTEÅ</t>
        </is>
      </c>
      <c r="F138" t="inlineStr">
        <is>
          <t>Holmen skog AB</t>
        </is>
      </c>
      <c r="G138" t="n">
        <v>4.6</v>
      </c>
      <c r="H138" t="n">
        <v>0</v>
      </c>
      <c r="I138" t="n">
        <v>0</v>
      </c>
      <c r="J138" t="n">
        <v>1</v>
      </c>
      <c r="K138" t="n">
        <v>0</v>
      </c>
      <c r="L138" t="n">
        <v>0</v>
      </c>
      <c r="M138" t="n">
        <v>0</v>
      </c>
      <c r="N138" t="n">
        <v>0</v>
      </c>
      <c r="O138" t="n">
        <v>1</v>
      </c>
      <c r="P138" t="n">
        <v>0</v>
      </c>
      <c r="Q138" t="n">
        <v>1</v>
      </c>
      <c r="R138" s="2" t="inlineStr">
        <is>
          <t>Gultoppig fingersvamp</t>
        </is>
      </c>
      <c r="S138">
        <f>HYPERLINK("https://klasma.github.io/Logging_SKELLEFTEA/artfynd/A 36628-2023.xlsx", "A 36628-2023")</f>
        <v/>
      </c>
      <c r="T138">
        <f>HYPERLINK("https://klasma.github.io/Logging_SKELLEFTEA/kartor/A 36628-2023.png", "A 36628-2023")</f>
        <v/>
      </c>
      <c r="V138">
        <f>HYPERLINK("https://klasma.github.io/Logging_SKELLEFTEA/klagomål/A 36628-2023.docx", "A 36628-2023")</f>
        <v/>
      </c>
      <c r="W138">
        <f>HYPERLINK("https://klasma.github.io/Logging_SKELLEFTEA/klagomålsmail/A 36628-2023.docx", "A 36628-2023")</f>
        <v/>
      </c>
      <c r="X138">
        <f>HYPERLINK("https://klasma.github.io/Logging_SKELLEFTEA/tillsyn/A 36628-2023.docx", "A 36628-2023")</f>
        <v/>
      </c>
      <c r="Y138">
        <f>HYPERLINK("https://klasma.github.io/Logging_SKELLEFTEA/tillsynsmail/A 36628-2023.docx", "A 36628-2023")</f>
        <v/>
      </c>
    </row>
    <row r="139" ht="15" customHeight="1">
      <c r="A139" t="inlineStr">
        <is>
          <t>A 34230-2018</t>
        </is>
      </c>
      <c r="B139" s="1" t="n">
        <v>43318</v>
      </c>
      <c r="C139" s="1" t="n">
        <v>45192</v>
      </c>
      <c r="D139" t="inlineStr">
        <is>
          <t>VÄSTERBOTTENS LÄN</t>
        </is>
      </c>
      <c r="E139" t="inlineStr">
        <is>
          <t>SKELLEFTEÅ</t>
        </is>
      </c>
      <c r="G139" t="n">
        <v>1.5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34252-2018</t>
        </is>
      </c>
      <c r="B140" s="1" t="n">
        <v>43318</v>
      </c>
      <c r="C140" s="1" t="n">
        <v>45192</v>
      </c>
      <c r="D140" t="inlineStr">
        <is>
          <t>VÄSTERBOTTENS LÄN</t>
        </is>
      </c>
      <c r="E140" t="inlineStr">
        <is>
          <t>SKELLEFTEÅ</t>
        </is>
      </c>
      <c r="G140" t="n">
        <v>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34232-2018</t>
        </is>
      </c>
      <c r="B141" s="1" t="n">
        <v>43318</v>
      </c>
      <c r="C141" s="1" t="n">
        <v>45192</v>
      </c>
      <c r="D141" t="inlineStr">
        <is>
          <t>VÄSTERBOTTENS LÄN</t>
        </is>
      </c>
      <c r="E141" t="inlineStr">
        <is>
          <t>SKELLEFTEÅ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34396-2018</t>
        </is>
      </c>
      <c r="B142" s="1" t="n">
        <v>43319</v>
      </c>
      <c r="C142" s="1" t="n">
        <v>45192</v>
      </c>
      <c r="D142" t="inlineStr">
        <is>
          <t>VÄSTERBOTTENS LÄN</t>
        </is>
      </c>
      <c r="E142" t="inlineStr">
        <is>
          <t>SKELLEFTEÅ</t>
        </is>
      </c>
      <c r="G142" t="n">
        <v>15.8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35493-2018</t>
        </is>
      </c>
      <c r="B143" s="1" t="n">
        <v>43325</v>
      </c>
      <c r="C143" s="1" t="n">
        <v>45192</v>
      </c>
      <c r="D143" t="inlineStr">
        <is>
          <t>VÄSTERBOTTENS LÄN</t>
        </is>
      </c>
      <c r="E143" t="inlineStr">
        <is>
          <t>SKELLEFTEÅ</t>
        </is>
      </c>
      <c r="G143" t="n">
        <v>6.6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35908-2018</t>
        </is>
      </c>
      <c r="B144" s="1" t="n">
        <v>43326</v>
      </c>
      <c r="C144" s="1" t="n">
        <v>45192</v>
      </c>
      <c r="D144" t="inlineStr">
        <is>
          <t>VÄSTERBOTTENS LÄN</t>
        </is>
      </c>
      <c r="E144" t="inlineStr">
        <is>
          <t>SKELLEFTEÅ</t>
        </is>
      </c>
      <c r="G144" t="n">
        <v>1.3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35938-2018</t>
        </is>
      </c>
      <c r="B145" s="1" t="n">
        <v>43327</v>
      </c>
      <c r="C145" s="1" t="n">
        <v>45192</v>
      </c>
      <c r="D145" t="inlineStr">
        <is>
          <t>VÄSTERBOTTENS LÄN</t>
        </is>
      </c>
      <c r="E145" t="inlineStr">
        <is>
          <t>SKELLEFTEÅ</t>
        </is>
      </c>
      <c r="G145" t="n">
        <v>0.8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35994-2018</t>
        </is>
      </c>
      <c r="B146" s="1" t="n">
        <v>43327</v>
      </c>
      <c r="C146" s="1" t="n">
        <v>45192</v>
      </c>
      <c r="D146" t="inlineStr">
        <is>
          <t>VÄSTERBOTTENS LÄN</t>
        </is>
      </c>
      <c r="E146" t="inlineStr">
        <is>
          <t>SKELLEFTEÅ</t>
        </is>
      </c>
      <c r="G146" t="n">
        <v>3.4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36413-2018</t>
        </is>
      </c>
      <c r="B147" s="1" t="n">
        <v>43329</v>
      </c>
      <c r="C147" s="1" t="n">
        <v>45192</v>
      </c>
      <c r="D147" t="inlineStr">
        <is>
          <t>VÄSTERBOTTENS LÄN</t>
        </is>
      </c>
      <c r="E147" t="inlineStr">
        <is>
          <t>SKELLEFTEÅ</t>
        </is>
      </c>
      <c r="G147" t="n">
        <v>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36369-2018</t>
        </is>
      </c>
      <c r="B148" s="1" t="n">
        <v>43329</v>
      </c>
      <c r="C148" s="1" t="n">
        <v>45192</v>
      </c>
      <c r="D148" t="inlineStr">
        <is>
          <t>VÄSTERBOTTENS LÄN</t>
        </is>
      </c>
      <c r="E148" t="inlineStr">
        <is>
          <t>SKELLEFTEÅ</t>
        </is>
      </c>
      <c r="G148" t="n">
        <v>2.3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36803-2018</t>
        </is>
      </c>
      <c r="B149" s="1" t="n">
        <v>43329</v>
      </c>
      <c r="C149" s="1" t="n">
        <v>45192</v>
      </c>
      <c r="D149" t="inlineStr">
        <is>
          <t>VÄSTERBOTTENS LÄN</t>
        </is>
      </c>
      <c r="E149" t="inlineStr">
        <is>
          <t>SKELLEFTEÅ</t>
        </is>
      </c>
      <c r="G149" t="n">
        <v>1.3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37129-2018</t>
        </is>
      </c>
      <c r="B150" s="1" t="n">
        <v>43332</v>
      </c>
      <c r="C150" s="1" t="n">
        <v>45192</v>
      </c>
      <c r="D150" t="inlineStr">
        <is>
          <t>VÄSTERBOTTENS LÄN</t>
        </is>
      </c>
      <c r="E150" t="inlineStr">
        <is>
          <t>SKELLEFTEÅ</t>
        </is>
      </c>
      <c r="G150" t="n">
        <v>1.6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38916-2018</t>
        </is>
      </c>
      <c r="B151" s="1" t="n">
        <v>43336</v>
      </c>
      <c r="C151" s="1" t="n">
        <v>45192</v>
      </c>
      <c r="D151" t="inlineStr">
        <is>
          <t>VÄSTERBOTTENS LÄN</t>
        </is>
      </c>
      <c r="E151" t="inlineStr">
        <is>
          <t>SKELLEFTEÅ</t>
        </is>
      </c>
      <c r="G151" t="n">
        <v>1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38256-2018</t>
        </is>
      </c>
      <c r="B152" s="1" t="n">
        <v>43339</v>
      </c>
      <c r="C152" s="1" t="n">
        <v>45192</v>
      </c>
      <c r="D152" t="inlineStr">
        <is>
          <t>VÄSTERBOTTENS LÄN</t>
        </is>
      </c>
      <c r="E152" t="inlineStr">
        <is>
          <t>SKELLEFTEÅ</t>
        </is>
      </c>
      <c r="G152" t="n">
        <v>4.3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39197-2018</t>
        </is>
      </c>
      <c r="B153" s="1" t="n">
        <v>43339</v>
      </c>
      <c r="C153" s="1" t="n">
        <v>45192</v>
      </c>
      <c r="D153" t="inlineStr">
        <is>
          <t>VÄSTERBOTTENS LÄN</t>
        </is>
      </c>
      <c r="E153" t="inlineStr">
        <is>
          <t>SKELLEFTEÅ</t>
        </is>
      </c>
      <c r="G153" t="n">
        <v>1.7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39924-2018</t>
        </is>
      </c>
      <c r="B154" s="1" t="n">
        <v>43342</v>
      </c>
      <c r="C154" s="1" t="n">
        <v>45192</v>
      </c>
      <c r="D154" t="inlineStr">
        <is>
          <t>VÄSTERBOTTENS LÄN</t>
        </is>
      </c>
      <c r="E154" t="inlineStr">
        <is>
          <t>SKELLEFTEÅ</t>
        </is>
      </c>
      <c r="G154" t="n">
        <v>3.5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42535-2018</t>
        </is>
      </c>
      <c r="B155" s="1" t="n">
        <v>43349</v>
      </c>
      <c r="C155" s="1" t="n">
        <v>45192</v>
      </c>
      <c r="D155" t="inlineStr">
        <is>
          <t>VÄSTERBOTTENS LÄN</t>
        </is>
      </c>
      <c r="E155" t="inlineStr">
        <is>
          <t>SKELLEFTEÅ</t>
        </is>
      </c>
      <c r="G155" t="n">
        <v>5.1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42527-2018</t>
        </is>
      </c>
      <c r="B156" s="1" t="n">
        <v>43349</v>
      </c>
      <c r="C156" s="1" t="n">
        <v>45192</v>
      </c>
      <c r="D156" t="inlineStr">
        <is>
          <t>VÄSTERBOTTENS LÄN</t>
        </is>
      </c>
      <c r="E156" t="inlineStr">
        <is>
          <t>SKELLEFTEÅ</t>
        </is>
      </c>
      <c r="G156" t="n">
        <v>0.5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43334-2018</t>
        </is>
      </c>
      <c r="B157" s="1" t="n">
        <v>43353</v>
      </c>
      <c r="C157" s="1" t="n">
        <v>45192</v>
      </c>
      <c r="D157" t="inlineStr">
        <is>
          <t>VÄSTERBOTTENS LÄN</t>
        </is>
      </c>
      <c r="E157" t="inlineStr">
        <is>
          <t>SKELLEFTEÅ</t>
        </is>
      </c>
      <c r="G157" t="n">
        <v>1.8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43408-2018</t>
        </is>
      </c>
      <c r="B158" s="1" t="n">
        <v>43356</v>
      </c>
      <c r="C158" s="1" t="n">
        <v>45192</v>
      </c>
      <c r="D158" t="inlineStr">
        <is>
          <t>VÄSTERBOTTENS LÄN</t>
        </is>
      </c>
      <c r="E158" t="inlineStr">
        <is>
          <t>SKELLEFTEÅ</t>
        </is>
      </c>
      <c r="G158" t="n">
        <v>0.7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43867-2018</t>
        </is>
      </c>
      <c r="B159" s="1" t="n">
        <v>43357</v>
      </c>
      <c r="C159" s="1" t="n">
        <v>45192</v>
      </c>
      <c r="D159" t="inlineStr">
        <is>
          <t>VÄSTERBOTTENS LÄN</t>
        </is>
      </c>
      <c r="E159" t="inlineStr">
        <is>
          <t>SKELLEFTEÅ</t>
        </is>
      </c>
      <c r="G159" t="n">
        <v>7.3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44602-2018</t>
        </is>
      </c>
      <c r="B160" s="1" t="n">
        <v>43357</v>
      </c>
      <c r="C160" s="1" t="n">
        <v>45192</v>
      </c>
      <c r="D160" t="inlineStr">
        <is>
          <t>VÄSTERBOTTENS LÄN</t>
        </is>
      </c>
      <c r="E160" t="inlineStr">
        <is>
          <t>SKELLEFTEÅ</t>
        </is>
      </c>
      <c r="G160" t="n">
        <v>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44568-2018</t>
        </is>
      </c>
      <c r="B161" s="1" t="n">
        <v>43357</v>
      </c>
      <c r="C161" s="1" t="n">
        <v>45192</v>
      </c>
      <c r="D161" t="inlineStr">
        <is>
          <t>VÄSTERBOTTENS LÄN</t>
        </is>
      </c>
      <c r="E161" t="inlineStr">
        <is>
          <t>SKELLEFTEÅ</t>
        </is>
      </c>
      <c r="G161" t="n">
        <v>12.8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44679-2018</t>
        </is>
      </c>
      <c r="B162" s="1" t="n">
        <v>43357</v>
      </c>
      <c r="C162" s="1" t="n">
        <v>45192</v>
      </c>
      <c r="D162" t="inlineStr">
        <is>
          <t>VÄSTERBOTTENS LÄN</t>
        </is>
      </c>
      <c r="E162" t="inlineStr">
        <is>
          <t>SKELLEFTEÅ</t>
        </is>
      </c>
      <c r="G162" t="n">
        <v>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44212-2018</t>
        </is>
      </c>
      <c r="B163" s="1" t="n">
        <v>43360</v>
      </c>
      <c r="C163" s="1" t="n">
        <v>45192</v>
      </c>
      <c r="D163" t="inlineStr">
        <is>
          <t>VÄSTERBOTTENS LÄN</t>
        </is>
      </c>
      <c r="E163" t="inlineStr">
        <is>
          <t>SKELLEFTEÅ</t>
        </is>
      </c>
      <c r="F163" t="inlineStr">
        <is>
          <t>Holmen skog AB</t>
        </is>
      </c>
      <c r="G163" t="n">
        <v>3.9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45332-2018</t>
        </is>
      </c>
      <c r="B164" s="1" t="n">
        <v>43361</v>
      </c>
      <c r="C164" s="1" t="n">
        <v>45192</v>
      </c>
      <c r="D164" t="inlineStr">
        <is>
          <t>VÄSTERBOTTENS LÄN</t>
        </is>
      </c>
      <c r="E164" t="inlineStr">
        <is>
          <t>SKELLEFTEÅ</t>
        </is>
      </c>
      <c r="G164" t="n">
        <v>2.3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45743-2018</t>
        </is>
      </c>
      <c r="B165" s="1" t="n">
        <v>43362</v>
      </c>
      <c r="C165" s="1" t="n">
        <v>45192</v>
      </c>
      <c r="D165" t="inlineStr">
        <is>
          <t>VÄSTERBOTTENS LÄN</t>
        </is>
      </c>
      <c r="E165" t="inlineStr">
        <is>
          <t>SKELLEFTEÅ</t>
        </is>
      </c>
      <c r="G165" t="n">
        <v>1.6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45847-2018</t>
        </is>
      </c>
      <c r="B166" s="1" t="n">
        <v>43362</v>
      </c>
      <c r="C166" s="1" t="n">
        <v>45192</v>
      </c>
      <c r="D166" t="inlineStr">
        <is>
          <t>VÄSTERBOTTENS LÄN</t>
        </is>
      </c>
      <c r="E166" t="inlineStr">
        <is>
          <t>SKELLEFTEÅ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45176-2018</t>
        </is>
      </c>
      <c r="B167" s="1" t="n">
        <v>43362</v>
      </c>
      <c r="C167" s="1" t="n">
        <v>45192</v>
      </c>
      <c r="D167" t="inlineStr">
        <is>
          <t>VÄSTERBOTTENS LÄN</t>
        </is>
      </c>
      <c r="E167" t="inlineStr">
        <is>
          <t>SKELLEFTEÅ</t>
        </is>
      </c>
      <c r="G167" t="n">
        <v>16.7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45724-2018</t>
        </is>
      </c>
      <c r="B168" s="1" t="n">
        <v>43362</v>
      </c>
      <c r="C168" s="1" t="n">
        <v>45192</v>
      </c>
      <c r="D168" t="inlineStr">
        <is>
          <t>VÄSTERBOTTENS LÄN</t>
        </is>
      </c>
      <c r="E168" t="inlineStr">
        <is>
          <t>SKELLEFTEÅ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46430-2018</t>
        </is>
      </c>
      <c r="B169" s="1" t="n">
        <v>43363</v>
      </c>
      <c r="C169" s="1" t="n">
        <v>45192</v>
      </c>
      <c r="D169" t="inlineStr">
        <is>
          <t>VÄSTERBOTTENS LÄN</t>
        </is>
      </c>
      <c r="E169" t="inlineStr">
        <is>
          <t>SKELLEFTEÅ</t>
        </is>
      </c>
      <c r="G169" t="n">
        <v>2.4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46332-2018</t>
        </is>
      </c>
      <c r="B170" s="1" t="n">
        <v>43363</v>
      </c>
      <c r="C170" s="1" t="n">
        <v>45192</v>
      </c>
      <c r="D170" t="inlineStr">
        <is>
          <t>VÄSTERBOTTENS LÄN</t>
        </is>
      </c>
      <c r="E170" t="inlineStr">
        <is>
          <t>SKELLEFTEÅ</t>
        </is>
      </c>
      <c r="G170" t="n">
        <v>0.5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46771-2018</t>
        </is>
      </c>
      <c r="B171" s="1" t="n">
        <v>43364</v>
      </c>
      <c r="C171" s="1" t="n">
        <v>45192</v>
      </c>
      <c r="D171" t="inlineStr">
        <is>
          <t>VÄSTERBOTTENS LÄN</t>
        </is>
      </c>
      <c r="E171" t="inlineStr">
        <is>
          <t>SKELLEFTEÅ</t>
        </is>
      </c>
      <c r="G171" t="n">
        <v>3.1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47734-2018</t>
        </is>
      </c>
      <c r="B172" s="1" t="n">
        <v>43368</v>
      </c>
      <c r="C172" s="1" t="n">
        <v>45192</v>
      </c>
      <c r="D172" t="inlineStr">
        <is>
          <t>VÄSTERBOTTENS LÄN</t>
        </is>
      </c>
      <c r="E172" t="inlineStr">
        <is>
          <t>SKELLEFTEÅ</t>
        </is>
      </c>
      <c r="G172" t="n">
        <v>3.5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47546-2018</t>
        </is>
      </c>
      <c r="B173" s="1" t="n">
        <v>43370</v>
      </c>
      <c r="C173" s="1" t="n">
        <v>45192</v>
      </c>
      <c r="D173" t="inlineStr">
        <is>
          <t>VÄSTERBOTTENS LÄN</t>
        </is>
      </c>
      <c r="E173" t="inlineStr">
        <is>
          <t>SKELLEFTEÅ</t>
        </is>
      </c>
      <c r="G173" t="n">
        <v>4.7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48469-2018</t>
        </is>
      </c>
      <c r="B174" s="1" t="n">
        <v>43370</v>
      </c>
      <c r="C174" s="1" t="n">
        <v>45192</v>
      </c>
      <c r="D174" t="inlineStr">
        <is>
          <t>VÄSTERBOTTENS LÄN</t>
        </is>
      </c>
      <c r="E174" t="inlineStr">
        <is>
          <t>SKELLEFTEÅ</t>
        </is>
      </c>
      <c r="G174" t="n">
        <v>4.1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66949-2018</t>
        </is>
      </c>
      <c r="B175" s="1" t="n">
        <v>43370</v>
      </c>
      <c r="C175" s="1" t="n">
        <v>45192</v>
      </c>
      <c r="D175" t="inlineStr">
        <is>
          <t>VÄSTERBOTTENS LÄN</t>
        </is>
      </c>
      <c r="E175" t="inlineStr">
        <is>
          <t>SKELLEFTEÅ</t>
        </is>
      </c>
      <c r="G175" t="n">
        <v>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48459-2018</t>
        </is>
      </c>
      <c r="B176" s="1" t="n">
        <v>43370</v>
      </c>
      <c r="C176" s="1" t="n">
        <v>45192</v>
      </c>
      <c r="D176" t="inlineStr">
        <is>
          <t>VÄSTERBOTTENS LÄN</t>
        </is>
      </c>
      <c r="E176" t="inlineStr">
        <is>
          <t>SKELLEFTEÅ</t>
        </is>
      </c>
      <c r="G176" t="n">
        <v>5.5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48956-2018</t>
        </is>
      </c>
      <c r="B177" s="1" t="n">
        <v>43371</v>
      </c>
      <c r="C177" s="1" t="n">
        <v>45192</v>
      </c>
      <c r="D177" t="inlineStr">
        <is>
          <t>VÄSTERBOTTENS LÄN</t>
        </is>
      </c>
      <c r="E177" t="inlineStr">
        <is>
          <t>SKELLEFTEÅ</t>
        </is>
      </c>
      <c r="G177" t="n">
        <v>1.2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48590-2018</t>
        </is>
      </c>
      <c r="B178" s="1" t="n">
        <v>43374</v>
      </c>
      <c r="C178" s="1" t="n">
        <v>45192</v>
      </c>
      <c r="D178" t="inlineStr">
        <is>
          <t>VÄSTERBOTTENS LÄN</t>
        </is>
      </c>
      <c r="E178" t="inlineStr">
        <is>
          <t>SKELLEFTEÅ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50122-2018</t>
        </is>
      </c>
      <c r="B179" s="1" t="n">
        <v>43375</v>
      </c>
      <c r="C179" s="1" t="n">
        <v>45192</v>
      </c>
      <c r="D179" t="inlineStr">
        <is>
          <t>VÄSTERBOTTENS LÄN</t>
        </is>
      </c>
      <c r="E179" t="inlineStr">
        <is>
          <t>SKELLEFTEÅ</t>
        </is>
      </c>
      <c r="G179" t="n">
        <v>0.5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49598-2018</t>
        </is>
      </c>
      <c r="B180" s="1" t="n">
        <v>43376</v>
      </c>
      <c r="C180" s="1" t="n">
        <v>45192</v>
      </c>
      <c r="D180" t="inlineStr">
        <is>
          <t>VÄSTERBOTTENS LÄN</t>
        </is>
      </c>
      <c r="E180" t="inlineStr">
        <is>
          <t>SKELLEFTEÅ</t>
        </is>
      </c>
      <c r="G180" t="n">
        <v>4.5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51599-2018</t>
        </is>
      </c>
      <c r="B181" s="1" t="n">
        <v>43378</v>
      </c>
      <c r="C181" s="1" t="n">
        <v>45192</v>
      </c>
      <c r="D181" t="inlineStr">
        <is>
          <t>VÄSTERBOTTENS LÄN</t>
        </is>
      </c>
      <c r="E181" t="inlineStr">
        <is>
          <t>SKELLEFTEÅ</t>
        </is>
      </c>
      <c r="G181" t="n">
        <v>1.4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51386-2018</t>
        </is>
      </c>
      <c r="B182" s="1" t="n">
        <v>43381</v>
      </c>
      <c r="C182" s="1" t="n">
        <v>45192</v>
      </c>
      <c r="D182" t="inlineStr">
        <is>
          <t>VÄSTERBOTTENS LÄN</t>
        </is>
      </c>
      <c r="E182" t="inlineStr">
        <is>
          <t>SKELLEFTEÅ</t>
        </is>
      </c>
      <c r="G182" t="n">
        <v>2.6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51667-2018</t>
        </is>
      </c>
      <c r="B183" s="1" t="n">
        <v>43381</v>
      </c>
      <c r="C183" s="1" t="n">
        <v>45192</v>
      </c>
      <c r="D183" t="inlineStr">
        <is>
          <t>VÄSTERBOTTENS LÄN</t>
        </is>
      </c>
      <c r="E183" t="inlineStr">
        <is>
          <t>SKELLEFTEÅ</t>
        </is>
      </c>
      <c r="G183" t="n">
        <v>5.2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51689-2018</t>
        </is>
      </c>
      <c r="B184" s="1" t="n">
        <v>43381</v>
      </c>
      <c r="C184" s="1" t="n">
        <v>45192</v>
      </c>
      <c r="D184" t="inlineStr">
        <is>
          <t>VÄSTERBOTTENS LÄN</t>
        </is>
      </c>
      <c r="E184" t="inlineStr">
        <is>
          <t>SKELLEFTEÅ</t>
        </is>
      </c>
      <c r="G184" t="n">
        <v>1.9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51983-2018</t>
        </is>
      </c>
      <c r="B185" s="1" t="n">
        <v>43382</v>
      </c>
      <c r="C185" s="1" t="n">
        <v>45192</v>
      </c>
      <c r="D185" t="inlineStr">
        <is>
          <t>VÄSTERBOTTENS LÄN</t>
        </is>
      </c>
      <c r="E185" t="inlineStr">
        <is>
          <t>SKELLEFTEÅ</t>
        </is>
      </c>
      <c r="G185" t="n">
        <v>1.4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51552-2018</t>
        </is>
      </c>
      <c r="B186" s="1" t="n">
        <v>43383</v>
      </c>
      <c r="C186" s="1" t="n">
        <v>45192</v>
      </c>
      <c r="D186" t="inlineStr">
        <is>
          <t>VÄSTERBOTTENS LÄN</t>
        </is>
      </c>
      <c r="E186" t="inlineStr">
        <is>
          <t>SKELLEFTEÅ</t>
        </is>
      </c>
      <c r="G186" t="n">
        <v>11.4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52642-2018</t>
        </is>
      </c>
      <c r="B187" s="1" t="n">
        <v>43389</v>
      </c>
      <c r="C187" s="1" t="n">
        <v>45192</v>
      </c>
      <c r="D187" t="inlineStr">
        <is>
          <t>VÄSTERBOTTENS LÄN</t>
        </is>
      </c>
      <c r="E187" t="inlineStr">
        <is>
          <t>SKELLEFTEÅ</t>
        </is>
      </c>
      <c r="G187" t="n">
        <v>10.8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55821-2018</t>
        </is>
      </c>
      <c r="B188" s="1" t="n">
        <v>43392</v>
      </c>
      <c r="C188" s="1" t="n">
        <v>45192</v>
      </c>
      <c r="D188" t="inlineStr">
        <is>
          <t>VÄSTERBOTTENS LÄN</t>
        </is>
      </c>
      <c r="E188" t="inlineStr">
        <is>
          <t>SKELLEFTEÅ</t>
        </is>
      </c>
      <c r="G188" t="n">
        <v>1.5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56369-2018</t>
        </is>
      </c>
      <c r="B189" s="1" t="n">
        <v>43395</v>
      </c>
      <c r="C189" s="1" t="n">
        <v>45192</v>
      </c>
      <c r="D189" t="inlineStr">
        <is>
          <t>VÄSTERBOTTENS LÄN</t>
        </is>
      </c>
      <c r="E189" t="inlineStr">
        <is>
          <t>SKELLEFTEÅ</t>
        </is>
      </c>
      <c r="G189" t="n">
        <v>0.6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54284-2018</t>
        </is>
      </c>
      <c r="B190" s="1" t="n">
        <v>43395</v>
      </c>
      <c r="C190" s="1" t="n">
        <v>45192</v>
      </c>
      <c r="D190" t="inlineStr">
        <is>
          <t>VÄSTERBOTTENS LÄN</t>
        </is>
      </c>
      <c r="E190" t="inlineStr">
        <is>
          <t>SKELLEFTEÅ</t>
        </is>
      </c>
      <c r="G190" t="n">
        <v>19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56378-2018</t>
        </is>
      </c>
      <c r="B191" s="1" t="n">
        <v>43395</v>
      </c>
      <c r="C191" s="1" t="n">
        <v>45192</v>
      </c>
      <c r="D191" t="inlineStr">
        <is>
          <t>VÄSTERBOTTENS LÄN</t>
        </is>
      </c>
      <c r="E191" t="inlineStr">
        <is>
          <t>SKELLEFTEÅ</t>
        </is>
      </c>
      <c r="G191" t="n">
        <v>6.1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55280-2018</t>
        </is>
      </c>
      <c r="B192" s="1" t="n">
        <v>43397</v>
      </c>
      <c r="C192" s="1" t="n">
        <v>45192</v>
      </c>
      <c r="D192" t="inlineStr">
        <is>
          <t>VÄSTERBOTTENS LÄN</t>
        </is>
      </c>
      <c r="E192" t="inlineStr">
        <is>
          <t>SKELLEFTEÅ</t>
        </is>
      </c>
      <c r="G192" t="n">
        <v>7.7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57812-2018</t>
        </is>
      </c>
      <c r="B193" s="1" t="n">
        <v>43397</v>
      </c>
      <c r="C193" s="1" t="n">
        <v>45192</v>
      </c>
      <c r="D193" t="inlineStr">
        <is>
          <t>VÄSTERBOTTENS LÄN</t>
        </is>
      </c>
      <c r="E193" t="inlineStr">
        <is>
          <t>SKELLEFTEÅ</t>
        </is>
      </c>
      <c r="G193" t="n">
        <v>3.2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56313-2018</t>
        </is>
      </c>
      <c r="B194" s="1" t="n">
        <v>43399</v>
      </c>
      <c r="C194" s="1" t="n">
        <v>45192</v>
      </c>
      <c r="D194" t="inlineStr">
        <is>
          <t>VÄSTERBOTTENS LÄN</t>
        </is>
      </c>
      <c r="E194" t="inlineStr">
        <is>
          <t>SKELLEFTEÅ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56672-2018</t>
        </is>
      </c>
      <c r="B195" s="1" t="n">
        <v>43402</v>
      </c>
      <c r="C195" s="1" t="n">
        <v>45192</v>
      </c>
      <c r="D195" t="inlineStr">
        <is>
          <t>VÄSTERBOTTENS LÄN</t>
        </is>
      </c>
      <c r="E195" t="inlineStr">
        <is>
          <t>SKELLEFTEÅ</t>
        </is>
      </c>
      <c r="G195" t="n">
        <v>3.2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59026-2018</t>
        </is>
      </c>
      <c r="B196" s="1" t="n">
        <v>43402</v>
      </c>
      <c r="C196" s="1" t="n">
        <v>45192</v>
      </c>
      <c r="D196" t="inlineStr">
        <is>
          <t>VÄSTERBOTTENS LÄN</t>
        </is>
      </c>
      <c r="E196" t="inlineStr">
        <is>
          <t>SKELLEFTEÅ</t>
        </is>
      </c>
      <c r="G196" t="n">
        <v>1.4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57674-2018</t>
        </is>
      </c>
      <c r="B197" s="1" t="n">
        <v>43405</v>
      </c>
      <c r="C197" s="1" t="n">
        <v>45192</v>
      </c>
      <c r="D197" t="inlineStr">
        <is>
          <t>VÄSTERBOTTENS LÄN</t>
        </is>
      </c>
      <c r="E197" t="inlineStr">
        <is>
          <t>SKELLEFTEÅ</t>
        </is>
      </c>
      <c r="G197" t="n">
        <v>1.6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58006-2018</t>
        </is>
      </c>
      <c r="B198" s="1" t="n">
        <v>43406</v>
      </c>
      <c r="C198" s="1" t="n">
        <v>45192</v>
      </c>
      <c r="D198" t="inlineStr">
        <is>
          <t>VÄSTERBOTTENS LÄN</t>
        </is>
      </c>
      <c r="E198" t="inlineStr">
        <is>
          <t>SKELLEFTEÅ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60573-2018</t>
        </is>
      </c>
      <c r="B199" s="1" t="n">
        <v>43406</v>
      </c>
      <c r="C199" s="1" t="n">
        <v>45192</v>
      </c>
      <c r="D199" t="inlineStr">
        <is>
          <t>VÄSTERBOTTENS LÄN</t>
        </is>
      </c>
      <c r="E199" t="inlineStr">
        <is>
          <t>SKELLEFTEÅ</t>
        </is>
      </c>
      <c r="G199" t="n">
        <v>4.9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60707-2018</t>
        </is>
      </c>
      <c r="B200" s="1" t="n">
        <v>43409</v>
      </c>
      <c r="C200" s="1" t="n">
        <v>45192</v>
      </c>
      <c r="D200" t="inlineStr">
        <is>
          <t>VÄSTERBOTTENS LÄN</t>
        </is>
      </c>
      <c r="E200" t="inlineStr">
        <is>
          <t>SKELLEFTEÅ</t>
        </is>
      </c>
      <c r="G200" t="n">
        <v>1.1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60711-2018</t>
        </is>
      </c>
      <c r="B201" s="1" t="n">
        <v>43409</v>
      </c>
      <c r="C201" s="1" t="n">
        <v>45192</v>
      </c>
      <c r="D201" t="inlineStr">
        <is>
          <t>VÄSTERBOTTENS LÄN</t>
        </is>
      </c>
      <c r="E201" t="inlineStr">
        <is>
          <t>SKELLEFTEÅ</t>
        </is>
      </c>
      <c r="G201" t="n">
        <v>3.7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58805-2018</t>
        </is>
      </c>
      <c r="B202" s="1" t="n">
        <v>43410</v>
      </c>
      <c r="C202" s="1" t="n">
        <v>45192</v>
      </c>
      <c r="D202" t="inlineStr">
        <is>
          <t>VÄSTERBOTTENS LÄN</t>
        </is>
      </c>
      <c r="E202" t="inlineStr">
        <is>
          <t>SKELLEFTEÅ</t>
        </is>
      </c>
      <c r="G202" t="n">
        <v>3.2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59105-2018</t>
        </is>
      </c>
      <c r="B203" s="1" t="n">
        <v>43411</v>
      </c>
      <c r="C203" s="1" t="n">
        <v>45192</v>
      </c>
      <c r="D203" t="inlineStr">
        <is>
          <t>VÄSTERBOTTENS LÄN</t>
        </is>
      </c>
      <c r="E203" t="inlineStr">
        <is>
          <t>SKELLEFTEÅ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61039-2018</t>
        </is>
      </c>
      <c r="B204" s="1" t="n">
        <v>43412</v>
      </c>
      <c r="C204" s="1" t="n">
        <v>45192</v>
      </c>
      <c r="D204" t="inlineStr">
        <is>
          <t>VÄSTERBOTTENS LÄN</t>
        </is>
      </c>
      <c r="E204" t="inlineStr">
        <is>
          <t>SKELLEFTEÅ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61343-2018</t>
        </is>
      </c>
      <c r="B205" s="1" t="n">
        <v>43412</v>
      </c>
      <c r="C205" s="1" t="n">
        <v>45192</v>
      </c>
      <c r="D205" t="inlineStr">
        <is>
          <t>VÄSTERBOTTENS LÄN</t>
        </is>
      </c>
      <c r="E205" t="inlineStr">
        <is>
          <t>SKELLEFTEÅ</t>
        </is>
      </c>
      <c r="G205" t="n">
        <v>1.1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60037-2018</t>
        </is>
      </c>
      <c r="B206" s="1" t="n">
        <v>43412</v>
      </c>
      <c r="C206" s="1" t="n">
        <v>45192</v>
      </c>
      <c r="D206" t="inlineStr">
        <is>
          <t>VÄSTERBOTTENS LÄN</t>
        </is>
      </c>
      <c r="E206" t="inlineStr">
        <is>
          <t>SKELLEFTEÅ</t>
        </is>
      </c>
      <c r="F206" t="inlineStr">
        <is>
          <t>Holmen skog AB</t>
        </is>
      </c>
      <c r="G206" t="n">
        <v>6.6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60077-2018</t>
        </is>
      </c>
      <c r="B207" s="1" t="n">
        <v>43412</v>
      </c>
      <c r="C207" s="1" t="n">
        <v>45192</v>
      </c>
      <c r="D207" t="inlineStr">
        <is>
          <t>VÄSTERBOTTENS LÄN</t>
        </is>
      </c>
      <c r="E207" t="inlineStr">
        <is>
          <t>SKELLEFTEÅ</t>
        </is>
      </c>
      <c r="F207" t="inlineStr">
        <is>
          <t>Holmen skog AB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61672-2018</t>
        </is>
      </c>
      <c r="B208" s="1" t="n">
        <v>43413</v>
      </c>
      <c r="C208" s="1" t="n">
        <v>45192</v>
      </c>
      <c r="D208" t="inlineStr">
        <is>
          <t>VÄSTERBOTTENS LÄN</t>
        </is>
      </c>
      <c r="E208" t="inlineStr">
        <is>
          <t>SKELLEFTEÅ</t>
        </is>
      </c>
      <c r="G208" t="n">
        <v>0.8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62632-2018</t>
        </is>
      </c>
      <c r="B209" s="1" t="n">
        <v>43413</v>
      </c>
      <c r="C209" s="1" t="n">
        <v>45192</v>
      </c>
      <c r="D209" t="inlineStr">
        <is>
          <t>VÄSTERBOTTENS LÄN</t>
        </is>
      </c>
      <c r="E209" t="inlineStr">
        <is>
          <t>SKELLEFTEÅ</t>
        </is>
      </c>
      <c r="F209" t="inlineStr">
        <is>
          <t>SCA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62504-2018</t>
        </is>
      </c>
      <c r="B210" s="1" t="n">
        <v>43414</v>
      </c>
      <c r="C210" s="1" t="n">
        <v>45192</v>
      </c>
      <c r="D210" t="inlineStr">
        <is>
          <t>VÄSTERBOTTENS LÄN</t>
        </is>
      </c>
      <c r="E210" t="inlineStr">
        <is>
          <t>SKELLEFTEÅ</t>
        </is>
      </c>
      <c r="G210" t="n">
        <v>0.6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61760-2018</t>
        </is>
      </c>
      <c r="B211" s="1" t="n">
        <v>43416</v>
      </c>
      <c r="C211" s="1" t="n">
        <v>45192</v>
      </c>
      <c r="D211" t="inlineStr">
        <is>
          <t>VÄSTERBOTTENS LÄN</t>
        </is>
      </c>
      <c r="E211" t="inlineStr">
        <is>
          <t>SKELLEFTEÅ</t>
        </is>
      </c>
      <c r="G211" t="n">
        <v>4.2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62989-2018</t>
        </is>
      </c>
      <c r="B212" s="1" t="n">
        <v>43417</v>
      </c>
      <c r="C212" s="1" t="n">
        <v>45192</v>
      </c>
      <c r="D212" t="inlineStr">
        <is>
          <t>VÄSTERBOTTENS LÄN</t>
        </is>
      </c>
      <c r="E212" t="inlineStr">
        <is>
          <t>SKELLEFTEÅ</t>
        </is>
      </c>
      <c r="G212" t="n">
        <v>4.7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63061-2018</t>
        </is>
      </c>
      <c r="B213" s="1" t="n">
        <v>43418</v>
      </c>
      <c r="C213" s="1" t="n">
        <v>45192</v>
      </c>
      <c r="D213" t="inlineStr">
        <is>
          <t>VÄSTERBOTTENS LÄN</t>
        </is>
      </c>
      <c r="E213" t="inlineStr">
        <is>
          <t>SKELLEFTEÅ</t>
        </is>
      </c>
      <c r="G213" t="n">
        <v>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63979-2018</t>
        </is>
      </c>
      <c r="B214" s="1" t="n">
        <v>43418</v>
      </c>
      <c r="C214" s="1" t="n">
        <v>45192</v>
      </c>
      <c r="D214" t="inlineStr">
        <is>
          <t>VÄSTERBOTTENS LÄN</t>
        </is>
      </c>
      <c r="E214" t="inlineStr">
        <is>
          <t>SKELLEFTEÅ</t>
        </is>
      </c>
      <c r="G214" t="n">
        <v>0.5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64264-2018</t>
        </is>
      </c>
      <c r="B215" s="1" t="n">
        <v>43419</v>
      </c>
      <c r="C215" s="1" t="n">
        <v>45192</v>
      </c>
      <c r="D215" t="inlineStr">
        <is>
          <t>VÄSTERBOTTENS LÄN</t>
        </is>
      </c>
      <c r="E215" t="inlineStr">
        <is>
          <t>SKELLEFTEÅ</t>
        </is>
      </c>
      <c r="G215" t="n">
        <v>2.5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64360-2018</t>
        </is>
      </c>
      <c r="B216" s="1" t="n">
        <v>43419</v>
      </c>
      <c r="C216" s="1" t="n">
        <v>45192</v>
      </c>
      <c r="D216" t="inlineStr">
        <is>
          <t>VÄSTERBOTTENS LÄN</t>
        </is>
      </c>
      <c r="E216" t="inlineStr">
        <is>
          <t>SKELLEFTEÅ</t>
        </is>
      </c>
      <c r="G216" t="n">
        <v>5.8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59701-2018</t>
        </is>
      </c>
      <c r="B217" s="1" t="n">
        <v>43419</v>
      </c>
      <c r="C217" s="1" t="n">
        <v>45192</v>
      </c>
      <c r="D217" t="inlineStr">
        <is>
          <t>VÄSTERBOTTENS LÄN</t>
        </is>
      </c>
      <c r="E217" t="inlineStr">
        <is>
          <t>SKELLEFTEÅ</t>
        </is>
      </c>
      <c r="G217" t="n">
        <v>1.9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64267-2018</t>
        </is>
      </c>
      <c r="B218" s="1" t="n">
        <v>43419</v>
      </c>
      <c r="C218" s="1" t="n">
        <v>45192</v>
      </c>
      <c r="D218" t="inlineStr">
        <is>
          <t>VÄSTERBOTTENS LÄN</t>
        </is>
      </c>
      <c r="E218" t="inlineStr">
        <is>
          <t>SKELLEFTEÅ</t>
        </is>
      </c>
      <c r="G218" t="n">
        <v>1.6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64354-2018</t>
        </is>
      </c>
      <c r="B219" s="1" t="n">
        <v>43419</v>
      </c>
      <c r="C219" s="1" t="n">
        <v>45192</v>
      </c>
      <c r="D219" t="inlineStr">
        <is>
          <t>VÄSTERBOTTENS LÄN</t>
        </is>
      </c>
      <c r="E219" t="inlineStr">
        <is>
          <t>SKELLEFTEÅ</t>
        </is>
      </c>
      <c r="G219" t="n">
        <v>25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60337-2018</t>
        </is>
      </c>
      <c r="B220" s="1" t="n">
        <v>43420</v>
      </c>
      <c r="C220" s="1" t="n">
        <v>45192</v>
      </c>
      <c r="D220" t="inlineStr">
        <is>
          <t>VÄSTERBOTTENS LÄN</t>
        </is>
      </c>
      <c r="E220" t="inlineStr">
        <is>
          <t>SKELLEFTEÅ</t>
        </is>
      </c>
      <c r="G220" t="n">
        <v>0.9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60639-2018</t>
        </is>
      </c>
      <c r="B221" s="1" t="n">
        <v>43420</v>
      </c>
      <c r="C221" s="1" t="n">
        <v>45192</v>
      </c>
      <c r="D221" t="inlineStr">
        <is>
          <t>VÄSTERBOTTENS LÄN</t>
        </is>
      </c>
      <c r="E221" t="inlineStr">
        <is>
          <t>SKELLEFTEÅ</t>
        </is>
      </c>
      <c r="G221" t="n">
        <v>0.8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64820-2018</t>
        </is>
      </c>
      <c r="B222" s="1" t="n">
        <v>43420</v>
      </c>
      <c r="C222" s="1" t="n">
        <v>45192</v>
      </c>
      <c r="D222" t="inlineStr">
        <is>
          <t>VÄSTERBOTTENS LÄN</t>
        </is>
      </c>
      <c r="E222" t="inlineStr">
        <is>
          <t>SKELLEFTEÅ</t>
        </is>
      </c>
      <c r="G222" t="n">
        <v>1.6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60343-2018</t>
        </is>
      </c>
      <c r="B223" s="1" t="n">
        <v>43420</v>
      </c>
      <c r="C223" s="1" t="n">
        <v>45192</v>
      </c>
      <c r="D223" t="inlineStr">
        <is>
          <t>VÄSTERBOTTENS LÄN</t>
        </is>
      </c>
      <c r="E223" t="inlineStr">
        <is>
          <t>SKELLEFTEÅ</t>
        </is>
      </c>
      <c r="G223" t="n">
        <v>3.5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60334-2018</t>
        </is>
      </c>
      <c r="B224" s="1" t="n">
        <v>43420</v>
      </c>
      <c r="C224" s="1" t="n">
        <v>45192</v>
      </c>
      <c r="D224" t="inlineStr">
        <is>
          <t>VÄSTERBOTTENS LÄN</t>
        </is>
      </c>
      <c r="E224" t="inlineStr">
        <is>
          <t>SKELLEFTEÅ</t>
        </is>
      </c>
      <c r="G224" t="n">
        <v>1.9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60457-2018</t>
        </is>
      </c>
      <c r="B225" s="1" t="n">
        <v>43420</v>
      </c>
      <c r="C225" s="1" t="n">
        <v>45192</v>
      </c>
      <c r="D225" t="inlineStr">
        <is>
          <t>VÄSTERBOTTENS LÄN</t>
        </is>
      </c>
      <c r="E225" t="inlineStr">
        <is>
          <t>SKELLEFTEÅ</t>
        </is>
      </c>
      <c r="G225" t="n">
        <v>1.8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60903-2018</t>
        </is>
      </c>
      <c r="B226" s="1" t="n">
        <v>43423</v>
      </c>
      <c r="C226" s="1" t="n">
        <v>45192</v>
      </c>
      <c r="D226" t="inlineStr">
        <is>
          <t>VÄSTERBOTTENS LÄN</t>
        </is>
      </c>
      <c r="E226" t="inlineStr">
        <is>
          <t>SKELLEFTEÅ</t>
        </is>
      </c>
      <c r="G226" t="n">
        <v>0.7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65062-2018</t>
        </is>
      </c>
      <c r="B227" s="1" t="n">
        <v>43423</v>
      </c>
      <c r="C227" s="1" t="n">
        <v>45192</v>
      </c>
      <c r="D227" t="inlineStr">
        <is>
          <t>VÄSTERBOTTENS LÄN</t>
        </is>
      </c>
      <c r="E227" t="inlineStr">
        <is>
          <t>SKELLEFTEÅ</t>
        </is>
      </c>
      <c r="G227" t="n">
        <v>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65101-2018</t>
        </is>
      </c>
      <c r="B228" s="1" t="n">
        <v>43423</v>
      </c>
      <c r="C228" s="1" t="n">
        <v>45192</v>
      </c>
      <c r="D228" t="inlineStr">
        <is>
          <t>VÄSTERBOTTENS LÄN</t>
        </is>
      </c>
      <c r="E228" t="inlineStr">
        <is>
          <t>SKELLEFTEÅ</t>
        </is>
      </c>
      <c r="G228" t="n">
        <v>3.7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65108-2018</t>
        </is>
      </c>
      <c r="B229" s="1" t="n">
        <v>43423</v>
      </c>
      <c r="C229" s="1" t="n">
        <v>45192</v>
      </c>
      <c r="D229" t="inlineStr">
        <is>
          <t>VÄSTERBOTTENS LÄN</t>
        </is>
      </c>
      <c r="E229" t="inlineStr">
        <is>
          <t>SKELLEFTEÅ</t>
        </is>
      </c>
      <c r="G229" t="n">
        <v>1.2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65079-2018</t>
        </is>
      </c>
      <c r="B230" s="1" t="n">
        <v>43423</v>
      </c>
      <c r="C230" s="1" t="n">
        <v>45192</v>
      </c>
      <c r="D230" t="inlineStr">
        <is>
          <t>VÄSTERBOTTENS LÄN</t>
        </is>
      </c>
      <c r="E230" t="inlineStr">
        <is>
          <t>SKELLEFTEÅ</t>
        </is>
      </c>
      <c r="G230" t="n">
        <v>20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65269-2018</t>
        </is>
      </c>
      <c r="B231" s="1" t="n">
        <v>43424</v>
      </c>
      <c r="C231" s="1" t="n">
        <v>45192</v>
      </c>
      <c r="D231" t="inlineStr">
        <is>
          <t>VÄSTERBOTTENS LÄN</t>
        </is>
      </c>
      <c r="E231" t="inlineStr">
        <is>
          <t>SKELLEFTEÅ</t>
        </is>
      </c>
      <c r="G231" t="n">
        <v>8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61536-2018</t>
        </is>
      </c>
      <c r="B232" s="1" t="n">
        <v>43424</v>
      </c>
      <c r="C232" s="1" t="n">
        <v>45192</v>
      </c>
      <c r="D232" t="inlineStr">
        <is>
          <t>VÄSTERBOTTENS LÄN</t>
        </is>
      </c>
      <c r="E232" t="inlineStr">
        <is>
          <t>SKELLEFTEÅ</t>
        </is>
      </c>
      <c r="G232" t="n">
        <v>5.3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65130-2018</t>
        </is>
      </c>
      <c r="B233" s="1" t="n">
        <v>43424</v>
      </c>
      <c r="C233" s="1" t="n">
        <v>45192</v>
      </c>
      <c r="D233" t="inlineStr">
        <is>
          <t>VÄSTERBOTTENS LÄN</t>
        </is>
      </c>
      <c r="E233" t="inlineStr">
        <is>
          <t>SKELLEFTEÅ</t>
        </is>
      </c>
      <c r="G233" t="n">
        <v>10.8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61687-2018</t>
        </is>
      </c>
      <c r="B234" s="1" t="n">
        <v>43425</v>
      </c>
      <c r="C234" s="1" t="n">
        <v>45192</v>
      </c>
      <c r="D234" t="inlineStr">
        <is>
          <t>VÄSTERBOTTENS LÄN</t>
        </is>
      </c>
      <c r="E234" t="inlineStr">
        <is>
          <t>SKELLEFTEÅ</t>
        </is>
      </c>
      <c r="G234" t="n">
        <v>5.9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62319-2018</t>
        </is>
      </c>
      <c r="B235" s="1" t="n">
        <v>43426</v>
      </c>
      <c r="C235" s="1" t="n">
        <v>45192</v>
      </c>
      <c r="D235" t="inlineStr">
        <is>
          <t>VÄSTERBOTTENS LÄN</t>
        </is>
      </c>
      <c r="E235" t="inlineStr">
        <is>
          <t>SKELLEFTEÅ</t>
        </is>
      </c>
      <c r="G235" t="n">
        <v>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62588-2018</t>
        </is>
      </c>
      <c r="B236" s="1" t="n">
        <v>43426</v>
      </c>
      <c r="C236" s="1" t="n">
        <v>45192</v>
      </c>
      <c r="D236" t="inlineStr">
        <is>
          <t>VÄSTERBOTTENS LÄN</t>
        </is>
      </c>
      <c r="E236" t="inlineStr">
        <is>
          <t>SKELLEFTEÅ</t>
        </is>
      </c>
      <c r="F236" t="inlineStr">
        <is>
          <t>Holmen skog AB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65948-2018</t>
        </is>
      </c>
      <c r="B237" s="1" t="n">
        <v>43426</v>
      </c>
      <c r="C237" s="1" t="n">
        <v>45192</v>
      </c>
      <c r="D237" t="inlineStr">
        <is>
          <t>VÄSTERBOTTENS LÄN</t>
        </is>
      </c>
      <c r="E237" t="inlineStr">
        <is>
          <t>SKELLEFTEÅ</t>
        </is>
      </c>
      <c r="G237" t="n">
        <v>1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65939-2018</t>
        </is>
      </c>
      <c r="B238" s="1" t="n">
        <v>43426</v>
      </c>
      <c r="C238" s="1" t="n">
        <v>45192</v>
      </c>
      <c r="D238" t="inlineStr">
        <is>
          <t>VÄSTERBOTTENS LÄN</t>
        </is>
      </c>
      <c r="E238" t="inlineStr">
        <is>
          <t>SKELLEFTEÅ</t>
        </is>
      </c>
      <c r="G238" t="n">
        <v>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63336-2018</t>
        </is>
      </c>
      <c r="B239" s="1" t="n">
        <v>43427</v>
      </c>
      <c r="C239" s="1" t="n">
        <v>45192</v>
      </c>
      <c r="D239" t="inlineStr">
        <is>
          <t>VÄSTERBOTTENS LÄN</t>
        </is>
      </c>
      <c r="E239" t="inlineStr">
        <is>
          <t>SKELLEFTEÅ</t>
        </is>
      </c>
      <c r="G239" t="n">
        <v>0.1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63652-2018</t>
        </is>
      </c>
      <c r="B240" s="1" t="n">
        <v>43427</v>
      </c>
      <c r="C240" s="1" t="n">
        <v>45192</v>
      </c>
      <c r="D240" t="inlineStr">
        <is>
          <t>VÄSTERBOTTENS LÄN</t>
        </is>
      </c>
      <c r="E240" t="inlineStr">
        <is>
          <t>SKELLEFTEÅ</t>
        </is>
      </c>
      <c r="F240" t="inlineStr">
        <is>
          <t>SCA</t>
        </is>
      </c>
      <c r="G240" t="n">
        <v>1.9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66338-2018</t>
        </is>
      </c>
      <c r="B241" s="1" t="n">
        <v>43428</v>
      </c>
      <c r="C241" s="1" t="n">
        <v>45192</v>
      </c>
      <c r="D241" t="inlineStr">
        <is>
          <t>VÄSTERBOTTENS LÄN</t>
        </is>
      </c>
      <c r="E241" t="inlineStr">
        <is>
          <t>SKELLEFTEÅ</t>
        </is>
      </c>
      <c r="G241" t="n">
        <v>1.3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63881-2018</t>
        </is>
      </c>
      <c r="B242" s="1" t="n">
        <v>43430</v>
      </c>
      <c r="C242" s="1" t="n">
        <v>45192</v>
      </c>
      <c r="D242" t="inlineStr">
        <is>
          <t>VÄSTERBOTTENS LÄN</t>
        </is>
      </c>
      <c r="E242" t="inlineStr">
        <is>
          <t>SKELLEFTEÅ</t>
        </is>
      </c>
      <c r="F242" t="inlineStr">
        <is>
          <t>Holmen skog AB</t>
        </is>
      </c>
      <c r="G242" t="n">
        <v>6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64387-2018</t>
        </is>
      </c>
      <c r="B243" s="1" t="n">
        <v>43430</v>
      </c>
      <c r="C243" s="1" t="n">
        <v>45192</v>
      </c>
      <c r="D243" t="inlineStr">
        <is>
          <t>VÄSTERBOTTENS LÄN</t>
        </is>
      </c>
      <c r="E243" t="inlineStr">
        <is>
          <t>SKELLEFTEÅ</t>
        </is>
      </c>
      <c r="G243" t="n">
        <v>3.1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66741-2018</t>
        </is>
      </c>
      <c r="B244" s="1" t="n">
        <v>43430</v>
      </c>
      <c r="C244" s="1" t="n">
        <v>45192</v>
      </c>
      <c r="D244" t="inlineStr">
        <is>
          <t>VÄSTERBOTTENS LÄN</t>
        </is>
      </c>
      <c r="E244" t="inlineStr">
        <is>
          <t>SKELLEFTEÅ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64388-2018</t>
        </is>
      </c>
      <c r="B245" s="1" t="n">
        <v>43430</v>
      </c>
      <c r="C245" s="1" t="n">
        <v>45192</v>
      </c>
      <c r="D245" t="inlineStr">
        <is>
          <t>VÄSTERBOTTENS LÄN</t>
        </is>
      </c>
      <c r="E245" t="inlineStr">
        <is>
          <t>SKELLEFTEÅ</t>
        </is>
      </c>
      <c r="G245" t="n">
        <v>1.6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66742-2018</t>
        </is>
      </c>
      <c r="B246" s="1" t="n">
        <v>43430</v>
      </c>
      <c r="C246" s="1" t="n">
        <v>45192</v>
      </c>
      <c r="D246" t="inlineStr">
        <is>
          <t>VÄSTERBOTTENS LÄN</t>
        </is>
      </c>
      <c r="E246" t="inlineStr">
        <is>
          <t>SKELLEFTEÅ</t>
        </is>
      </c>
      <c r="G246" t="n">
        <v>1.7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63923-2018</t>
        </is>
      </c>
      <c r="B247" s="1" t="n">
        <v>43430</v>
      </c>
      <c r="C247" s="1" t="n">
        <v>45192</v>
      </c>
      <c r="D247" t="inlineStr">
        <is>
          <t>VÄSTERBOTTENS LÄN</t>
        </is>
      </c>
      <c r="E247" t="inlineStr">
        <is>
          <t>SKELLEFTEÅ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64386-2018</t>
        </is>
      </c>
      <c r="B248" s="1" t="n">
        <v>43430</v>
      </c>
      <c r="C248" s="1" t="n">
        <v>45192</v>
      </c>
      <c r="D248" t="inlineStr">
        <is>
          <t>VÄSTERBOTTENS LÄN</t>
        </is>
      </c>
      <c r="E248" t="inlineStr">
        <is>
          <t>SKELLEFTEÅ</t>
        </is>
      </c>
      <c r="G248" t="n">
        <v>4.5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66506-2018</t>
        </is>
      </c>
      <c r="B249" s="1" t="n">
        <v>43430</v>
      </c>
      <c r="C249" s="1" t="n">
        <v>45192</v>
      </c>
      <c r="D249" t="inlineStr">
        <is>
          <t>VÄSTERBOTTENS LÄN</t>
        </is>
      </c>
      <c r="E249" t="inlineStr">
        <is>
          <t>SKELLEFTEÅ</t>
        </is>
      </c>
      <c r="G249" t="n">
        <v>3.8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67250-2018</t>
        </is>
      </c>
      <c r="B250" s="1" t="n">
        <v>43431</v>
      </c>
      <c r="C250" s="1" t="n">
        <v>45192</v>
      </c>
      <c r="D250" t="inlineStr">
        <is>
          <t>VÄSTERBOTTENS LÄN</t>
        </is>
      </c>
      <c r="E250" t="inlineStr">
        <is>
          <t>SKELLEFTEÅ</t>
        </is>
      </c>
      <c r="G250" t="n">
        <v>0.5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67226-2018</t>
        </is>
      </c>
      <c r="B251" s="1" t="n">
        <v>43431</v>
      </c>
      <c r="C251" s="1" t="n">
        <v>45192</v>
      </c>
      <c r="D251" t="inlineStr">
        <is>
          <t>VÄSTERBOTTENS LÄN</t>
        </is>
      </c>
      <c r="E251" t="inlineStr">
        <is>
          <t>SKELLEFTEÅ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65162-2018</t>
        </is>
      </c>
      <c r="B252" s="1" t="n">
        <v>43432</v>
      </c>
      <c r="C252" s="1" t="n">
        <v>45192</v>
      </c>
      <c r="D252" t="inlineStr">
        <is>
          <t>VÄSTERBOTTENS LÄN</t>
        </is>
      </c>
      <c r="E252" t="inlineStr">
        <is>
          <t>SKELLEFTEÅ</t>
        </is>
      </c>
      <c r="F252" t="inlineStr">
        <is>
          <t>Sveaskog</t>
        </is>
      </c>
      <c r="G252" t="n">
        <v>3.5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65177-2018</t>
        </is>
      </c>
      <c r="B253" s="1" t="n">
        <v>43432</v>
      </c>
      <c r="C253" s="1" t="n">
        <v>45192</v>
      </c>
      <c r="D253" t="inlineStr">
        <is>
          <t>VÄSTERBOTTENS LÄN</t>
        </is>
      </c>
      <c r="E253" t="inlineStr">
        <is>
          <t>SKELLEFTEÅ</t>
        </is>
      </c>
      <c r="F253" t="inlineStr">
        <is>
          <t>Sveaskog</t>
        </is>
      </c>
      <c r="G253" t="n">
        <v>1.5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67355-2018</t>
        </is>
      </c>
      <c r="B254" s="1" t="n">
        <v>43432</v>
      </c>
      <c r="C254" s="1" t="n">
        <v>45192</v>
      </c>
      <c r="D254" t="inlineStr">
        <is>
          <t>VÄSTERBOTTENS LÄN</t>
        </is>
      </c>
      <c r="E254" t="inlineStr">
        <is>
          <t>SKELLEFTEÅ</t>
        </is>
      </c>
      <c r="G254" t="n">
        <v>8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65206-2018</t>
        </is>
      </c>
      <c r="B255" s="1" t="n">
        <v>43432</v>
      </c>
      <c r="C255" s="1" t="n">
        <v>45192</v>
      </c>
      <c r="D255" t="inlineStr">
        <is>
          <t>VÄSTERBOTTENS LÄN</t>
        </is>
      </c>
      <c r="E255" t="inlineStr">
        <is>
          <t>SKELLEFTEÅ</t>
        </is>
      </c>
      <c r="F255" t="inlineStr">
        <is>
          <t>Holmen skog AB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65173-2018</t>
        </is>
      </c>
      <c r="B256" s="1" t="n">
        <v>43432</v>
      </c>
      <c r="C256" s="1" t="n">
        <v>45192</v>
      </c>
      <c r="D256" t="inlineStr">
        <is>
          <t>VÄSTERBOTTENS LÄN</t>
        </is>
      </c>
      <c r="E256" t="inlineStr">
        <is>
          <t>SKELLEFTEÅ</t>
        </is>
      </c>
      <c r="F256" t="inlineStr">
        <is>
          <t>Sveaskog</t>
        </is>
      </c>
      <c r="G256" t="n">
        <v>0.6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65178-2018</t>
        </is>
      </c>
      <c r="B257" s="1" t="n">
        <v>43432</v>
      </c>
      <c r="C257" s="1" t="n">
        <v>45192</v>
      </c>
      <c r="D257" t="inlineStr">
        <is>
          <t>VÄSTERBOTTENS LÄN</t>
        </is>
      </c>
      <c r="E257" t="inlineStr">
        <is>
          <t>SKELLEFTEÅ</t>
        </is>
      </c>
      <c r="F257" t="inlineStr">
        <is>
          <t>Sveaskog</t>
        </is>
      </c>
      <c r="G257" t="n">
        <v>1.8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65341-2018</t>
        </is>
      </c>
      <c r="B258" s="1" t="n">
        <v>43433</v>
      </c>
      <c r="C258" s="1" t="n">
        <v>45192</v>
      </c>
      <c r="D258" t="inlineStr">
        <is>
          <t>VÄSTERBOTTENS LÄN</t>
        </is>
      </c>
      <c r="E258" t="inlineStr">
        <is>
          <t>SKELLEFTEÅ</t>
        </is>
      </c>
      <c r="F258" t="inlineStr">
        <is>
          <t>Holmen skog AB</t>
        </is>
      </c>
      <c r="G258" t="n">
        <v>1.4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65822-2018</t>
        </is>
      </c>
      <c r="B259" s="1" t="n">
        <v>43433</v>
      </c>
      <c r="C259" s="1" t="n">
        <v>45192</v>
      </c>
      <c r="D259" t="inlineStr">
        <is>
          <t>VÄSTERBOTTENS LÄN</t>
        </is>
      </c>
      <c r="E259" t="inlineStr">
        <is>
          <t>SKELLEFTEÅ</t>
        </is>
      </c>
      <c r="F259" t="inlineStr">
        <is>
          <t>Sveaskog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65854-2018</t>
        </is>
      </c>
      <c r="B260" s="1" t="n">
        <v>43434</v>
      </c>
      <c r="C260" s="1" t="n">
        <v>45192</v>
      </c>
      <c r="D260" t="inlineStr">
        <is>
          <t>VÄSTERBOTTENS LÄN</t>
        </is>
      </c>
      <c r="E260" t="inlineStr">
        <is>
          <t>SKELLEFTEÅ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67797-2018</t>
        </is>
      </c>
      <c r="B261" s="1" t="n">
        <v>43434</v>
      </c>
      <c r="C261" s="1" t="n">
        <v>45192</v>
      </c>
      <c r="D261" t="inlineStr">
        <is>
          <t>VÄSTERBOTTENS LÄN</t>
        </is>
      </c>
      <c r="E261" t="inlineStr">
        <is>
          <t>SKELLEFTEÅ</t>
        </is>
      </c>
      <c r="G261" t="n">
        <v>2.2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68066-2018</t>
        </is>
      </c>
      <c r="B262" s="1" t="n">
        <v>43437</v>
      </c>
      <c r="C262" s="1" t="n">
        <v>45192</v>
      </c>
      <c r="D262" t="inlineStr">
        <is>
          <t>VÄSTERBOTTENS LÄN</t>
        </is>
      </c>
      <c r="E262" t="inlineStr">
        <is>
          <t>SKELLEFTEÅ</t>
        </is>
      </c>
      <c r="F262" t="inlineStr">
        <is>
          <t>Kommuner</t>
        </is>
      </c>
      <c r="G262" t="n">
        <v>5.7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66620-2018</t>
        </is>
      </c>
      <c r="B263" s="1" t="n">
        <v>43437</v>
      </c>
      <c r="C263" s="1" t="n">
        <v>45192</v>
      </c>
      <c r="D263" t="inlineStr">
        <is>
          <t>VÄSTERBOTTENS LÄN</t>
        </is>
      </c>
      <c r="E263" t="inlineStr">
        <is>
          <t>SKELLEFTEÅ</t>
        </is>
      </c>
      <c r="F263" t="inlineStr">
        <is>
          <t>Kommuner</t>
        </is>
      </c>
      <c r="G263" t="n">
        <v>1.9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66652-2018</t>
        </is>
      </c>
      <c r="B264" s="1" t="n">
        <v>43437</v>
      </c>
      <c r="C264" s="1" t="n">
        <v>45192</v>
      </c>
      <c r="D264" t="inlineStr">
        <is>
          <t>VÄSTERBOTTENS LÄN</t>
        </is>
      </c>
      <c r="E264" t="inlineStr">
        <is>
          <t>SKELLEFTEÅ</t>
        </is>
      </c>
      <c r="G264" t="n">
        <v>0.2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67211-2018</t>
        </is>
      </c>
      <c r="B265" s="1" t="n">
        <v>43439</v>
      </c>
      <c r="C265" s="1" t="n">
        <v>45192</v>
      </c>
      <c r="D265" t="inlineStr">
        <is>
          <t>VÄSTERBOTTENS LÄN</t>
        </is>
      </c>
      <c r="E265" t="inlineStr">
        <is>
          <t>SKELLEFTEÅ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67262-2018</t>
        </is>
      </c>
      <c r="B266" s="1" t="n">
        <v>43439</v>
      </c>
      <c r="C266" s="1" t="n">
        <v>45192</v>
      </c>
      <c r="D266" t="inlineStr">
        <is>
          <t>VÄSTERBOTTENS LÄN</t>
        </is>
      </c>
      <c r="E266" t="inlineStr">
        <is>
          <t>SKELLEFTEÅ</t>
        </is>
      </c>
      <c r="F266" t="inlineStr">
        <is>
          <t>Holmen skog AB</t>
        </is>
      </c>
      <c r="G266" t="n">
        <v>4.7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67919-2018</t>
        </is>
      </c>
      <c r="B267" s="1" t="n">
        <v>43440</v>
      </c>
      <c r="C267" s="1" t="n">
        <v>45192</v>
      </c>
      <c r="D267" t="inlineStr">
        <is>
          <t>VÄSTERBOTTENS LÄN</t>
        </is>
      </c>
      <c r="E267" t="inlineStr">
        <is>
          <t>SKELLEFTEÅ</t>
        </is>
      </c>
      <c r="G267" t="n">
        <v>2.8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67680-2018</t>
        </is>
      </c>
      <c r="B268" s="1" t="n">
        <v>43440</v>
      </c>
      <c r="C268" s="1" t="n">
        <v>45192</v>
      </c>
      <c r="D268" t="inlineStr">
        <is>
          <t>VÄSTERBOTTENS LÄN</t>
        </is>
      </c>
      <c r="E268" t="inlineStr">
        <is>
          <t>SKELLEFTEÅ</t>
        </is>
      </c>
      <c r="G268" t="n">
        <v>6.4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67697-2018</t>
        </is>
      </c>
      <c r="B269" s="1" t="n">
        <v>43440</v>
      </c>
      <c r="C269" s="1" t="n">
        <v>45192</v>
      </c>
      <c r="D269" t="inlineStr">
        <is>
          <t>VÄSTERBOTTENS LÄN</t>
        </is>
      </c>
      <c r="E269" t="inlineStr">
        <is>
          <t>SKELLEFTEÅ</t>
        </is>
      </c>
      <c r="F269" t="inlineStr">
        <is>
          <t>Sveaskog</t>
        </is>
      </c>
      <c r="G269" t="n">
        <v>25.8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67681-2018</t>
        </is>
      </c>
      <c r="B270" s="1" t="n">
        <v>43440</v>
      </c>
      <c r="C270" s="1" t="n">
        <v>45192</v>
      </c>
      <c r="D270" t="inlineStr">
        <is>
          <t>VÄSTERBOTTENS LÄN</t>
        </is>
      </c>
      <c r="E270" t="inlineStr">
        <is>
          <t>SKELLEFTEÅ</t>
        </is>
      </c>
      <c r="F270" t="inlineStr">
        <is>
          <t>Sveaskog</t>
        </is>
      </c>
      <c r="G270" t="n">
        <v>25.6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68908-2018</t>
        </is>
      </c>
      <c r="B271" s="1" t="n">
        <v>43440</v>
      </c>
      <c r="C271" s="1" t="n">
        <v>45192</v>
      </c>
      <c r="D271" t="inlineStr">
        <is>
          <t>VÄSTERBOTTENS LÄN</t>
        </is>
      </c>
      <c r="E271" t="inlineStr">
        <is>
          <t>SKELLEFTEÅ</t>
        </is>
      </c>
      <c r="G271" t="n">
        <v>1.3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68019-2018</t>
        </is>
      </c>
      <c r="B272" s="1" t="n">
        <v>43441</v>
      </c>
      <c r="C272" s="1" t="n">
        <v>45192</v>
      </c>
      <c r="D272" t="inlineStr">
        <is>
          <t>VÄSTERBOTTENS LÄN</t>
        </is>
      </c>
      <c r="E272" t="inlineStr">
        <is>
          <t>SKELLEFTEÅ</t>
        </is>
      </c>
      <c r="G272" t="n">
        <v>9.1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68114-2018</t>
        </is>
      </c>
      <c r="B273" s="1" t="n">
        <v>43441</v>
      </c>
      <c r="C273" s="1" t="n">
        <v>45192</v>
      </c>
      <c r="D273" t="inlineStr">
        <is>
          <t>VÄSTERBOTTENS LÄN</t>
        </is>
      </c>
      <c r="E273" t="inlineStr">
        <is>
          <t>SKELLEFTEÅ</t>
        </is>
      </c>
      <c r="G273" t="n">
        <v>1.2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68103-2018</t>
        </is>
      </c>
      <c r="B274" s="1" t="n">
        <v>43441</v>
      </c>
      <c r="C274" s="1" t="n">
        <v>45192</v>
      </c>
      <c r="D274" t="inlineStr">
        <is>
          <t>VÄSTERBOTTENS LÄN</t>
        </is>
      </c>
      <c r="E274" t="inlineStr">
        <is>
          <t>SKELLEFTEÅ</t>
        </is>
      </c>
      <c r="G274" t="n">
        <v>1.8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68761-2018</t>
        </is>
      </c>
      <c r="B275" s="1" t="n">
        <v>43444</v>
      </c>
      <c r="C275" s="1" t="n">
        <v>45192</v>
      </c>
      <c r="D275" t="inlineStr">
        <is>
          <t>VÄSTERBOTTENS LÄN</t>
        </is>
      </c>
      <c r="E275" t="inlineStr">
        <is>
          <t>SKELLEFTEÅ</t>
        </is>
      </c>
      <c r="F275" t="inlineStr">
        <is>
          <t>Sveaskog</t>
        </is>
      </c>
      <c r="G275" t="n">
        <v>9.699999999999999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68924-2018</t>
        </is>
      </c>
      <c r="B276" s="1" t="n">
        <v>43445</v>
      </c>
      <c r="C276" s="1" t="n">
        <v>45192</v>
      </c>
      <c r="D276" t="inlineStr">
        <is>
          <t>VÄSTERBOTTENS LÄN</t>
        </is>
      </c>
      <c r="E276" t="inlineStr">
        <is>
          <t>SKELLEFTEÅ</t>
        </is>
      </c>
      <c r="G276" t="n">
        <v>0.6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70289-2018</t>
        </is>
      </c>
      <c r="B277" s="1" t="n">
        <v>43445</v>
      </c>
      <c r="C277" s="1" t="n">
        <v>45192</v>
      </c>
      <c r="D277" t="inlineStr">
        <is>
          <t>VÄSTERBOTTENS LÄN</t>
        </is>
      </c>
      <c r="E277" t="inlineStr">
        <is>
          <t>SKELLEFTEÅ</t>
        </is>
      </c>
      <c r="G277" t="n">
        <v>2.7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69413-2018</t>
        </is>
      </c>
      <c r="B278" s="1" t="n">
        <v>43446</v>
      </c>
      <c r="C278" s="1" t="n">
        <v>45192</v>
      </c>
      <c r="D278" t="inlineStr">
        <is>
          <t>VÄSTERBOTTENS LÄN</t>
        </is>
      </c>
      <c r="E278" t="inlineStr">
        <is>
          <t>SKELLEFTEÅ</t>
        </is>
      </c>
      <c r="G278" t="n">
        <v>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69881-2018</t>
        </is>
      </c>
      <c r="B279" s="1" t="n">
        <v>43447</v>
      </c>
      <c r="C279" s="1" t="n">
        <v>45192</v>
      </c>
      <c r="D279" t="inlineStr">
        <is>
          <t>VÄSTERBOTTENS LÄN</t>
        </is>
      </c>
      <c r="E279" t="inlineStr">
        <is>
          <t>SKELLEFTEÅ</t>
        </is>
      </c>
      <c r="G279" t="n">
        <v>1.9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70608-2018</t>
        </is>
      </c>
      <c r="B280" s="1" t="n">
        <v>43447</v>
      </c>
      <c r="C280" s="1" t="n">
        <v>45192</v>
      </c>
      <c r="D280" t="inlineStr">
        <is>
          <t>VÄSTERBOTTENS LÄN</t>
        </is>
      </c>
      <c r="E280" t="inlineStr">
        <is>
          <t>SKELLEFTEÅ</t>
        </is>
      </c>
      <c r="G280" t="n">
        <v>11.9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70977-2018</t>
        </is>
      </c>
      <c r="B281" s="1" t="n">
        <v>43448</v>
      </c>
      <c r="C281" s="1" t="n">
        <v>45192</v>
      </c>
      <c r="D281" t="inlineStr">
        <is>
          <t>VÄSTERBOTTENS LÄN</t>
        </is>
      </c>
      <c r="E281" t="inlineStr">
        <is>
          <t>SKELLEFTEÅ</t>
        </is>
      </c>
      <c r="G281" t="n">
        <v>1.8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70111-2018</t>
        </is>
      </c>
      <c r="B282" s="1" t="n">
        <v>43448</v>
      </c>
      <c r="C282" s="1" t="n">
        <v>45192</v>
      </c>
      <c r="D282" t="inlineStr">
        <is>
          <t>VÄSTERBOTTENS LÄN</t>
        </is>
      </c>
      <c r="E282" t="inlineStr">
        <is>
          <t>SKELLEFTEÅ</t>
        </is>
      </c>
      <c r="F282" t="inlineStr">
        <is>
          <t>Kommuner</t>
        </is>
      </c>
      <c r="G282" t="n">
        <v>8.199999999999999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70981-2018</t>
        </is>
      </c>
      <c r="B283" s="1" t="n">
        <v>43448</v>
      </c>
      <c r="C283" s="1" t="n">
        <v>45192</v>
      </c>
      <c r="D283" t="inlineStr">
        <is>
          <t>VÄSTERBOTTENS LÄN</t>
        </is>
      </c>
      <c r="E283" t="inlineStr">
        <is>
          <t>SKELLEFTEÅ</t>
        </is>
      </c>
      <c r="G283" t="n">
        <v>1.6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70109-2018</t>
        </is>
      </c>
      <c r="B284" s="1" t="n">
        <v>43448</v>
      </c>
      <c r="C284" s="1" t="n">
        <v>45192</v>
      </c>
      <c r="D284" t="inlineStr">
        <is>
          <t>VÄSTERBOTTENS LÄN</t>
        </is>
      </c>
      <c r="E284" t="inlineStr">
        <is>
          <t>SKELLEFTEÅ</t>
        </is>
      </c>
      <c r="F284" t="inlineStr">
        <is>
          <t>Kommuner</t>
        </is>
      </c>
      <c r="G284" t="n">
        <v>2.5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70669-2018</t>
        </is>
      </c>
      <c r="B285" s="1" t="n">
        <v>43451</v>
      </c>
      <c r="C285" s="1" t="n">
        <v>45192</v>
      </c>
      <c r="D285" t="inlineStr">
        <is>
          <t>VÄSTERBOTTENS LÄN</t>
        </is>
      </c>
      <c r="E285" t="inlineStr">
        <is>
          <t>SKELLEFTEÅ</t>
        </is>
      </c>
      <c r="G285" t="n">
        <v>16.2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70790-2018</t>
        </is>
      </c>
      <c r="B286" s="1" t="n">
        <v>43451</v>
      </c>
      <c r="C286" s="1" t="n">
        <v>45192</v>
      </c>
      <c r="D286" t="inlineStr">
        <is>
          <t>VÄSTERBOTTENS LÄN</t>
        </is>
      </c>
      <c r="E286" t="inlineStr">
        <is>
          <t>SKELLEFTEÅ</t>
        </is>
      </c>
      <c r="G286" t="n">
        <v>1.4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71571-2018</t>
        </is>
      </c>
      <c r="B287" s="1" t="n">
        <v>43452</v>
      </c>
      <c r="C287" s="1" t="n">
        <v>45192</v>
      </c>
      <c r="D287" t="inlineStr">
        <is>
          <t>VÄSTERBOTTENS LÄN</t>
        </is>
      </c>
      <c r="E287" t="inlineStr">
        <is>
          <t>SKELLEFTEÅ</t>
        </is>
      </c>
      <c r="G287" t="n">
        <v>1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70930-2018</t>
        </is>
      </c>
      <c r="B288" s="1" t="n">
        <v>43452</v>
      </c>
      <c r="C288" s="1" t="n">
        <v>45192</v>
      </c>
      <c r="D288" t="inlineStr">
        <is>
          <t>VÄSTERBOTTENS LÄN</t>
        </is>
      </c>
      <c r="E288" t="inlineStr">
        <is>
          <t>SKELLEFTEÅ</t>
        </is>
      </c>
      <c r="G288" t="n">
        <v>6.9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71077-2018</t>
        </is>
      </c>
      <c r="B289" s="1" t="n">
        <v>43452</v>
      </c>
      <c r="C289" s="1" t="n">
        <v>45192</v>
      </c>
      <c r="D289" t="inlineStr">
        <is>
          <t>VÄSTERBOTTENS LÄN</t>
        </is>
      </c>
      <c r="E289" t="inlineStr">
        <is>
          <t>SKELLEFTEÅ</t>
        </is>
      </c>
      <c r="G289" t="n">
        <v>7.7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71568-2018</t>
        </is>
      </c>
      <c r="B290" s="1" t="n">
        <v>43452</v>
      </c>
      <c r="C290" s="1" t="n">
        <v>45192</v>
      </c>
      <c r="D290" t="inlineStr">
        <is>
          <t>VÄSTERBOTTENS LÄN</t>
        </is>
      </c>
      <c r="E290" t="inlineStr">
        <is>
          <t>SKELLEFTEÅ</t>
        </is>
      </c>
      <c r="G290" t="n">
        <v>3.7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71324-2018</t>
        </is>
      </c>
      <c r="B291" s="1" t="n">
        <v>43453</v>
      </c>
      <c r="C291" s="1" t="n">
        <v>45192</v>
      </c>
      <c r="D291" t="inlineStr">
        <is>
          <t>VÄSTERBOTTENS LÄN</t>
        </is>
      </c>
      <c r="E291" t="inlineStr">
        <is>
          <t>SKELLEFTEÅ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72252-2018</t>
        </is>
      </c>
      <c r="B292" s="1" t="n">
        <v>43454</v>
      </c>
      <c r="C292" s="1" t="n">
        <v>45192</v>
      </c>
      <c r="D292" t="inlineStr">
        <is>
          <t>VÄSTERBOTTENS LÄN</t>
        </is>
      </c>
      <c r="E292" t="inlineStr">
        <is>
          <t>SKELLEFTEÅ</t>
        </is>
      </c>
      <c r="G292" t="n">
        <v>20.7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71548-2018</t>
        </is>
      </c>
      <c r="B293" s="1" t="n">
        <v>43454</v>
      </c>
      <c r="C293" s="1" t="n">
        <v>45192</v>
      </c>
      <c r="D293" t="inlineStr">
        <is>
          <t>VÄSTERBOTTENS LÄN</t>
        </is>
      </c>
      <c r="E293" t="inlineStr">
        <is>
          <t>SKELLEFTEÅ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72082-2018</t>
        </is>
      </c>
      <c r="B294" s="1" t="n">
        <v>43455</v>
      </c>
      <c r="C294" s="1" t="n">
        <v>45192</v>
      </c>
      <c r="D294" t="inlineStr">
        <is>
          <t>VÄSTERBOTTENS LÄN</t>
        </is>
      </c>
      <c r="E294" t="inlineStr">
        <is>
          <t>SKELLEFTEÅ</t>
        </is>
      </c>
      <c r="F294" t="inlineStr">
        <is>
          <t>Holmen skog AB</t>
        </is>
      </c>
      <c r="G294" t="n">
        <v>12.8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626-2019</t>
        </is>
      </c>
      <c r="B295" s="1" t="n">
        <v>43455</v>
      </c>
      <c r="C295" s="1" t="n">
        <v>45192</v>
      </c>
      <c r="D295" t="inlineStr">
        <is>
          <t>VÄSTERBOTTENS LÄN</t>
        </is>
      </c>
      <c r="E295" t="inlineStr">
        <is>
          <t>SKELLEFTEÅ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623-2019</t>
        </is>
      </c>
      <c r="B296" s="1" t="n">
        <v>43455</v>
      </c>
      <c r="C296" s="1" t="n">
        <v>45192</v>
      </c>
      <c r="D296" t="inlineStr">
        <is>
          <t>VÄSTERBOTTENS LÄN</t>
        </is>
      </c>
      <c r="E296" t="inlineStr">
        <is>
          <t>SKELLEFTEÅ</t>
        </is>
      </c>
      <c r="G296" t="n">
        <v>7.4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71948-2018</t>
        </is>
      </c>
      <c r="B297" s="1" t="n">
        <v>43455</v>
      </c>
      <c r="C297" s="1" t="n">
        <v>45192</v>
      </c>
      <c r="D297" t="inlineStr">
        <is>
          <t>VÄSTERBOTTENS LÄN</t>
        </is>
      </c>
      <c r="E297" t="inlineStr">
        <is>
          <t>SKELLEFTEÅ</t>
        </is>
      </c>
      <c r="G297" t="n">
        <v>9.4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72104-2018</t>
        </is>
      </c>
      <c r="B298" s="1" t="n">
        <v>43455</v>
      </c>
      <c r="C298" s="1" t="n">
        <v>45192</v>
      </c>
      <c r="D298" t="inlineStr">
        <is>
          <t>VÄSTERBOTTENS LÄN</t>
        </is>
      </c>
      <c r="E298" t="inlineStr">
        <is>
          <t>SKELLEFTEÅ</t>
        </is>
      </c>
      <c r="F298" t="inlineStr">
        <is>
          <t>Holmen skog AB</t>
        </is>
      </c>
      <c r="G298" t="n">
        <v>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294-2019</t>
        </is>
      </c>
      <c r="B299" s="1" t="n">
        <v>43468</v>
      </c>
      <c r="C299" s="1" t="n">
        <v>45192</v>
      </c>
      <c r="D299" t="inlineStr">
        <is>
          <t>VÄSTERBOTTENS LÄN</t>
        </is>
      </c>
      <c r="E299" t="inlineStr">
        <is>
          <t>SKELLEFTEÅ</t>
        </is>
      </c>
      <c r="G299" t="n">
        <v>1.4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3011-2019</t>
        </is>
      </c>
      <c r="B300" s="1" t="n">
        <v>43472</v>
      </c>
      <c r="C300" s="1" t="n">
        <v>45192</v>
      </c>
      <c r="D300" t="inlineStr">
        <is>
          <t>VÄSTERBOTTENS LÄN</t>
        </is>
      </c>
      <c r="E300" t="inlineStr">
        <is>
          <t>SKELLEFTEÅ</t>
        </is>
      </c>
      <c r="G300" t="n">
        <v>2.8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2943-2019</t>
        </is>
      </c>
      <c r="B301" s="1" t="n">
        <v>43472</v>
      </c>
      <c r="C301" s="1" t="n">
        <v>45192</v>
      </c>
      <c r="D301" t="inlineStr">
        <is>
          <t>VÄSTERBOTTENS LÄN</t>
        </is>
      </c>
      <c r="E301" t="inlineStr">
        <is>
          <t>SKELLEFTEÅ</t>
        </is>
      </c>
      <c r="G301" t="n">
        <v>5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3141-2019</t>
        </is>
      </c>
      <c r="B302" s="1" t="n">
        <v>43472</v>
      </c>
      <c r="C302" s="1" t="n">
        <v>45192</v>
      </c>
      <c r="D302" t="inlineStr">
        <is>
          <t>VÄSTERBOTTENS LÄN</t>
        </is>
      </c>
      <c r="E302" t="inlineStr">
        <is>
          <t>SKELLEFTEÅ</t>
        </is>
      </c>
      <c r="G302" t="n">
        <v>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1258-2019</t>
        </is>
      </c>
      <c r="B303" s="1" t="n">
        <v>43473</v>
      </c>
      <c r="C303" s="1" t="n">
        <v>45192</v>
      </c>
      <c r="D303" t="inlineStr">
        <is>
          <t>VÄSTERBOTTENS LÄN</t>
        </is>
      </c>
      <c r="E303" t="inlineStr">
        <is>
          <t>SKELLEFTEÅ</t>
        </is>
      </c>
      <c r="F303" t="inlineStr">
        <is>
          <t>Sveaskog</t>
        </is>
      </c>
      <c r="G303" t="n">
        <v>2.6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1267-2019</t>
        </is>
      </c>
      <c r="B304" s="1" t="n">
        <v>43473</v>
      </c>
      <c r="C304" s="1" t="n">
        <v>45192</v>
      </c>
      <c r="D304" t="inlineStr">
        <is>
          <t>VÄSTERBOTTENS LÄN</t>
        </is>
      </c>
      <c r="E304" t="inlineStr">
        <is>
          <t>SKELLEFTEÅ</t>
        </is>
      </c>
      <c r="F304" t="inlineStr">
        <is>
          <t>Sveaskog</t>
        </is>
      </c>
      <c r="G304" t="n">
        <v>11.4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1463-2019</t>
        </is>
      </c>
      <c r="B305" s="1" t="n">
        <v>43473</v>
      </c>
      <c r="C305" s="1" t="n">
        <v>45192</v>
      </c>
      <c r="D305" t="inlineStr">
        <is>
          <t>VÄSTERBOTTENS LÄN</t>
        </is>
      </c>
      <c r="E305" t="inlineStr">
        <is>
          <t>SKELLEFTEÅ</t>
        </is>
      </c>
      <c r="G305" t="n">
        <v>6.5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1245-2019</t>
        </is>
      </c>
      <c r="B306" s="1" t="n">
        <v>43473</v>
      </c>
      <c r="C306" s="1" t="n">
        <v>45192</v>
      </c>
      <c r="D306" t="inlineStr">
        <is>
          <t>VÄSTERBOTTENS LÄN</t>
        </is>
      </c>
      <c r="E306" t="inlineStr">
        <is>
          <t>SKELLEFTEÅ</t>
        </is>
      </c>
      <c r="F306" t="inlineStr">
        <is>
          <t>Sveaskog</t>
        </is>
      </c>
      <c r="G306" t="n">
        <v>6.6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1255-2019</t>
        </is>
      </c>
      <c r="B307" s="1" t="n">
        <v>43473</v>
      </c>
      <c r="C307" s="1" t="n">
        <v>45192</v>
      </c>
      <c r="D307" t="inlineStr">
        <is>
          <t>VÄSTERBOTTENS LÄN</t>
        </is>
      </c>
      <c r="E307" t="inlineStr">
        <is>
          <t>SKELLEFTEÅ</t>
        </is>
      </c>
      <c r="F307" t="inlineStr">
        <is>
          <t>Sveaskog</t>
        </is>
      </c>
      <c r="G307" t="n">
        <v>3.2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3172-2019</t>
        </is>
      </c>
      <c r="B308" s="1" t="n">
        <v>43473</v>
      </c>
      <c r="C308" s="1" t="n">
        <v>45192</v>
      </c>
      <c r="D308" t="inlineStr">
        <is>
          <t>VÄSTERBOTTENS LÄN</t>
        </is>
      </c>
      <c r="E308" t="inlineStr">
        <is>
          <t>SKELLEFTEÅ</t>
        </is>
      </c>
      <c r="G308" t="n">
        <v>3.6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1206-2019</t>
        </is>
      </c>
      <c r="B309" s="1" t="n">
        <v>43473</v>
      </c>
      <c r="C309" s="1" t="n">
        <v>45192</v>
      </c>
      <c r="D309" t="inlineStr">
        <is>
          <t>VÄSTERBOTTENS LÄN</t>
        </is>
      </c>
      <c r="E309" t="inlineStr">
        <is>
          <t>SKELLEFTEÅ</t>
        </is>
      </c>
      <c r="G309" t="n">
        <v>4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1565-2019</t>
        </is>
      </c>
      <c r="B310" s="1" t="n">
        <v>43474</v>
      </c>
      <c r="C310" s="1" t="n">
        <v>45192</v>
      </c>
      <c r="D310" t="inlineStr">
        <is>
          <t>VÄSTERBOTTENS LÄN</t>
        </is>
      </c>
      <c r="E310" t="inlineStr">
        <is>
          <t>SKELLEFTEÅ</t>
        </is>
      </c>
      <c r="G310" t="n">
        <v>10.6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1673-2019</t>
        </is>
      </c>
      <c r="B311" s="1" t="n">
        <v>43474</v>
      </c>
      <c r="C311" s="1" t="n">
        <v>45192</v>
      </c>
      <c r="D311" t="inlineStr">
        <is>
          <t>VÄSTERBOTTENS LÄN</t>
        </is>
      </c>
      <c r="E311" t="inlineStr">
        <is>
          <t>SKELLEFTEÅ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2195-2019</t>
        </is>
      </c>
      <c r="B312" s="1" t="n">
        <v>43475</v>
      </c>
      <c r="C312" s="1" t="n">
        <v>45192</v>
      </c>
      <c r="D312" t="inlineStr">
        <is>
          <t>VÄSTERBOTTENS LÄN</t>
        </is>
      </c>
      <c r="E312" t="inlineStr">
        <is>
          <t>SKELLEFTEÅ</t>
        </is>
      </c>
      <c r="G312" t="n">
        <v>11.4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2871-2019</t>
        </is>
      </c>
      <c r="B313" s="1" t="n">
        <v>43479</v>
      </c>
      <c r="C313" s="1" t="n">
        <v>45192</v>
      </c>
      <c r="D313" t="inlineStr">
        <is>
          <t>VÄSTERBOTTENS LÄN</t>
        </is>
      </c>
      <c r="E313" t="inlineStr">
        <is>
          <t>SKELLEFTEÅ</t>
        </is>
      </c>
      <c r="G313" t="n">
        <v>0.7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4649-2019</t>
        </is>
      </c>
      <c r="B314" s="1" t="n">
        <v>43479</v>
      </c>
      <c r="C314" s="1" t="n">
        <v>45192</v>
      </c>
      <c r="D314" t="inlineStr">
        <is>
          <t>VÄSTERBOTTENS LÄN</t>
        </is>
      </c>
      <c r="E314" t="inlineStr">
        <is>
          <t>SKELLEFTEÅ</t>
        </is>
      </c>
      <c r="G314" t="n">
        <v>3.6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2921-2019</t>
        </is>
      </c>
      <c r="B315" s="1" t="n">
        <v>43479</v>
      </c>
      <c r="C315" s="1" t="n">
        <v>45192</v>
      </c>
      <c r="D315" t="inlineStr">
        <is>
          <t>VÄSTERBOTTENS LÄN</t>
        </is>
      </c>
      <c r="E315" t="inlineStr">
        <is>
          <t>SKELLEFTEÅ</t>
        </is>
      </c>
      <c r="G315" t="n">
        <v>10.8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4643-2019</t>
        </is>
      </c>
      <c r="B316" s="1" t="n">
        <v>43479</v>
      </c>
      <c r="C316" s="1" t="n">
        <v>45192</v>
      </c>
      <c r="D316" t="inlineStr">
        <is>
          <t>VÄSTERBOTTENS LÄN</t>
        </is>
      </c>
      <c r="E316" t="inlineStr">
        <is>
          <t>SKELLEFTEÅ</t>
        </is>
      </c>
      <c r="G316" t="n">
        <v>2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4668-2019</t>
        </is>
      </c>
      <c r="B317" s="1" t="n">
        <v>43479</v>
      </c>
      <c r="C317" s="1" t="n">
        <v>45192</v>
      </c>
      <c r="D317" t="inlineStr">
        <is>
          <t>VÄSTERBOTTENS LÄN</t>
        </is>
      </c>
      <c r="E317" t="inlineStr">
        <is>
          <t>SKELLEFTEÅ</t>
        </is>
      </c>
      <c r="G317" t="n">
        <v>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4653-2019</t>
        </is>
      </c>
      <c r="B318" s="1" t="n">
        <v>43479</v>
      </c>
      <c r="C318" s="1" t="n">
        <v>45192</v>
      </c>
      <c r="D318" t="inlineStr">
        <is>
          <t>VÄSTERBOTTENS LÄN</t>
        </is>
      </c>
      <c r="E318" t="inlineStr">
        <is>
          <t>SKELLEFTEÅ</t>
        </is>
      </c>
      <c r="G318" t="n">
        <v>1.3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4647-2019</t>
        </is>
      </c>
      <c r="B319" s="1" t="n">
        <v>43479</v>
      </c>
      <c r="C319" s="1" t="n">
        <v>45192</v>
      </c>
      <c r="D319" t="inlineStr">
        <is>
          <t>VÄSTERBOTTENS LÄN</t>
        </is>
      </c>
      <c r="E319" t="inlineStr">
        <is>
          <t>SKELLEFTEÅ</t>
        </is>
      </c>
      <c r="G319" t="n">
        <v>2.7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4977-2019</t>
        </is>
      </c>
      <c r="B320" s="1" t="n">
        <v>43480</v>
      </c>
      <c r="C320" s="1" t="n">
        <v>45192</v>
      </c>
      <c r="D320" t="inlineStr">
        <is>
          <t>VÄSTERBOTTENS LÄN</t>
        </is>
      </c>
      <c r="E320" t="inlineStr">
        <is>
          <t>SKELLEFTEÅ</t>
        </is>
      </c>
      <c r="G320" t="n">
        <v>3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5755-2019</t>
        </is>
      </c>
      <c r="B321" s="1" t="n">
        <v>43482</v>
      </c>
      <c r="C321" s="1" t="n">
        <v>45192</v>
      </c>
      <c r="D321" t="inlineStr">
        <is>
          <t>VÄSTERBOTTENS LÄN</t>
        </is>
      </c>
      <c r="E321" t="inlineStr">
        <is>
          <t>SKELLEFTEÅ</t>
        </is>
      </c>
      <c r="G321" t="n">
        <v>1.8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6079-2019</t>
        </is>
      </c>
      <c r="B322" s="1" t="n">
        <v>43483</v>
      </c>
      <c r="C322" s="1" t="n">
        <v>45192</v>
      </c>
      <c r="D322" t="inlineStr">
        <is>
          <t>VÄSTERBOTTENS LÄN</t>
        </is>
      </c>
      <c r="E322" t="inlineStr">
        <is>
          <t>SKELLEFTEÅ</t>
        </is>
      </c>
      <c r="G322" t="n">
        <v>1.8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4480-2019</t>
        </is>
      </c>
      <c r="B323" s="1" t="n">
        <v>43486</v>
      </c>
      <c r="C323" s="1" t="n">
        <v>45192</v>
      </c>
      <c r="D323" t="inlineStr">
        <is>
          <t>VÄSTERBOTTENS LÄN</t>
        </is>
      </c>
      <c r="E323" t="inlineStr">
        <is>
          <t>SKELLEFTEÅ</t>
        </is>
      </c>
      <c r="G323" t="n">
        <v>0.5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4842-2019</t>
        </is>
      </c>
      <c r="B324" s="1" t="n">
        <v>43487</v>
      </c>
      <c r="C324" s="1" t="n">
        <v>45192</v>
      </c>
      <c r="D324" t="inlineStr">
        <is>
          <t>VÄSTERBOTTENS LÄN</t>
        </is>
      </c>
      <c r="E324" t="inlineStr">
        <is>
          <t>SKELLEFTEÅ</t>
        </is>
      </c>
      <c r="G324" t="n">
        <v>3.9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7175-2019</t>
        </is>
      </c>
      <c r="B325" s="1" t="n">
        <v>43489</v>
      </c>
      <c r="C325" s="1" t="n">
        <v>45192</v>
      </c>
      <c r="D325" t="inlineStr">
        <is>
          <t>VÄSTERBOTTENS LÄN</t>
        </is>
      </c>
      <c r="E325" t="inlineStr">
        <is>
          <t>SKELLEFTEÅ</t>
        </is>
      </c>
      <c r="G325" t="n">
        <v>16.5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5810-2019</t>
        </is>
      </c>
      <c r="B326" s="1" t="n">
        <v>43490</v>
      </c>
      <c r="C326" s="1" t="n">
        <v>45192</v>
      </c>
      <c r="D326" t="inlineStr">
        <is>
          <t>VÄSTERBOTTENS LÄN</t>
        </is>
      </c>
      <c r="E326" t="inlineStr">
        <is>
          <t>SKELLEFTEÅ</t>
        </is>
      </c>
      <c r="G326" t="n">
        <v>2.2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6133-2019</t>
        </is>
      </c>
      <c r="B327" s="1" t="n">
        <v>43493</v>
      </c>
      <c r="C327" s="1" t="n">
        <v>45192</v>
      </c>
      <c r="D327" t="inlineStr">
        <is>
          <t>VÄSTERBOTTENS LÄN</t>
        </is>
      </c>
      <c r="E327" t="inlineStr">
        <is>
          <t>SKELLEFTEÅ</t>
        </is>
      </c>
      <c r="G327" t="n">
        <v>1.7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8605-2019</t>
        </is>
      </c>
      <c r="B328" s="1" t="n">
        <v>43497</v>
      </c>
      <c r="C328" s="1" t="n">
        <v>45192</v>
      </c>
      <c r="D328" t="inlineStr">
        <is>
          <t>VÄSTERBOTTENS LÄN</t>
        </is>
      </c>
      <c r="E328" t="inlineStr">
        <is>
          <t>SKELLEFTEÅ</t>
        </is>
      </c>
      <c r="G328" t="n">
        <v>4.5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8782-2019</t>
        </is>
      </c>
      <c r="B329" s="1" t="n">
        <v>43501</v>
      </c>
      <c r="C329" s="1" t="n">
        <v>45192</v>
      </c>
      <c r="D329" t="inlineStr">
        <is>
          <t>VÄSTERBOTTENS LÄN</t>
        </is>
      </c>
      <c r="E329" t="inlineStr">
        <is>
          <t>SKELLEFTEÅ</t>
        </is>
      </c>
      <c r="G329" t="n">
        <v>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8323-2019</t>
        </is>
      </c>
      <c r="B330" s="1" t="n">
        <v>43502</v>
      </c>
      <c r="C330" s="1" t="n">
        <v>45192</v>
      </c>
      <c r="D330" t="inlineStr">
        <is>
          <t>VÄSTERBOTTENS LÄN</t>
        </is>
      </c>
      <c r="E330" t="inlineStr">
        <is>
          <t>SKELLEFTEÅ</t>
        </is>
      </c>
      <c r="G330" t="n">
        <v>13.2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8633-2019</t>
        </is>
      </c>
      <c r="B331" s="1" t="n">
        <v>43503</v>
      </c>
      <c r="C331" s="1" t="n">
        <v>45192</v>
      </c>
      <c r="D331" t="inlineStr">
        <is>
          <t>VÄSTERBOTTENS LÄN</t>
        </is>
      </c>
      <c r="E331" t="inlineStr">
        <is>
          <t>SKELLEFTEÅ</t>
        </is>
      </c>
      <c r="G331" t="n">
        <v>7.2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9047-2019</t>
        </is>
      </c>
      <c r="B332" s="1" t="n">
        <v>43504</v>
      </c>
      <c r="C332" s="1" t="n">
        <v>45192</v>
      </c>
      <c r="D332" t="inlineStr">
        <is>
          <t>VÄSTERBOTTENS LÄN</t>
        </is>
      </c>
      <c r="E332" t="inlineStr">
        <is>
          <t>SKELLEFTEÅ</t>
        </is>
      </c>
      <c r="G332" t="n">
        <v>1.8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9407-2019</t>
        </is>
      </c>
      <c r="B333" s="1" t="n">
        <v>43507</v>
      </c>
      <c r="C333" s="1" t="n">
        <v>45192</v>
      </c>
      <c r="D333" t="inlineStr">
        <is>
          <t>VÄSTERBOTTENS LÄN</t>
        </is>
      </c>
      <c r="E333" t="inlineStr">
        <is>
          <t>SKELLEFTEÅ</t>
        </is>
      </c>
      <c r="G333" t="n">
        <v>3.9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9384-2019</t>
        </is>
      </c>
      <c r="B334" s="1" t="n">
        <v>43507</v>
      </c>
      <c r="C334" s="1" t="n">
        <v>45192</v>
      </c>
      <c r="D334" t="inlineStr">
        <is>
          <t>VÄSTERBOTTENS LÄN</t>
        </is>
      </c>
      <c r="E334" t="inlineStr">
        <is>
          <t>SKELLEFTEÅ</t>
        </is>
      </c>
      <c r="G334" t="n">
        <v>2.8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9864-2019</t>
        </is>
      </c>
      <c r="B335" s="1" t="n">
        <v>43509</v>
      </c>
      <c r="C335" s="1" t="n">
        <v>45192</v>
      </c>
      <c r="D335" t="inlineStr">
        <is>
          <t>VÄSTERBOTTENS LÄN</t>
        </is>
      </c>
      <c r="E335" t="inlineStr">
        <is>
          <t>SKELLEFTEÅ</t>
        </is>
      </c>
      <c r="G335" t="n">
        <v>1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9732-2019</t>
        </is>
      </c>
      <c r="B336" s="1" t="n">
        <v>43509</v>
      </c>
      <c r="C336" s="1" t="n">
        <v>45192</v>
      </c>
      <c r="D336" t="inlineStr">
        <is>
          <t>VÄSTERBOTTENS LÄN</t>
        </is>
      </c>
      <c r="E336" t="inlineStr">
        <is>
          <t>SKELLEFTEÅ</t>
        </is>
      </c>
      <c r="G336" t="n">
        <v>3.6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10183-2019</t>
        </is>
      </c>
      <c r="B337" s="1" t="n">
        <v>43510</v>
      </c>
      <c r="C337" s="1" t="n">
        <v>45192</v>
      </c>
      <c r="D337" t="inlineStr">
        <is>
          <t>VÄSTERBOTTENS LÄN</t>
        </is>
      </c>
      <c r="E337" t="inlineStr">
        <is>
          <t>SKELLEFTEÅ</t>
        </is>
      </c>
      <c r="G337" t="n">
        <v>8.699999999999999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11050-2019</t>
        </is>
      </c>
      <c r="B338" s="1" t="n">
        <v>43515</v>
      </c>
      <c r="C338" s="1" t="n">
        <v>45192</v>
      </c>
      <c r="D338" t="inlineStr">
        <is>
          <t>VÄSTERBOTTENS LÄN</t>
        </is>
      </c>
      <c r="E338" t="inlineStr">
        <is>
          <t>SKELLEFTEÅ</t>
        </is>
      </c>
      <c r="F338" t="inlineStr">
        <is>
          <t>Sveaskog</t>
        </is>
      </c>
      <c r="G338" t="n">
        <v>0.7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11718-2019</t>
        </is>
      </c>
      <c r="B339" s="1" t="n">
        <v>43518</v>
      </c>
      <c r="C339" s="1" t="n">
        <v>45192</v>
      </c>
      <c r="D339" t="inlineStr">
        <is>
          <t>VÄSTERBOTTENS LÄN</t>
        </is>
      </c>
      <c r="E339" t="inlineStr">
        <is>
          <t>SKELLEFTEÅ</t>
        </is>
      </c>
      <c r="G339" t="n">
        <v>2.3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11930-2019</t>
        </is>
      </c>
      <c r="B340" s="1" t="n">
        <v>43521</v>
      </c>
      <c r="C340" s="1" t="n">
        <v>45192</v>
      </c>
      <c r="D340" t="inlineStr">
        <is>
          <t>VÄSTERBOTTENS LÄN</t>
        </is>
      </c>
      <c r="E340" t="inlineStr">
        <is>
          <t>SKELLEFTEÅ</t>
        </is>
      </c>
      <c r="G340" t="n">
        <v>9.6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11951-2019</t>
        </is>
      </c>
      <c r="B341" s="1" t="n">
        <v>43521</v>
      </c>
      <c r="C341" s="1" t="n">
        <v>45192</v>
      </c>
      <c r="D341" t="inlineStr">
        <is>
          <t>VÄSTERBOTTENS LÄN</t>
        </is>
      </c>
      <c r="E341" t="inlineStr">
        <is>
          <t>SKELLEFTEÅ</t>
        </is>
      </c>
      <c r="G341" t="n">
        <v>5.4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12067-2019</t>
        </is>
      </c>
      <c r="B342" s="1" t="n">
        <v>43521</v>
      </c>
      <c r="C342" s="1" t="n">
        <v>45192</v>
      </c>
      <c r="D342" t="inlineStr">
        <is>
          <t>VÄSTERBOTTENS LÄN</t>
        </is>
      </c>
      <c r="E342" t="inlineStr">
        <is>
          <t>SKELLEFTEÅ</t>
        </is>
      </c>
      <c r="G342" t="n">
        <v>4.4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12164-2019</t>
        </is>
      </c>
      <c r="B343" s="1" t="n">
        <v>43521</v>
      </c>
      <c r="C343" s="1" t="n">
        <v>45192</v>
      </c>
      <c r="D343" t="inlineStr">
        <is>
          <t>VÄSTERBOTTENS LÄN</t>
        </is>
      </c>
      <c r="E343" t="inlineStr">
        <is>
          <t>SKELLEFTEÅ</t>
        </is>
      </c>
      <c r="G343" t="n">
        <v>1.3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12828-2019</t>
        </is>
      </c>
      <c r="B344" s="1" t="n">
        <v>43524</v>
      </c>
      <c r="C344" s="1" t="n">
        <v>45192</v>
      </c>
      <c r="D344" t="inlineStr">
        <is>
          <t>VÄSTERBOTTENS LÄN</t>
        </is>
      </c>
      <c r="E344" t="inlineStr">
        <is>
          <t>SKELLEFTEÅ</t>
        </is>
      </c>
      <c r="G344" t="n">
        <v>2.5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12966-2019</t>
        </is>
      </c>
      <c r="B345" s="1" t="n">
        <v>43526</v>
      </c>
      <c r="C345" s="1" t="n">
        <v>45192</v>
      </c>
      <c r="D345" t="inlineStr">
        <is>
          <t>VÄSTERBOTTENS LÄN</t>
        </is>
      </c>
      <c r="E345" t="inlineStr">
        <is>
          <t>SKELLEFTEÅ</t>
        </is>
      </c>
      <c r="G345" t="n">
        <v>2.2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13952-2019</t>
        </is>
      </c>
      <c r="B346" s="1" t="n">
        <v>43532</v>
      </c>
      <c r="C346" s="1" t="n">
        <v>45192</v>
      </c>
      <c r="D346" t="inlineStr">
        <is>
          <t>VÄSTERBOTTENS LÄN</t>
        </is>
      </c>
      <c r="E346" t="inlineStr">
        <is>
          <t>SKELLEFTEÅ</t>
        </is>
      </c>
      <c r="F346" t="inlineStr">
        <is>
          <t>Kommuner</t>
        </is>
      </c>
      <c r="G346" t="n">
        <v>2.1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14437-2019</t>
        </is>
      </c>
      <c r="B347" s="1" t="n">
        <v>43532</v>
      </c>
      <c r="C347" s="1" t="n">
        <v>45192</v>
      </c>
      <c r="D347" t="inlineStr">
        <is>
          <t>VÄSTERBOTTENS LÄN</t>
        </is>
      </c>
      <c r="E347" t="inlineStr">
        <is>
          <t>SKELLEFTEÅ</t>
        </is>
      </c>
      <c r="G347" t="n">
        <v>0.9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14222-2019</t>
        </is>
      </c>
      <c r="B348" s="1" t="n">
        <v>43532</v>
      </c>
      <c r="C348" s="1" t="n">
        <v>45192</v>
      </c>
      <c r="D348" t="inlineStr">
        <is>
          <t>VÄSTERBOTTENS LÄN</t>
        </is>
      </c>
      <c r="E348" t="inlineStr">
        <is>
          <t>SKELLEFTEÅ</t>
        </is>
      </c>
      <c r="G348" t="n">
        <v>1.1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13983-2019</t>
        </is>
      </c>
      <c r="B349" s="1" t="n">
        <v>43532</v>
      </c>
      <c r="C349" s="1" t="n">
        <v>45192</v>
      </c>
      <c r="D349" t="inlineStr">
        <is>
          <t>VÄSTERBOTTENS LÄN</t>
        </is>
      </c>
      <c r="E349" t="inlineStr">
        <is>
          <t>SKELLEFTEÅ</t>
        </is>
      </c>
      <c r="F349" t="inlineStr">
        <is>
          <t>Kommuner</t>
        </is>
      </c>
      <c r="G349" t="n">
        <v>2.5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14566-2019</t>
        </is>
      </c>
      <c r="B350" s="1" t="n">
        <v>43535</v>
      </c>
      <c r="C350" s="1" t="n">
        <v>45192</v>
      </c>
      <c r="D350" t="inlineStr">
        <is>
          <t>VÄSTERBOTTENS LÄN</t>
        </is>
      </c>
      <c r="E350" t="inlineStr">
        <is>
          <t>SKELLEFTEÅ</t>
        </is>
      </c>
      <c r="G350" t="n">
        <v>2.2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14565-2019</t>
        </is>
      </c>
      <c r="B351" s="1" t="n">
        <v>43535</v>
      </c>
      <c r="C351" s="1" t="n">
        <v>45192</v>
      </c>
      <c r="D351" t="inlineStr">
        <is>
          <t>VÄSTERBOTTENS LÄN</t>
        </is>
      </c>
      <c r="E351" t="inlineStr">
        <is>
          <t>SKELLEFTEÅ</t>
        </is>
      </c>
      <c r="G351" t="n">
        <v>2.2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14537-2019</t>
        </is>
      </c>
      <c r="B352" s="1" t="n">
        <v>43535</v>
      </c>
      <c r="C352" s="1" t="n">
        <v>45192</v>
      </c>
      <c r="D352" t="inlineStr">
        <is>
          <t>VÄSTERBOTTENS LÄN</t>
        </is>
      </c>
      <c r="E352" t="inlineStr">
        <is>
          <t>SKELLEFTEÅ</t>
        </is>
      </c>
      <c r="G352" t="n">
        <v>1.1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14563-2019</t>
        </is>
      </c>
      <c r="B353" s="1" t="n">
        <v>43535</v>
      </c>
      <c r="C353" s="1" t="n">
        <v>45192</v>
      </c>
      <c r="D353" t="inlineStr">
        <is>
          <t>VÄSTERBOTTENS LÄN</t>
        </is>
      </c>
      <c r="E353" t="inlineStr">
        <is>
          <t>SKELLEFTEÅ</t>
        </is>
      </c>
      <c r="G353" t="n">
        <v>3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14472-2019</t>
        </is>
      </c>
      <c r="B354" s="1" t="n">
        <v>43536</v>
      </c>
      <c r="C354" s="1" t="n">
        <v>45192</v>
      </c>
      <c r="D354" t="inlineStr">
        <is>
          <t>VÄSTERBOTTENS LÄN</t>
        </is>
      </c>
      <c r="E354" t="inlineStr">
        <is>
          <t>SKELLEFTEÅ</t>
        </is>
      </c>
      <c r="G354" t="n">
        <v>1.9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14585-2019</t>
        </is>
      </c>
      <c r="B355" s="1" t="n">
        <v>43536</v>
      </c>
      <c r="C355" s="1" t="n">
        <v>45192</v>
      </c>
      <c r="D355" t="inlineStr">
        <is>
          <t>VÄSTERBOTTENS LÄN</t>
        </is>
      </c>
      <c r="E355" t="inlineStr">
        <is>
          <t>SKELLEFTEÅ</t>
        </is>
      </c>
      <c r="G355" t="n">
        <v>2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14736-2019</t>
        </is>
      </c>
      <c r="B356" s="1" t="n">
        <v>43536</v>
      </c>
      <c r="C356" s="1" t="n">
        <v>45192</v>
      </c>
      <c r="D356" t="inlineStr">
        <is>
          <t>VÄSTERBOTTENS LÄN</t>
        </is>
      </c>
      <c r="E356" t="inlineStr">
        <is>
          <t>SKELLEFTEÅ</t>
        </is>
      </c>
      <c r="G356" t="n">
        <v>4.4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14847-2019</t>
        </is>
      </c>
      <c r="B357" s="1" t="n">
        <v>43537</v>
      </c>
      <c r="C357" s="1" t="n">
        <v>45192</v>
      </c>
      <c r="D357" t="inlineStr">
        <is>
          <t>VÄSTERBOTTENS LÄN</t>
        </is>
      </c>
      <c r="E357" t="inlineStr">
        <is>
          <t>SKELLEFTEÅ</t>
        </is>
      </c>
      <c r="F357" t="inlineStr">
        <is>
          <t>Kommuner</t>
        </is>
      </c>
      <c r="G357" t="n">
        <v>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15369-2019</t>
        </is>
      </c>
      <c r="B358" s="1" t="n">
        <v>43537</v>
      </c>
      <c r="C358" s="1" t="n">
        <v>45192</v>
      </c>
      <c r="D358" t="inlineStr">
        <is>
          <t>VÄSTERBOTTENS LÄN</t>
        </is>
      </c>
      <c r="E358" t="inlineStr">
        <is>
          <t>SKELLEFTEÅ</t>
        </is>
      </c>
      <c r="G358" t="n">
        <v>6.8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14973-2019</t>
        </is>
      </c>
      <c r="B359" s="1" t="n">
        <v>43537</v>
      </c>
      <c r="C359" s="1" t="n">
        <v>45192</v>
      </c>
      <c r="D359" t="inlineStr">
        <is>
          <t>VÄSTERBOTTENS LÄN</t>
        </is>
      </c>
      <c r="E359" t="inlineStr">
        <is>
          <t>SKELLEFTEÅ</t>
        </is>
      </c>
      <c r="F359" t="inlineStr">
        <is>
          <t>Kommuner</t>
        </is>
      </c>
      <c r="G359" t="n">
        <v>0.4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15462-2019</t>
        </is>
      </c>
      <c r="B360" s="1" t="n">
        <v>43537</v>
      </c>
      <c r="C360" s="1" t="n">
        <v>45192</v>
      </c>
      <c r="D360" t="inlineStr">
        <is>
          <t>VÄSTERBOTTENS LÄN</t>
        </is>
      </c>
      <c r="E360" t="inlineStr">
        <is>
          <t>SKELLEFTEÅ</t>
        </is>
      </c>
      <c r="G360" t="n">
        <v>0.7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15147-2019</t>
        </is>
      </c>
      <c r="B361" s="1" t="n">
        <v>43538</v>
      </c>
      <c r="C361" s="1" t="n">
        <v>45192</v>
      </c>
      <c r="D361" t="inlineStr">
        <is>
          <t>VÄSTERBOTTENS LÄN</t>
        </is>
      </c>
      <c r="E361" t="inlineStr">
        <is>
          <t>SKELLEFTEÅ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15006-2019</t>
        </is>
      </c>
      <c r="B362" s="1" t="n">
        <v>43538</v>
      </c>
      <c r="C362" s="1" t="n">
        <v>45192</v>
      </c>
      <c r="D362" t="inlineStr">
        <is>
          <t>VÄSTERBOTTENS LÄN</t>
        </is>
      </c>
      <c r="E362" t="inlineStr">
        <is>
          <t>SKELLEFTEÅ</t>
        </is>
      </c>
      <c r="F362" t="inlineStr">
        <is>
          <t>SCA</t>
        </is>
      </c>
      <c r="G362" t="n">
        <v>1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15150-2019</t>
        </is>
      </c>
      <c r="B363" s="1" t="n">
        <v>43538</v>
      </c>
      <c r="C363" s="1" t="n">
        <v>45192</v>
      </c>
      <c r="D363" t="inlineStr">
        <is>
          <t>VÄSTERBOTTENS LÄN</t>
        </is>
      </c>
      <c r="E363" t="inlineStr">
        <is>
          <t>SKELLEFTEÅ</t>
        </is>
      </c>
      <c r="G363" t="n">
        <v>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15164-2019</t>
        </is>
      </c>
      <c r="B364" s="1" t="n">
        <v>43538</v>
      </c>
      <c r="C364" s="1" t="n">
        <v>45192</v>
      </c>
      <c r="D364" t="inlineStr">
        <is>
          <t>VÄSTERBOTTENS LÄN</t>
        </is>
      </c>
      <c r="E364" t="inlineStr">
        <is>
          <t>SKELLEFTEÅ</t>
        </is>
      </c>
      <c r="G364" t="n">
        <v>2.1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15613-2019</t>
        </is>
      </c>
      <c r="B365" s="1" t="n">
        <v>43539</v>
      </c>
      <c r="C365" s="1" t="n">
        <v>45192</v>
      </c>
      <c r="D365" t="inlineStr">
        <is>
          <t>VÄSTERBOTTENS LÄN</t>
        </is>
      </c>
      <c r="E365" t="inlineStr">
        <is>
          <t>SKELLEFTEÅ</t>
        </is>
      </c>
      <c r="G365" t="n">
        <v>1.7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15513-2019</t>
        </is>
      </c>
      <c r="B366" s="1" t="n">
        <v>43539</v>
      </c>
      <c r="C366" s="1" t="n">
        <v>45192</v>
      </c>
      <c r="D366" t="inlineStr">
        <is>
          <t>VÄSTERBOTTENS LÄN</t>
        </is>
      </c>
      <c r="E366" t="inlineStr">
        <is>
          <t>SKELLEFTEÅ</t>
        </is>
      </c>
      <c r="G366" t="n">
        <v>0.4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15614-2019</t>
        </is>
      </c>
      <c r="B367" s="1" t="n">
        <v>43539</v>
      </c>
      <c r="C367" s="1" t="n">
        <v>45192</v>
      </c>
      <c r="D367" t="inlineStr">
        <is>
          <t>VÄSTERBOTTENS LÄN</t>
        </is>
      </c>
      <c r="E367" t="inlineStr">
        <is>
          <t>SKELLEFTEÅ</t>
        </is>
      </c>
      <c r="G367" t="n">
        <v>5.3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15514-2019</t>
        </is>
      </c>
      <c r="B368" s="1" t="n">
        <v>43539</v>
      </c>
      <c r="C368" s="1" t="n">
        <v>45192</v>
      </c>
      <c r="D368" t="inlineStr">
        <is>
          <t>VÄSTERBOTTENS LÄN</t>
        </is>
      </c>
      <c r="E368" t="inlineStr">
        <is>
          <t>SKELLEFTEÅ</t>
        </is>
      </c>
      <c r="G368" t="n">
        <v>0.7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15516-2019</t>
        </is>
      </c>
      <c r="B369" s="1" t="n">
        <v>43539</v>
      </c>
      <c r="C369" s="1" t="n">
        <v>45192</v>
      </c>
      <c r="D369" t="inlineStr">
        <is>
          <t>VÄSTERBOTTENS LÄN</t>
        </is>
      </c>
      <c r="E369" t="inlineStr">
        <is>
          <t>SKELLEFTEÅ</t>
        </is>
      </c>
      <c r="G369" t="n">
        <v>0.3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15612-2019</t>
        </is>
      </c>
      <c r="B370" s="1" t="n">
        <v>43539</v>
      </c>
      <c r="C370" s="1" t="n">
        <v>45192</v>
      </c>
      <c r="D370" t="inlineStr">
        <is>
          <t>VÄSTERBOTTENS LÄN</t>
        </is>
      </c>
      <c r="E370" t="inlineStr">
        <is>
          <t>SKELLEFTEÅ</t>
        </is>
      </c>
      <c r="G370" t="n">
        <v>2.8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15637-2019</t>
        </is>
      </c>
      <c r="B371" s="1" t="n">
        <v>43539</v>
      </c>
      <c r="C371" s="1" t="n">
        <v>45192</v>
      </c>
      <c r="D371" t="inlineStr">
        <is>
          <t>VÄSTERBOTTENS LÄN</t>
        </is>
      </c>
      <c r="E371" t="inlineStr">
        <is>
          <t>SKELLEFTEÅ</t>
        </is>
      </c>
      <c r="G371" t="n">
        <v>0.6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15255-2019</t>
        </is>
      </c>
      <c r="B372" s="1" t="n">
        <v>43542</v>
      </c>
      <c r="C372" s="1" t="n">
        <v>45192</v>
      </c>
      <c r="D372" t="inlineStr">
        <is>
          <t>VÄSTERBOTTENS LÄN</t>
        </is>
      </c>
      <c r="E372" t="inlineStr">
        <is>
          <t>SKELLEFTEÅ</t>
        </is>
      </c>
      <c r="G372" t="n">
        <v>15.6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15418-2019</t>
        </is>
      </c>
      <c r="B373" s="1" t="n">
        <v>43542</v>
      </c>
      <c r="C373" s="1" t="n">
        <v>45192</v>
      </c>
      <c r="D373" t="inlineStr">
        <is>
          <t>VÄSTERBOTTENS LÄN</t>
        </is>
      </c>
      <c r="E373" t="inlineStr">
        <is>
          <t>SKELLEFTEÅ</t>
        </is>
      </c>
      <c r="F373" t="inlineStr">
        <is>
          <t>Kommuner</t>
        </is>
      </c>
      <c r="G373" t="n">
        <v>7.8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15638-2019</t>
        </is>
      </c>
      <c r="B374" s="1" t="n">
        <v>43542</v>
      </c>
      <c r="C374" s="1" t="n">
        <v>45192</v>
      </c>
      <c r="D374" t="inlineStr">
        <is>
          <t>VÄSTERBOTTENS LÄN</t>
        </is>
      </c>
      <c r="E374" t="inlineStr">
        <is>
          <t>SKELLEFTEÅ</t>
        </is>
      </c>
      <c r="G374" t="n">
        <v>0.2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16329-2019</t>
        </is>
      </c>
      <c r="B375" s="1" t="n">
        <v>43545</v>
      </c>
      <c r="C375" s="1" t="n">
        <v>45192</v>
      </c>
      <c r="D375" t="inlineStr">
        <is>
          <t>VÄSTERBOTTENS LÄN</t>
        </is>
      </c>
      <c r="E375" t="inlineStr">
        <is>
          <t>SKELLEFTEÅ</t>
        </is>
      </c>
      <c r="G375" t="n">
        <v>7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16319-2019</t>
        </is>
      </c>
      <c r="B376" s="1" t="n">
        <v>43545</v>
      </c>
      <c r="C376" s="1" t="n">
        <v>45192</v>
      </c>
      <c r="D376" t="inlineStr">
        <is>
          <t>VÄSTERBOTTENS LÄN</t>
        </is>
      </c>
      <c r="E376" t="inlineStr">
        <is>
          <t>SKELLEFTEÅ</t>
        </is>
      </c>
      <c r="G376" t="n">
        <v>4.4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16598-2019</t>
        </is>
      </c>
      <c r="B377" s="1" t="n">
        <v>43546</v>
      </c>
      <c r="C377" s="1" t="n">
        <v>45192</v>
      </c>
      <c r="D377" t="inlineStr">
        <is>
          <t>VÄSTERBOTTENS LÄN</t>
        </is>
      </c>
      <c r="E377" t="inlineStr">
        <is>
          <t>SKELLEFTEÅ</t>
        </is>
      </c>
      <c r="G377" t="n">
        <v>3.6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17578-2019</t>
        </is>
      </c>
      <c r="B378" s="1" t="n">
        <v>43553</v>
      </c>
      <c r="C378" s="1" t="n">
        <v>45192</v>
      </c>
      <c r="D378" t="inlineStr">
        <is>
          <t>VÄSTERBOTTENS LÄN</t>
        </is>
      </c>
      <c r="E378" t="inlineStr">
        <is>
          <t>SKELLEFTEÅ</t>
        </is>
      </c>
      <c r="G378" t="n">
        <v>3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17604-2019</t>
        </is>
      </c>
      <c r="B379" s="1" t="n">
        <v>43554</v>
      </c>
      <c r="C379" s="1" t="n">
        <v>45192</v>
      </c>
      <c r="D379" t="inlineStr">
        <is>
          <t>VÄSTERBOTTENS LÄN</t>
        </is>
      </c>
      <c r="E379" t="inlineStr">
        <is>
          <t>SKELLEFTEÅ</t>
        </is>
      </c>
      <c r="G379" t="n">
        <v>2.4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18073-2019</t>
        </is>
      </c>
      <c r="B380" s="1" t="n">
        <v>43557</v>
      </c>
      <c r="C380" s="1" t="n">
        <v>45192</v>
      </c>
      <c r="D380" t="inlineStr">
        <is>
          <t>VÄSTERBOTTENS LÄN</t>
        </is>
      </c>
      <c r="E380" t="inlineStr">
        <is>
          <t>SKELLEFTEÅ</t>
        </is>
      </c>
      <c r="F380" t="inlineStr">
        <is>
          <t>SCA</t>
        </is>
      </c>
      <c r="G380" t="n">
        <v>3.2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18072-2019</t>
        </is>
      </c>
      <c r="B381" s="1" t="n">
        <v>43557</v>
      </c>
      <c r="C381" s="1" t="n">
        <v>45192</v>
      </c>
      <c r="D381" t="inlineStr">
        <is>
          <t>VÄSTERBOTTENS LÄN</t>
        </is>
      </c>
      <c r="E381" t="inlineStr">
        <is>
          <t>SKELLEFTEÅ</t>
        </is>
      </c>
      <c r="F381" t="inlineStr">
        <is>
          <t>SCA</t>
        </is>
      </c>
      <c r="G381" t="n">
        <v>1.8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18271-2019</t>
        </is>
      </c>
      <c r="B382" s="1" t="n">
        <v>43557</v>
      </c>
      <c r="C382" s="1" t="n">
        <v>45192</v>
      </c>
      <c r="D382" t="inlineStr">
        <is>
          <t>VÄSTERBOTTENS LÄN</t>
        </is>
      </c>
      <c r="E382" t="inlineStr">
        <is>
          <t>SKELLEFTEÅ</t>
        </is>
      </c>
      <c r="G382" t="n">
        <v>0.4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18137-2019</t>
        </is>
      </c>
      <c r="B383" s="1" t="n">
        <v>43558</v>
      </c>
      <c r="C383" s="1" t="n">
        <v>45192</v>
      </c>
      <c r="D383" t="inlineStr">
        <is>
          <t>VÄSTERBOTTENS LÄN</t>
        </is>
      </c>
      <c r="E383" t="inlineStr">
        <is>
          <t>SKELLEFTEÅ</t>
        </is>
      </c>
      <c r="G383" t="n">
        <v>10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18202-2019</t>
        </is>
      </c>
      <c r="B384" s="1" t="n">
        <v>43558</v>
      </c>
      <c r="C384" s="1" t="n">
        <v>45192</v>
      </c>
      <c r="D384" t="inlineStr">
        <is>
          <t>VÄSTERBOTTENS LÄN</t>
        </is>
      </c>
      <c r="E384" t="inlineStr">
        <is>
          <t>SKELLEFTEÅ</t>
        </is>
      </c>
      <c r="G384" t="n">
        <v>0.8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18714-2019</t>
        </is>
      </c>
      <c r="B385" s="1" t="n">
        <v>43560</v>
      </c>
      <c r="C385" s="1" t="n">
        <v>45192</v>
      </c>
      <c r="D385" t="inlineStr">
        <is>
          <t>VÄSTERBOTTENS LÄN</t>
        </is>
      </c>
      <c r="E385" t="inlineStr">
        <is>
          <t>SKELLEFTEÅ</t>
        </is>
      </c>
      <c r="G385" t="n">
        <v>1.6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18712-2019</t>
        </is>
      </c>
      <c r="B386" s="1" t="n">
        <v>43560</v>
      </c>
      <c r="C386" s="1" t="n">
        <v>45192</v>
      </c>
      <c r="D386" t="inlineStr">
        <is>
          <t>VÄSTERBOTTENS LÄN</t>
        </is>
      </c>
      <c r="E386" t="inlineStr">
        <is>
          <t>SKELLEFTEÅ</t>
        </is>
      </c>
      <c r="F386" t="inlineStr">
        <is>
          <t>Övriga Aktiebolag</t>
        </is>
      </c>
      <c r="G386" t="n">
        <v>2.2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19059-2019</t>
        </is>
      </c>
      <c r="B387" s="1" t="n">
        <v>43563</v>
      </c>
      <c r="C387" s="1" t="n">
        <v>45192</v>
      </c>
      <c r="D387" t="inlineStr">
        <is>
          <t>VÄSTERBOTTENS LÄN</t>
        </is>
      </c>
      <c r="E387" t="inlineStr">
        <is>
          <t>SKELLEFTEÅ</t>
        </is>
      </c>
      <c r="G387" t="n">
        <v>2.5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19101-2019</t>
        </is>
      </c>
      <c r="B388" s="1" t="n">
        <v>43563</v>
      </c>
      <c r="C388" s="1" t="n">
        <v>45192</v>
      </c>
      <c r="D388" t="inlineStr">
        <is>
          <t>VÄSTERBOTTENS LÄN</t>
        </is>
      </c>
      <c r="E388" t="inlineStr">
        <is>
          <t>SKELLEFTEÅ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19530-2019</t>
        </is>
      </c>
      <c r="B389" s="1" t="n">
        <v>43565</v>
      </c>
      <c r="C389" s="1" t="n">
        <v>45192</v>
      </c>
      <c r="D389" t="inlineStr">
        <is>
          <t>VÄSTERBOTTENS LÄN</t>
        </is>
      </c>
      <c r="E389" t="inlineStr">
        <is>
          <t>SKELLEFTEÅ</t>
        </is>
      </c>
      <c r="G389" t="n">
        <v>8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19382-2019</t>
        </is>
      </c>
      <c r="B390" s="1" t="n">
        <v>43565</v>
      </c>
      <c r="C390" s="1" t="n">
        <v>45192</v>
      </c>
      <c r="D390" t="inlineStr">
        <is>
          <t>VÄSTERBOTTENS LÄN</t>
        </is>
      </c>
      <c r="E390" t="inlineStr">
        <is>
          <t>SKELLEFTEÅ</t>
        </is>
      </c>
      <c r="G390" t="n">
        <v>0.6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20163-2019</t>
        </is>
      </c>
      <c r="B391" s="1" t="n">
        <v>43567</v>
      </c>
      <c r="C391" s="1" t="n">
        <v>45192</v>
      </c>
      <c r="D391" t="inlineStr">
        <is>
          <t>VÄSTERBOTTENS LÄN</t>
        </is>
      </c>
      <c r="E391" t="inlineStr">
        <is>
          <t>SKELLEFTEÅ</t>
        </is>
      </c>
      <c r="G391" t="n">
        <v>1.3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20428-2019</t>
        </is>
      </c>
      <c r="B392" s="1" t="n">
        <v>43571</v>
      </c>
      <c r="C392" s="1" t="n">
        <v>45192</v>
      </c>
      <c r="D392" t="inlineStr">
        <is>
          <t>VÄSTERBOTTENS LÄN</t>
        </is>
      </c>
      <c r="E392" t="inlineStr">
        <is>
          <t>SKELLEFTEÅ</t>
        </is>
      </c>
      <c r="G392" t="n">
        <v>0.8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20584-2019</t>
        </is>
      </c>
      <c r="B393" s="1" t="n">
        <v>43572</v>
      </c>
      <c r="C393" s="1" t="n">
        <v>45192</v>
      </c>
      <c r="D393" t="inlineStr">
        <is>
          <t>VÄSTERBOTTENS LÄN</t>
        </is>
      </c>
      <c r="E393" t="inlineStr">
        <is>
          <t>SKELLEFTEÅ</t>
        </is>
      </c>
      <c r="F393" t="inlineStr">
        <is>
          <t>Kommuner</t>
        </is>
      </c>
      <c r="G393" t="n">
        <v>6.3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20668-2019</t>
        </is>
      </c>
      <c r="B394" s="1" t="n">
        <v>43572</v>
      </c>
      <c r="C394" s="1" t="n">
        <v>45192</v>
      </c>
      <c r="D394" t="inlineStr">
        <is>
          <t>VÄSTERBOTTENS LÄN</t>
        </is>
      </c>
      <c r="E394" t="inlineStr">
        <is>
          <t>SKELLEFTEÅ</t>
        </is>
      </c>
      <c r="G394" t="n">
        <v>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21583-2019</t>
        </is>
      </c>
      <c r="B395" s="1" t="n">
        <v>43580</v>
      </c>
      <c r="C395" s="1" t="n">
        <v>45192</v>
      </c>
      <c r="D395" t="inlineStr">
        <is>
          <t>VÄSTERBOTTENS LÄN</t>
        </is>
      </c>
      <c r="E395" t="inlineStr">
        <is>
          <t>SKELLEFTEÅ</t>
        </is>
      </c>
      <c r="G395" t="n">
        <v>3.4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21553-2019</t>
        </is>
      </c>
      <c r="B396" s="1" t="n">
        <v>43580</v>
      </c>
      <c r="C396" s="1" t="n">
        <v>45192</v>
      </c>
      <c r="D396" t="inlineStr">
        <is>
          <t>VÄSTERBOTTENS LÄN</t>
        </is>
      </c>
      <c r="E396" t="inlineStr">
        <is>
          <t>SKELLEFTEÅ</t>
        </is>
      </c>
      <c r="G396" t="n">
        <v>1.4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21942-2019</t>
        </is>
      </c>
      <c r="B397" s="1" t="n">
        <v>43584</v>
      </c>
      <c r="C397" s="1" t="n">
        <v>45192</v>
      </c>
      <c r="D397" t="inlineStr">
        <is>
          <t>VÄSTERBOTTENS LÄN</t>
        </is>
      </c>
      <c r="E397" t="inlineStr">
        <is>
          <t>SKELLEFTEÅ</t>
        </is>
      </c>
      <c r="F397" t="inlineStr">
        <is>
          <t>Kyrkan</t>
        </is>
      </c>
      <c r="G397" t="n">
        <v>2.7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22580-2019</t>
        </is>
      </c>
      <c r="B398" s="1" t="n">
        <v>43587</v>
      </c>
      <c r="C398" s="1" t="n">
        <v>45192</v>
      </c>
      <c r="D398" t="inlineStr">
        <is>
          <t>VÄSTERBOTTENS LÄN</t>
        </is>
      </c>
      <c r="E398" t="inlineStr">
        <is>
          <t>SKELLEFTEÅ</t>
        </is>
      </c>
      <c r="G398" t="n">
        <v>3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23396-2019</t>
        </is>
      </c>
      <c r="B399" s="1" t="n">
        <v>43592</v>
      </c>
      <c r="C399" s="1" t="n">
        <v>45192</v>
      </c>
      <c r="D399" t="inlineStr">
        <is>
          <t>VÄSTERBOTTENS LÄN</t>
        </is>
      </c>
      <c r="E399" t="inlineStr">
        <is>
          <t>SKELLEFTEÅ</t>
        </is>
      </c>
      <c r="G399" t="n">
        <v>5.1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23436-2019</t>
        </is>
      </c>
      <c r="B400" s="1" t="n">
        <v>43592</v>
      </c>
      <c r="C400" s="1" t="n">
        <v>45192</v>
      </c>
      <c r="D400" t="inlineStr">
        <is>
          <t>VÄSTERBOTTENS LÄN</t>
        </is>
      </c>
      <c r="E400" t="inlineStr">
        <is>
          <t>SKELLEFTEÅ</t>
        </is>
      </c>
      <c r="G400" t="n">
        <v>13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24063-2019</t>
        </is>
      </c>
      <c r="B401" s="1" t="n">
        <v>43598</v>
      </c>
      <c r="C401" s="1" t="n">
        <v>45192</v>
      </c>
      <c r="D401" t="inlineStr">
        <is>
          <t>VÄSTERBOTTENS LÄN</t>
        </is>
      </c>
      <c r="E401" t="inlineStr">
        <is>
          <t>SKELLEFTEÅ</t>
        </is>
      </c>
      <c r="G401" t="n">
        <v>1.3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24164-2019</t>
        </is>
      </c>
      <c r="B402" s="1" t="n">
        <v>43598</v>
      </c>
      <c r="C402" s="1" t="n">
        <v>45192</v>
      </c>
      <c r="D402" t="inlineStr">
        <is>
          <t>VÄSTERBOTTENS LÄN</t>
        </is>
      </c>
      <c r="E402" t="inlineStr">
        <is>
          <t>SKELLEFTEÅ</t>
        </is>
      </c>
      <c r="F402" t="inlineStr">
        <is>
          <t>SCA</t>
        </is>
      </c>
      <c r="G402" t="n">
        <v>2.3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26174-2019</t>
        </is>
      </c>
      <c r="B403" s="1" t="n">
        <v>43605</v>
      </c>
      <c r="C403" s="1" t="n">
        <v>45192</v>
      </c>
      <c r="D403" t="inlineStr">
        <is>
          <t>VÄSTERBOTTENS LÄN</t>
        </is>
      </c>
      <c r="E403" t="inlineStr">
        <is>
          <t>SKELLEFTEÅ</t>
        </is>
      </c>
      <c r="G403" t="n">
        <v>4.3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26115-2019</t>
        </is>
      </c>
      <c r="B404" s="1" t="n">
        <v>43605</v>
      </c>
      <c r="C404" s="1" t="n">
        <v>45192</v>
      </c>
      <c r="D404" t="inlineStr">
        <is>
          <t>VÄSTERBOTTENS LÄN</t>
        </is>
      </c>
      <c r="E404" t="inlineStr">
        <is>
          <t>SKELLEFTEÅ</t>
        </is>
      </c>
      <c r="G404" t="n">
        <v>1.7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26075-2019</t>
        </is>
      </c>
      <c r="B405" s="1" t="n">
        <v>43609</v>
      </c>
      <c r="C405" s="1" t="n">
        <v>45192</v>
      </c>
      <c r="D405" t="inlineStr">
        <is>
          <t>VÄSTERBOTTENS LÄN</t>
        </is>
      </c>
      <c r="E405" t="inlineStr">
        <is>
          <t>SKELLEFTEÅ</t>
        </is>
      </c>
      <c r="G405" t="n">
        <v>1.4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26039-2019</t>
        </is>
      </c>
      <c r="B406" s="1" t="n">
        <v>43609</v>
      </c>
      <c r="C406" s="1" t="n">
        <v>45192</v>
      </c>
      <c r="D406" t="inlineStr">
        <is>
          <t>VÄSTERBOTTENS LÄN</t>
        </is>
      </c>
      <c r="E406" t="inlineStr">
        <is>
          <t>SKELLEFTEÅ</t>
        </is>
      </c>
      <c r="G406" t="n">
        <v>3.4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26180-2019</t>
        </is>
      </c>
      <c r="B407" s="1" t="n">
        <v>43609</v>
      </c>
      <c r="C407" s="1" t="n">
        <v>45192</v>
      </c>
      <c r="D407" t="inlineStr">
        <is>
          <t>VÄSTERBOTTENS LÄN</t>
        </is>
      </c>
      <c r="E407" t="inlineStr">
        <is>
          <t>SKELLEFTEÅ</t>
        </is>
      </c>
      <c r="G407" t="n">
        <v>6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26859-2019</t>
        </is>
      </c>
      <c r="B408" s="1" t="n">
        <v>43613</v>
      </c>
      <c r="C408" s="1" t="n">
        <v>45192</v>
      </c>
      <c r="D408" t="inlineStr">
        <is>
          <t>VÄSTERBOTTENS LÄN</t>
        </is>
      </c>
      <c r="E408" t="inlineStr">
        <is>
          <t>SKELLEFTEÅ</t>
        </is>
      </c>
      <c r="G408" t="n">
        <v>0.5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28114-2019</t>
        </is>
      </c>
      <c r="B409" s="1" t="n">
        <v>43613</v>
      </c>
      <c r="C409" s="1" t="n">
        <v>45192</v>
      </c>
      <c r="D409" t="inlineStr">
        <is>
          <t>VÄSTERBOTTENS LÄN</t>
        </is>
      </c>
      <c r="E409" t="inlineStr">
        <is>
          <t>SKELLEFTEÅ</t>
        </is>
      </c>
      <c r="G409" t="n">
        <v>4.4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26907-2019</t>
        </is>
      </c>
      <c r="B410" s="1" t="n">
        <v>43613</v>
      </c>
      <c r="C410" s="1" t="n">
        <v>45192</v>
      </c>
      <c r="D410" t="inlineStr">
        <is>
          <t>VÄSTERBOTTENS LÄN</t>
        </is>
      </c>
      <c r="E410" t="inlineStr">
        <is>
          <t>SKELLEFTEÅ</t>
        </is>
      </c>
      <c r="G410" t="n">
        <v>0.3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28920-2019</t>
        </is>
      </c>
      <c r="B411" s="1" t="n">
        <v>43619</v>
      </c>
      <c r="C411" s="1" t="n">
        <v>45192</v>
      </c>
      <c r="D411" t="inlineStr">
        <is>
          <t>VÄSTERBOTTENS LÄN</t>
        </is>
      </c>
      <c r="E411" t="inlineStr">
        <is>
          <t>SKELLEFTEÅ</t>
        </is>
      </c>
      <c r="G411" t="n">
        <v>8.1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28979-2019</t>
        </is>
      </c>
      <c r="B412" s="1" t="n">
        <v>43620</v>
      </c>
      <c r="C412" s="1" t="n">
        <v>45192</v>
      </c>
      <c r="D412" t="inlineStr">
        <is>
          <t>VÄSTERBOTTENS LÄN</t>
        </is>
      </c>
      <c r="E412" t="inlineStr">
        <is>
          <t>SKELLEFTEÅ</t>
        </is>
      </c>
      <c r="G412" t="n">
        <v>4.6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28983-2019</t>
        </is>
      </c>
      <c r="B413" s="1" t="n">
        <v>43620</v>
      </c>
      <c r="C413" s="1" t="n">
        <v>45192</v>
      </c>
      <c r="D413" t="inlineStr">
        <is>
          <t>VÄSTERBOTTENS LÄN</t>
        </is>
      </c>
      <c r="E413" t="inlineStr">
        <is>
          <t>SKELLEFTEÅ</t>
        </is>
      </c>
      <c r="G413" t="n">
        <v>5.2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29034-2019</t>
        </is>
      </c>
      <c r="B414" s="1" t="n">
        <v>43620</v>
      </c>
      <c r="C414" s="1" t="n">
        <v>45192</v>
      </c>
      <c r="D414" t="inlineStr">
        <is>
          <t>VÄSTERBOTTENS LÄN</t>
        </is>
      </c>
      <c r="E414" t="inlineStr">
        <is>
          <t>SKELLEFTEÅ</t>
        </is>
      </c>
      <c r="G414" t="n">
        <v>5.9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28211-2019</t>
        </is>
      </c>
      <c r="B415" s="1" t="n">
        <v>43621</v>
      </c>
      <c r="C415" s="1" t="n">
        <v>45192</v>
      </c>
      <c r="D415" t="inlineStr">
        <is>
          <t>VÄSTERBOTTENS LÄN</t>
        </is>
      </c>
      <c r="E415" t="inlineStr">
        <is>
          <t>SKELLEFTEÅ</t>
        </is>
      </c>
      <c r="F415" t="inlineStr">
        <is>
          <t>SCA</t>
        </is>
      </c>
      <c r="G415" t="n">
        <v>0.5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28612-2019</t>
        </is>
      </c>
      <c r="B416" s="1" t="n">
        <v>43626</v>
      </c>
      <c r="C416" s="1" t="n">
        <v>45192</v>
      </c>
      <c r="D416" t="inlineStr">
        <is>
          <t>VÄSTERBOTTENS LÄN</t>
        </is>
      </c>
      <c r="E416" t="inlineStr">
        <is>
          <t>SKELLEFTEÅ</t>
        </is>
      </c>
      <c r="G416" t="n">
        <v>6.7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28777-2019</t>
        </is>
      </c>
      <c r="B417" s="1" t="n">
        <v>43627</v>
      </c>
      <c r="C417" s="1" t="n">
        <v>45192</v>
      </c>
      <c r="D417" t="inlineStr">
        <is>
          <t>VÄSTERBOTTENS LÄN</t>
        </is>
      </c>
      <c r="E417" t="inlineStr">
        <is>
          <t>SKELLEFTEÅ</t>
        </is>
      </c>
      <c r="G417" t="n">
        <v>5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29053-2019</t>
        </is>
      </c>
      <c r="B418" s="1" t="n">
        <v>43628</v>
      </c>
      <c r="C418" s="1" t="n">
        <v>45192</v>
      </c>
      <c r="D418" t="inlineStr">
        <is>
          <t>VÄSTERBOTTENS LÄN</t>
        </is>
      </c>
      <c r="E418" t="inlineStr">
        <is>
          <t>SKELLEFTEÅ</t>
        </is>
      </c>
      <c r="G418" t="n">
        <v>8.6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29321-2019</t>
        </is>
      </c>
      <c r="B419" s="1" t="n">
        <v>43629</v>
      </c>
      <c r="C419" s="1" t="n">
        <v>45192</v>
      </c>
      <c r="D419" t="inlineStr">
        <is>
          <t>VÄSTERBOTTENS LÄN</t>
        </is>
      </c>
      <c r="E419" t="inlineStr">
        <is>
          <t>SKELLEFTEÅ</t>
        </is>
      </c>
      <c r="F419" t="inlineStr">
        <is>
          <t>Holmen skog AB</t>
        </is>
      </c>
      <c r="G419" t="n">
        <v>12.6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29383-2019</t>
        </is>
      </c>
      <c r="B420" s="1" t="n">
        <v>43629</v>
      </c>
      <c r="C420" s="1" t="n">
        <v>45192</v>
      </c>
      <c r="D420" t="inlineStr">
        <is>
          <t>VÄSTERBOTTENS LÄN</t>
        </is>
      </c>
      <c r="E420" t="inlineStr">
        <is>
          <t>SKELLEFTEÅ</t>
        </is>
      </c>
      <c r="F420" t="inlineStr">
        <is>
          <t>Holmen skog AB</t>
        </is>
      </c>
      <c r="G420" t="n">
        <v>6.5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30559-2019</t>
        </is>
      </c>
      <c r="B421" s="1" t="n">
        <v>43634</v>
      </c>
      <c r="C421" s="1" t="n">
        <v>45192</v>
      </c>
      <c r="D421" t="inlineStr">
        <is>
          <t>VÄSTERBOTTENS LÄN</t>
        </is>
      </c>
      <c r="E421" t="inlineStr">
        <is>
          <t>SKELLEFTEÅ</t>
        </is>
      </c>
      <c r="G421" t="n">
        <v>4.6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30452-2019</t>
        </is>
      </c>
      <c r="B422" s="1" t="n">
        <v>43635</v>
      </c>
      <c r="C422" s="1" t="n">
        <v>45192</v>
      </c>
      <c r="D422" t="inlineStr">
        <is>
          <t>VÄSTERBOTTENS LÄN</t>
        </is>
      </c>
      <c r="E422" t="inlineStr">
        <is>
          <t>SKELLEFTEÅ</t>
        </is>
      </c>
      <c r="G422" t="n">
        <v>1.1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30754-2019</t>
        </is>
      </c>
      <c r="B423" s="1" t="n">
        <v>43636</v>
      </c>
      <c r="C423" s="1" t="n">
        <v>45192</v>
      </c>
      <c r="D423" t="inlineStr">
        <is>
          <t>VÄSTERBOTTENS LÄN</t>
        </is>
      </c>
      <c r="E423" t="inlineStr">
        <is>
          <t>SKELLEFTEÅ</t>
        </is>
      </c>
      <c r="F423" t="inlineStr">
        <is>
          <t>Holmen skog AB</t>
        </is>
      </c>
      <c r="G423" t="n">
        <v>9.4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30804-2019</t>
        </is>
      </c>
      <c r="B424" s="1" t="n">
        <v>43636</v>
      </c>
      <c r="C424" s="1" t="n">
        <v>45192</v>
      </c>
      <c r="D424" t="inlineStr">
        <is>
          <t>VÄSTERBOTTENS LÄN</t>
        </is>
      </c>
      <c r="E424" t="inlineStr">
        <is>
          <t>SKELLEFTEÅ</t>
        </is>
      </c>
      <c r="F424" t="inlineStr">
        <is>
          <t>Holmen skog AB</t>
        </is>
      </c>
      <c r="G424" t="n">
        <v>3.9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31012-2019</t>
        </is>
      </c>
      <c r="B425" s="1" t="n">
        <v>43640</v>
      </c>
      <c r="C425" s="1" t="n">
        <v>45192</v>
      </c>
      <c r="D425" t="inlineStr">
        <is>
          <t>VÄSTERBOTTENS LÄN</t>
        </is>
      </c>
      <c r="E425" t="inlineStr">
        <is>
          <t>SKELLEFTEÅ</t>
        </is>
      </c>
      <c r="F425" t="inlineStr">
        <is>
          <t>Holmen skog AB</t>
        </is>
      </c>
      <c r="G425" t="n">
        <v>6.3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  <c r="U425">
        <f>HYPERLINK("https://klasma.github.io/Logging_SKELLEFTEA/knärot/A 31012-2019.png", "A 31012-2019")</f>
        <v/>
      </c>
      <c r="V425">
        <f>HYPERLINK("https://klasma.github.io/Logging_SKELLEFTEA/klagomål/A 31012-2019.docx", "A 31012-2019")</f>
        <v/>
      </c>
      <c r="W425">
        <f>HYPERLINK("https://klasma.github.io/Logging_SKELLEFTEA/klagomålsmail/A 31012-2019.docx", "A 31012-2019")</f>
        <v/>
      </c>
      <c r="X425">
        <f>HYPERLINK("https://klasma.github.io/Logging_SKELLEFTEA/tillsyn/A 31012-2019.docx", "A 31012-2019")</f>
        <v/>
      </c>
      <c r="Y425">
        <f>HYPERLINK("https://klasma.github.io/Logging_SKELLEFTEA/tillsynsmail/A 31012-2019.docx", "A 31012-2019")</f>
        <v/>
      </c>
    </row>
    <row r="426" ht="15" customHeight="1">
      <c r="A426" t="inlineStr">
        <is>
          <t>A 31322-2019</t>
        </is>
      </c>
      <c r="B426" s="1" t="n">
        <v>43641</v>
      </c>
      <c r="C426" s="1" t="n">
        <v>45192</v>
      </c>
      <c r="D426" t="inlineStr">
        <is>
          <t>VÄSTERBOTTENS LÄN</t>
        </is>
      </c>
      <c r="E426" t="inlineStr">
        <is>
          <t>SKELLEFTEÅ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31500-2019</t>
        </is>
      </c>
      <c r="B427" s="1" t="n">
        <v>43641</v>
      </c>
      <c r="C427" s="1" t="n">
        <v>45192</v>
      </c>
      <c r="D427" t="inlineStr">
        <is>
          <t>VÄSTERBOTTENS LÄN</t>
        </is>
      </c>
      <c r="E427" t="inlineStr">
        <is>
          <t>SKELLEFTEÅ</t>
        </is>
      </c>
      <c r="F427" t="inlineStr">
        <is>
          <t>Holmen skog AB</t>
        </is>
      </c>
      <c r="G427" t="n">
        <v>1.5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31629-2019</t>
        </is>
      </c>
      <c r="B428" s="1" t="n">
        <v>43642</v>
      </c>
      <c r="C428" s="1" t="n">
        <v>45192</v>
      </c>
      <c r="D428" t="inlineStr">
        <is>
          <t>VÄSTERBOTTENS LÄN</t>
        </is>
      </c>
      <c r="E428" t="inlineStr">
        <is>
          <t>SKELLEFTEÅ</t>
        </is>
      </c>
      <c r="F428" t="inlineStr">
        <is>
          <t>Holmen skog AB</t>
        </is>
      </c>
      <c r="G428" t="n">
        <v>6.6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32239-2019</t>
        </is>
      </c>
      <c r="B429" s="1" t="n">
        <v>43644</v>
      </c>
      <c r="C429" s="1" t="n">
        <v>45192</v>
      </c>
      <c r="D429" t="inlineStr">
        <is>
          <t>VÄSTERBOTTENS LÄN</t>
        </is>
      </c>
      <c r="E429" t="inlineStr">
        <is>
          <t>SKELLEFTEÅ</t>
        </is>
      </c>
      <c r="F429" t="inlineStr">
        <is>
          <t>Kyrkan</t>
        </is>
      </c>
      <c r="G429" t="n">
        <v>5.2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32343-2019</t>
        </is>
      </c>
      <c r="B430" s="1" t="n">
        <v>43644</v>
      </c>
      <c r="C430" s="1" t="n">
        <v>45192</v>
      </c>
      <c r="D430" t="inlineStr">
        <is>
          <t>VÄSTERBOTTENS LÄN</t>
        </is>
      </c>
      <c r="E430" t="inlineStr">
        <is>
          <t>SKELLEFTEÅ</t>
        </is>
      </c>
      <c r="F430" t="inlineStr">
        <is>
          <t>Holmen skog AB</t>
        </is>
      </c>
      <c r="G430" t="n">
        <v>12.8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34575-2019</t>
        </is>
      </c>
      <c r="B431" s="1" t="n">
        <v>43647</v>
      </c>
      <c r="C431" s="1" t="n">
        <v>45192</v>
      </c>
      <c r="D431" t="inlineStr">
        <is>
          <t>VÄSTERBOTTENS LÄN</t>
        </is>
      </c>
      <c r="E431" t="inlineStr">
        <is>
          <t>SKELLEFTEÅ</t>
        </is>
      </c>
      <c r="G431" t="n">
        <v>1.8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34645-2019</t>
        </is>
      </c>
      <c r="B432" s="1" t="n">
        <v>43647</v>
      </c>
      <c r="C432" s="1" t="n">
        <v>45192</v>
      </c>
      <c r="D432" t="inlineStr">
        <is>
          <t>VÄSTERBOTTENS LÄN</t>
        </is>
      </c>
      <c r="E432" t="inlineStr">
        <is>
          <t>SKELLEFTEÅ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32606-2019</t>
        </is>
      </c>
      <c r="B433" s="1" t="n">
        <v>43647</v>
      </c>
      <c r="C433" s="1" t="n">
        <v>45192</v>
      </c>
      <c r="D433" t="inlineStr">
        <is>
          <t>VÄSTERBOTTENS LÄN</t>
        </is>
      </c>
      <c r="E433" t="inlineStr">
        <is>
          <t>SKELLEFTEÅ</t>
        </is>
      </c>
      <c r="F433" t="inlineStr">
        <is>
          <t>Holmen skog AB</t>
        </is>
      </c>
      <c r="G433" t="n">
        <v>7.3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34627-2019</t>
        </is>
      </c>
      <c r="B434" s="1" t="n">
        <v>43647</v>
      </c>
      <c r="C434" s="1" t="n">
        <v>45192</v>
      </c>
      <c r="D434" t="inlineStr">
        <is>
          <t>VÄSTERBOTTENS LÄN</t>
        </is>
      </c>
      <c r="E434" t="inlineStr">
        <is>
          <t>SKELLEFTEÅ</t>
        </is>
      </c>
      <c r="G434" t="n">
        <v>11.6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32866-2019</t>
        </is>
      </c>
      <c r="B435" s="1" t="n">
        <v>43648</v>
      </c>
      <c r="C435" s="1" t="n">
        <v>45192</v>
      </c>
      <c r="D435" t="inlineStr">
        <is>
          <t>VÄSTERBOTTENS LÄN</t>
        </is>
      </c>
      <c r="E435" t="inlineStr">
        <is>
          <t>SKELLEFTEÅ</t>
        </is>
      </c>
      <c r="G435" t="n">
        <v>5.7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34685-2019</t>
        </is>
      </c>
      <c r="B436" s="1" t="n">
        <v>43648</v>
      </c>
      <c r="C436" s="1" t="n">
        <v>45192</v>
      </c>
      <c r="D436" t="inlineStr">
        <is>
          <t>VÄSTERBOTTENS LÄN</t>
        </is>
      </c>
      <c r="E436" t="inlineStr">
        <is>
          <t>SKELLEFTEÅ</t>
        </is>
      </c>
      <c r="G436" t="n">
        <v>8.699999999999999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34894-2019</t>
        </is>
      </c>
      <c r="B437" s="1" t="n">
        <v>43649</v>
      </c>
      <c r="C437" s="1" t="n">
        <v>45192</v>
      </c>
      <c r="D437" t="inlineStr">
        <is>
          <t>VÄSTERBOTTENS LÄN</t>
        </is>
      </c>
      <c r="E437" t="inlineStr">
        <is>
          <t>SKELLEFTEÅ</t>
        </is>
      </c>
      <c r="G437" t="n">
        <v>20.4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33193-2019</t>
        </is>
      </c>
      <c r="B438" s="1" t="n">
        <v>43649</v>
      </c>
      <c r="C438" s="1" t="n">
        <v>45192</v>
      </c>
      <c r="D438" t="inlineStr">
        <is>
          <t>VÄSTERBOTTENS LÄN</t>
        </is>
      </c>
      <c r="E438" t="inlineStr">
        <is>
          <t>SKELLEFTEÅ</t>
        </is>
      </c>
      <c r="G438" t="n">
        <v>3.1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34906-2019</t>
        </is>
      </c>
      <c r="B439" s="1" t="n">
        <v>43649</v>
      </c>
      <c r="C439" s="1" t="n">
        <v>45192</v>
      </c>
      <c r="D439" t="inlineStr">
        <is>
          <t>VÄSTERBOTTENS LÄN</t>
        </is>
      </c>
      <c r="E439" t="inlineStr">
        <is>
          <t>SKELLEFTEÅ</t>
        </is>
      </c>
      <c r="G439" t="n">
        <v>1.1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33063-2019</t>
        </is>
      </c>
      <c r="B440" s="1" t="n">
        <v>43649</v>
      </c>
      <c r="C440" s="1" t="n">
        <v>45192</v>
      </c>
      <c r="D440" t="inlineStr">
        <is>
          <t>VÄSTERBOTTENS LÄN</t>
        </is>
      </c>
      <c r="E440" t="inlineStr">
        <is>
          <t>SKELLEFTEÅ</t>
        </is>
      </c>
      <c r="G440" t="n">
        <v>2.3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35229-2019</t>
        </is>
      </c>
      <c r="B441" s="1" t="n">
        <v>43650</v>
      </c>
      <c r="C441" s="1" t="n">
        <v>45192</v>
      </c>
      <c r="D441" t="inlineStr">
        <is>
          <t>VÄSTERBOTTENS LÄN</t>
        </is>
      </c>
      <c r="E441" t="inlineStr">
        <is>
          <t>SKELLEFTEÅ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35445-2019</t>
        </is>
      </c>
      <c r="B442" s="1" t="n">
        <v>43651</v>
      </c>
      <c r="C442" s="1" t="n">
        <v>45192</v>
      </c>
      <c r="D442" t="inlineStr">
        <is>
          <t>VÄSTERBOTTENS LÄN</t>
        </is>
      </c>
      <c r="E442" t="inlineStr">
        <is>
          <t>SKELLEFTEÅ</t>
        </is>
      </c>
      <c r="G442" t="n">
        <v>1.4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35452-2019</t>
        </is>
      </c>
      <c r="B443" s="1" t="n">
        <v>43651</v>
      </c>
      <c r="C443" s="1" t="n">
        <v>45192</v>
      </c>
      <c r="D443" t="inlineStr">
        <is>
          <t>VÄSTERBOTTENS LÄN</t>
        </is>
      </c>
      <c r="E443" t="inlineStr">
        <is>
          <t>SKELLEFTEÅ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33888-2019</t>
        </is>
      </c>
      <c r="B444" s="1" t="n">
        <v>43653</v>
      </c>
      <c r="C444" s="1" t="n">
        <v>45192</v>
      </c>
      <c r="D444" t="inlineStr">
        <is>
          <t>VÄSTERBOTTENS LÄN</t>
        </is>
      </c>
      <c r="E444" t="inlineStr">
        <is>
          <t>SKELLEFTEÅ</t>
        </is>
      </c>
      <c r="G444" t="n">
        <v>1.5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34089-2019</t>
        </is>
      </c>
      <c r="B445" s="1" t="n">
        <v>43654</v>
      </c>
      <c r="C445" s="1" t="n">
        <v>45192</v>
      </c>
      <c r="D445" t="inlineStr">
        <is>
          <t>VÄSTERBOTTENS LÄN</t>
        </is>
      </c>
      <c r="E445" t="inlineStr">
        <is>
          <t>SKELLEFTEÅ</t>
        </is>
      </c>
      <c r="F445" t="inlineStr">
        <is>
          <t>Holmen skog AB</t>
        </is>
      </c>
      <c r="G445" t="n">
        <v>20.9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34253-2019</t>
        </is>
      </c>
      <c r="B446" s="1" t="n">
        <v>43655</v>
      </c>
      <c r="C446" s="1" t="n">
        <v>45192</v>
      </c>
      <c r="D446" t="inlineStr">
        <is>
          <t>VÄSTERBOTTENS LÄN</t>
        </is>
      </c>
      <c r="E446" t="inlineStr">
        <is>
          <t>SKELLEFTEÅ</t>
        </is>
      </c>
      <c r="F446" t="inlineStr">
        <is>
          <t>Holmen skog AB</t>
        </is>
      </c>
      <c r="G446" t="n">
        <v>18.9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34939-2019</t>
        </is>
      </c>
      <c r="B447" s="1" t="n">
        <v>43658</v>
      </c>
      <c r="C447" s="1" t="n">
        <v>45192</v>
      </c>
      <c r="D447" t="inlineStr">
        <is>
          <t>VÄSTERBOTTENS LÄN</t>
        </is>
      </c>
      <c r="E447" t="inlineStr">
        <is>
          <t>SKELLEFTEÅ</t>
        </is>
      </c>
      <c r="G447" t="n">
        <v>0.8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34997-2019</t>
        </is>
      </c>
      <c r="B448" s="1" t="n">
        <v>43660</v>
      </c>
      <c r="C448" s="1" t="n">
        <v>45192</v>
      </c>
      <c r="D448" t="inlineStr">
        <is>
          <t>VÄSTERBOTTENS LÄN</t>
        </is>
      </c>
      <c r="E448" t="inlineStr">
        <is>
          <t>SKELLEFTEÅ</t>
        </is>
      </c>
      <c r="F448" t="inlineStr">
        <is>
          <t>Sveaskog</t>
        </is>
      </c>
      <c r="G448" t="n">
        <v>11.1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35084-2019</t>
        </is>
      </c>
      <c r="B449" s="1" t="n">
        <v>43661</v>
      </c>
      <c r="C449" s="1" t="n">
        <v>45192</v>
      </c>
      <c r="D449" t="inlineStr">
        <is>
          <t>VÄSTERBOTTENS LÄN</t>
        </is>
      </c>
      <c r="E449" t="inlineStr">
        <is>
          <t>SKELLEFTEÅ</t>
        </is>
      </c>
      <c r="F449" t="inlineStr">
        <is>
          <t>Sveaskog</t>
        </is>
      </c>
      <c r="G449" t="n">
        <v>8.4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35024-2019</t>
        </is>
      </c>
      <c r="B450" s="1" t="n">
        <v>43661</v>
      </c>
      <c r="C450" s="1" t="n">
        <v>45192</v>
      </c>
      <c r="D450" t="inlineStr">
        <is>
          <t>VÄSTERBOTTENS LÄN</t>
        </is>
      </c>
      <c r="E450" t="inlineStr">
        <is>
          <t>SKELLEFTEÅ</t>
        </is>
      </c>
      <c r="G450" t="n">
        <v>5.3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35075-2019</t>
        </is>
      </c>
      <c r="B451" s="1" t="n">
        <v>43661</v>
      </c>
      <c r="C451" s="1" t="n">
        <v>45192</v>
      </c>
      <c r="D451" t="inlineStr">
        <is>
          <t>VÄSTERBOTTENS LÄN</t>
        </is>
      </c>
      <c r="E451" t="inlineStr">
        <is>
          <t>SKELLEFTEÅ</t>
        </is>
      </c>
      <c r="G451" t="n">
        <v>1.3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35104-2019</t>
        </is>
      </c>
      <c r="B452" s="1" t="n">
        <v>43661</v>
      </c>
      <c r="C452" s="1" t="n">
        <v>45192</v>
      </c>
      <c r="D452" t="inlineStr">
        <is>
          <t>VÄSTERBOTTENS LÄN</t>
        </is>
      </c>
      <c r="E452" t="inlineStr">
        <is>
          <t>SKELLEFTEÅ</t>
        </is>
      </c>
      <c r="F452" t="inlineStr">
        <is>
          <t>Sveaskog</t>
        </is>
      </c>
      <c r="G452" t="n">
        <v>3.7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35120-2019</t>
        </is>
      </c>
      <c r="B453" s="1" t="n">
        <v>43661</v>
      </c>
      <c r="C453" s="1" t="n">
        <v>45192</v>
      </c>
      <c r="D453" t="inlineStr">
        <is>
          <t>VÄSTERBOTTENS LÄN</t>
        </is>
      </c>
      <c r="E453" t="inlineStr">
        <is>
          <t>SKELLEFTEÅ</t>
        </is>
      </c>
      <c r="F453" t="inlineStr">
        <is>
          <t>Sveaskog</t>
        </is>
      </c>
      <c r="G453" t="n">
        <v>7.1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35121-2019</t>
        </is>
      </c>
      <c r="B454" s="1" t="n">
        <v>43661</v>
      </c>
      <c r="C454" s="1" t="n">
        <v>45192</v>
      </c>
      <c r="D454" t="inlineStr">
        <is>
          <t>VÄSTERBOTTENS LÄN</t>
        </is>
      </c>
      <c r="E454" t="inlineStr">
        <is>
          <t>SKELLEFTEÅ</t>
        </is>
      </c>
      <c r="F454" t="inlineStr">
        <is>
          <t>Sveaskog</t>
        </is>
      </c>
      <c r="G454" t="n">
        <v>2.4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35073-2019</t>
        </is>
      </c>
      <c r="B455" s="1" t="n">
        <v>43661</v>
      </c>
      <c r="C455" s="1" t="n">
        <v>45192</v>
      </c>
      <c r="D455" t="inlineStr">
        <is>
          <t>VÄSTERBOTTENS LÄN</t>
        </is>
      </c>
      <c r="E455" t="inlineStr">
        <is>
          <t>SKELLEFTEÅ</t>
        </is>
      </c>
      <c r="F455" t="inlineStr">
        <is>
          <t>Sveaskog</t>
        </is>
      </c>
      <c r="G455" t="n">
        <v>4.2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35080-2019</t>
        </is>
      </c>
      <c r="B456" s="1" t="n">
        <v>43661</v>
      </c>
      <c r="C456" s="1" t="n">
        <v>45192</v>
      </c>
      <c r="D456" t="inlineStr">
        <is>
          <t>VÄSTERBOTTENS LÄN</t>
        </is>
      </c>
      <c r="E456" t="inlineStr">
        <is>
          <t>SKELLEFTEÅ</t>
        </is>
      </c>
      <c r="G456" t="n">
        <v>2.5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35363-2019</t>
        </is>
      </c>
      <c r="B457" s="1" t="n">
        <v>43663</v>
      </c>
      <c r="C457" s="1" t="n">
        <v>45192</v>
      </c>
      <c r="D457" t="inlineStr">
        <is>
          <t>VÄSTERBOTTENS LÄN</t>
        </is>
      </c>
      <c r="E457" t="inlineStr">
        <is>
          <t>SKELLEFTEÅ</t>
        </is>
      </c>
      <c r="F457" t="inlineStr">
        <is>
          <t>Sveaskog</t>
        </is>
      </c>
      <c r="G457" t="n">
        <v>3.3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35786-2019</t>
        </is>
      </c>
      <c r="B458" s="1" t="n">
        <v>43665</v>
      </c>
      <c r="C458" s="1" t="n">
        <v>45192</v>
      </c>
      <c r="D458" t="inlineStr">
        <is>
          <t>VÄSTERBOTTENS LÄN</t>
        </is>
      </c>
      <c r="E458" t="inlineStr">
        <is>
          <t>SKELLEFTEÅ</t>
        </is>
      </c>
      <c r="F458" t="inlineStr">
        <is>
          <t>Holmen skog AB</t>
        </is>
      </c>
      <c r="G458" t="n">
        <v>1.4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36996-2019</t>
        </is>
      </c>
      <c r="B459" s="1" t="n">
        <v>43676</v>
      </c>
      <c r="C459" s="1" t="n">
        <v>45192</v>
      </c>
      <c r="D459" t="inlineStr">
        <is>
          <t>VÄSTERBOTTENS LÄN</t>
        </is>
      </c>
      <c r="E459" t="inlineStr">
        <is>
          <t>SKELLEFTEÅ</t>
        </is>
      </c>
      <c r="F459" t="inlineStr">
        <is>
          <t>Holmen skog AB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38674-2019</t>
        </is>
      </c>
      <c r="B460" s="1" t="n">
        <v>43684</v>
      </c>
      <c r="C460" s="1" t="n">
        <v>45192</v>
      </c>
      <c r="D460" t="inlineStr">
        <is>
          <t>VÄSTERBOTTENS LÄN</t>
        </is>
      </c>
      <c r="E460" t="inlineStr">
        <is>
          <t>SKELLEFTEÅ</t>
        </is>
      </c>
      <c r="G460" t="n">
        <v>1.5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38797-2019</t>
        </is>
      </c>
      <c r="B461" s="1" t="n">
        <v>43688</v>
      </c>
      <c r="C461" s="1" t="n">
        <v>45192</v>
      </c>
      <c r="D461" t="inlineStr">
        <is>
          <t>VÄSTERBOTTENS LÄN</t>
        </is>
      </c>
      <c r="E461" t="inlineStr">
        <is>
          <t>SKELLEFTEÅ</t>
        </is>
      </c>
      <c r="G461" t="n">
        <v>2.1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38973-2019</t>
        </is>
      </c>
      <c r="B462" s="1" t="n">
        <v>43689</v>
      </c>
      <c r="C462" s="1" t="n">
        <v>45192</v>
      </c>
      <c r="D462" t="inlineStr">
        <is>
          <t>VÄSTERBOTTENS LÄN</t>
        </is>
      </c>
      <c r="E462" t="inlineStr">
        <is>
          <t>SKELLEFTEÅ</t>
        </is>
      </c>
      <c r="F462" t="inlineStr">
        <is>
          <t>Holmen skog AB</t>
        </is>
      </c>
      <c r="G462" t="n">
        <v>2.3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39106-2019</t>
        </is>
      </c>
      <c r="B463" s="1" t="n">
        <v>43689</v>
      </c>
      <c r="C463" s="1" t="n">
        <v>45192</v>
      </c>
      <c r="D463" t="inlineStr">
        <is>
          <t>VÄSTERBOTTENS LÄN</t>
        </is>
      </c>
      <c r="E463" t="inlineStr">
        <is>
          <t>SKELLEFTEÅ</t>
        </is>
      </c>
      <c r="F463" t="inlineStr">
        <is>
          <t>Holmen skog AB</t>
        </is>
      </c>
      <c r="G463" t="n">
        <v>5.6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41585-2019</t>
        </is>
      </c>
      <c r="B464" s="1" t="n">
        <v>43696</v>
      </c>
      <c r="C464" s="1" t="n">
        <v>45192</v>
      </c>
      <c r="D464" t="inlineStr">
        <is>
          <t>VÄSTERBOTTENS LÄN</t>
        </is>
      </c>
      <c r="E464" t="inlineStr">
        <is>
          <t>SKELLEFTEÅ</t>
        </is>
      </c>
      <c r="G464" t="n">
        <v>1.5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41648-2019</t>
        </is>
      </c>
      <c r="B465" s="1" t="n">
        <v>43696</v>
      </c>
      <c r="C465" s="1" t="n">
        <v>45192</v>
      </c>
      <c r="D465" t="inlineStr">
        <is>
          <t>VÄSTERBOTTENS LÄN</t>
        </is>
      </c>
      <c r="E465" t="inlineStr">
        <is>
          <t>SKELLEFTEÅ</t>
        </is>
      </c>
      <c r="G465" t="n">
        <v>2.9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40562-2019</t>
        </is>
      </c>
      <c r="B466" s="1" t="n">
        <v>43696</v>
      </c>
      <c r="C466" s="1" t="n">
        <v>45192</v>
      </c>
      <c r="D466" t="inlineStr">
        <is>
          <t>VÄSTERBOTTENS LÄN</t>
        </is>
      </c>
      <c r="E466" t="inlineStr">
        <is>
          <t>SKELLEFTEÅ</t>
        </is>
      </c>
      <c r="F466" t="inlineStr">
        <is>
          <t>Holmen skog AB</t>
        </is>
      </c>
      <c r="G466" t="n">
        <v>1.9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41557-2019</t>
        </is>
      </c>
      <c r="B467" s="1" t="n">
        <v>43696</v>
      </c>
      <c r="C467" s="1" t="n">
        <v>45192</v>
      </c>
      <c r="D467" t="inlineStr">
        <is>
          <t>VÄSTERBOTTENS LÄN</t>
        </is>
      </c>
      <c r="E467" t="inlineStr">
        <is>
          <t>SKELLEFTEÅ</t>
        </is>
      </c>
      <c r="G467" t="n">
        <v>5.9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40727-2019</t>
        </is>
      </c>
      <c r="B468" s="1" t="n">
        <v>43697</v>
      </c>
      <c r="C468" s="1" t="n">
        <v>45192</v>
      </c>
      <c r="D468" t="inlineStr">
        <is>
          <t>VÄSTERBOTTENS LÄN</t>
        </is>
      </c>
      <c r="E468" t="inlineStr">
        <is>
          <t>SKELLEFTEÅ</t>
        </is>
      </c>
      <c r="G468" t="n">
        <v>1.1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40744-2019</t>
        </is>
      </c>
      <c r="B469" s="1" t="n">
        <v>43697</v>
      </c>
      <c r="C469" s="1" t="n">
        <v>45192</v>
      </c>
      <c r="D469" t="inlineStr">
        <is>
          <t>VÄSTERBOTTENS LÄN</t>
        </is>
      </c>
      <c r="E469" t="inlineStr">
        <is>
          <t>SKELLEFTEÅ</t>
        </is>
      </c>
      <c r="G469" t="n">
        <v>36.9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41980-2019</t>
        </is>
      </c>
      <c r="B470" s="1" t="n">
        <v>43700</v>
      </c>
      <c r="C470" s="1" t="n">
        <v>45192</v>
      </c>
      <c r="D470" t="inlineStr">
        <is>
          <t>VÄSTERBOTTENS LÄN</t>
        </is>
      </c>
      <c r="E470" t="inlineStr">
        <is>
          <t>SKELLEFTEÅ</t>
        </is>
      </c>
      <c r="F470" t="inlineStr">
        <is>
          <t>Holmen skog AB</t>
        </is>
      </c>
      <c r="G470" t="n">
        <v>2.2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41826-2019</t>
        </is>
      </c>
      <c r="B471" s="1" t="n">
        <v>43700</v>
      </c>
      <c r="C471" s="1" t="n">
        <v>45192</v>
      </c>
      <c r="D471" t="inlineStr">
        <is>
          <t>VÄSTERBOTTENS LÄN</t>
        </is>
      </c>
      <c r="E471" t="inlineStr">
        <is>
          <t>SKELLEFTEÅ</t>
        </is>
      </c>
      <c r="F471" t="inlineStr">
        <is>
          <t>Holmen skog AB</t>
        </is>
      </c>
      <c r="G471" t="n">
        <v>4.9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42319-2019</t>
        </is>
      </c>
      <c r="B472" s="1" t="n">
        <v>43703</v>
      </c>
      <c r="C472" s="1" t="n">
        <v>45192</v>
      </c>
      <c r="D472" t="inlineStr">
        <is>
          <t>VÄSTERBOTTENS LÄN</t>
        </is>
      </c>
      <c r="E472" t="inlineStr">
        <is>
          <t>SKELLEFTEÅ</t>
        </is>
      </c>
      <c r="F472" t="inlineStr">
        <is>
          <t>Holmen skog AB</t>
        </is>
      </c>
      <c r="G472" t="n">
        <v>1.4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42651-2019</t>
        </is>
      </c>
      <c r="B473" s="1" t="n">
        <v>43704</v>
      </c>
      <c r="C473" s="1" t="n">
        <v>45192</v>
      </c>
      <c r="D473" t="inlineStr">
        <is>
          <t>VÄSTERBOTTENS LÄN</t>
        </is>
      </c>
      <c r="E473" t="inlineStr">
        <is>
          <t>SKELLEFTEÅ</t>
        </is>
      </c>
      <c r="F473" t="inlineStr">
        <is>
          <t>Holmen skog AB</t>
        </is>
      </c>
      <c r="G473" t="n">
        <v>2.6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44461-2019</t>
        </is>
      </c>
      <c r="B474" s="1" t="n">
        <v>43705</v>
      </c>
      <c r="C474" s="1" t="n">
        <v>45192</v>
      </c>
      <c r="D474" t="inlineStr">
        <is>
          <t>VÄSTERBOTTENS LÄN</t>
        </is>
      </c>
      <c r="E474" t="inlineStr">
        <is>
          <t>SKELLEFTEÅ</t>
        </is>
      </c>
      <c r="G474" t="n">
        <v>1.7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44486-2019</t>
        </is>
      </c>
      <c r="B475" s="1" t="n">
        <v>43706</v>
      </c>
      <c r="C475" s="1" t="n">
        <v>45192</v>
      </c>
      <c r="D475" t="inlineStr">
        <is>
          <t>VÄSTERBOTTENS LÄN</t>
        </is>
      </c>
      <c r="E475" t="inlineStr">
        <is>
          <t>SKELLEFTEÅ</t>
        </is>
      </c>
      <c r="G475" t="n">
        <v>2.6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43638-2019</t>
        </is>
      </c>
      <c r="B476" s="1" t="n">
        <v>43707</v>
      </c>
      <c r="C476" s="1" t="n">
        <v>45192</v>
      </c>
      <c r="D476" t="inlineStr">
        <is>
          <t>VÄSTERBOTTENS LÄN</t>
        </is>
      </c>
      <c r="E476" t="inlineStr">
        <is>
          <t>SKELLEFTEÅ</t>
        </is>
      </c>
      <c r="G476" t="n">
        <v>0.5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43845-2019</t>
        </is>
      </c>
      <c r="B477" s="1" t="n">
        <v>43707</v>
      </c>
      <c r="C477" s="1" t="n">
        <v>45192</v>
      </c>
      <c r="D477" t="inlineStr">
        <is>
          <t>VÄSTERBOTTENS LÄN</t>
        </is>
      </c>
      <c r="E477" t="inlineStr">
        <is>
          <t>SKELLEFTEÅ</t>
        </is>
      </c>
      <c r="F477" t="inlineStr">
        <is>
          <t>Sveaskog</t>
        </is>
      </c>
      <c r="G477" t="n">
        <v>11.6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45296-2019</t>
        </is>
      </c>
      <c r="B478" s="1" t="n">
        <v>43707</v>
      </c>
      <c r="C478" s="1" t="n">
        <v>45192</v>
      </c>
      <c r="D478" t="inlineStr">
        <is>
          <t>VÄSTERBOTTENS LÄN</t>
        </is>
      </c>
      <c r="E478" t="inlineStr">
        <is>
          <t>SKELLEFTEÅ</t>
        </is>
      </c>
      <c r="G478" t="n">
        <v>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43648-2019</t>
        </is>
      </c>
      <c r="B479" s="1" t="n">
        <v>43707</v>
      </c>
      <c r="C479" s="1" t="n">
        <v>45192</v>
      </c>
      <c r="D479" t="inlineStr">
        <is>
          <t>VÄSTERBOTTENS LÄN</t>
        </is>
      </c>
      <c r="E479" t="inlineStr">
        <is>
          <t>SKELLEFTEÅ</t>
        </is>
      </c>
      <c r="F479" t="inlineStr">
        <is>
          <t>Holmen skog AB</t>
        </is>
      </c>
      <c r="G479" t="n">
        <v>1.9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43842-2019</t>
        </is>
      </c>
      <c r="B480" s="1" t="n">
        <v>43707</v>
      </c>
      <c r="C480" s="1" t="n">
        <v>45192</v>
      </c>
      <c r="D480" t="inlineStr">
        <is>
          <t>VÄSTERBOTTENS LÄN</t>
        </is>
      </c>
      <c r="E480" t="inlineStr">
        <is>
          <t>SKELLEFTEÅ</t>
        </is>
      </c>
      <c r="F480" t="inlineStr">
        <is>
          <t>Sveaskog</t>
        </is>
      </c>
      <c r="G480" t="n">
        <v>7.3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44007-2019</t>
        </is>
      </c>
      <c r="B481" s="1" t="n">
        <v>43709</v>
      </c>
      <c r="C481" s="1" t="n">
        <v>45192</v>
      </c>
      <c r="D481" t="inlineStr">
        <is>
          <t>VÄSTERBOTTENS LÄN</t>
        </is>
      </c>
      <c r="E481" t="inlineStr">
        <is>
          <t>SKELLEFTEÅ</t>
        </is>
      </c>
      <c r="F481" t="inlineStr">
        <is>
          <t>Holmen skog AB</t>
        </is>
      </c>
      <c r="G481" t="n">
        <v>1.2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44204-2019</t>
        </is>
      </c>
      <c r="B482" s="1" t="n">
        <v>43710</v>
      </c>
      <c r="C482" s="1" t="n">
        <v>45192</v>
      </c>
      <c r="D482" t="inlineStr">
        <is>
          <t>VÄSTERBOTTENS LÄN</t>
        </is>
      </c>
      <c r="E482" t="inlineStr">
        <is>
          <t>SKELLEFTEÅ</t>
        </is>
      </c>
      <c r="G482" t="n">
        <v>5.2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46227-2019</t>
        </is>
      </c>
      <c r="B483" s="1" t="n">
        <v>43714</v>
      </c>
      <c r="C483" s="1" t="n">
        <v>45192</v>
      </c>
      <c r="D483" t="inlineStr">
        <is>
          <t>VÄSTERBOTTENS LÄN</t>
        </is>
      </c>
      <c r="E483" t="inlineStr">
        <is>
          <t>SKELLEFTEÅ</t>
        </is>
      </c>
      <c r="G483" t="n">
        <v>4.3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46412-2019</t>
        </is>
      </c>
      <c r="B484" s="1" t="n">
        <v>43714</v>
      </c>
      <c r="C484" s="1" t="n">
        <v>45192</v>
      </c>
      <c r="D484" t="inlineStr">
        <is>
          <t>VÄSTERBOTTENS LÄN</t>
        </is>
      </c>
      <c r="E484" t="inlineStr">
        <is>
          <t>SKELLEFTEÅ</t>
        </is>
      </c>
      <c r="G484" t="n">
        <v>3.9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46367-2019</t>
        </is>
      </c>
      <c r="B485" s="1" t="n">
        <v>43718</v>
      </c>
      <c r="C485" s="1" t="n">
        <v>45192</v>
      </c>
      <c r="D485" t="inlineStr">
        <is>
          <t>VÄSTERBOTTENS LÄN</t>
        </is>
      </c>
      <c r="E485" t="inlineStr">
        <is>
          <t>SKELLEFTEÅ</t>
        </is>
      </c>
      <c r="F485" t="inlineStr">
        <is>
          <t>SCA</t>
        </is>
      </c>
      <c r="G485" t="n">
        <v>3.7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46355-2019</t>
        </is>
      </c>
      <c r="B486" s="1" t="n">
        <v>43718</v>
      </c>
      <c r="C486" s="1" t="n">
        <v>45192</v>
      </c>
      <c r="D486" t="inlineStr">
        <is>
          <t>VÄSTERBOTTENS LÄN</t>
        </is>
      </c>
      <c r="E486" t="inlineStr">
        <is>
          <t>SKELLEFTEÅ</t>
        </is>
      </c>
      <c r="F486" t="inlineStr">
        <is>
          <t>SCA</t>
        </is>
      </c>
      <c r="G486" t="n">
        <v>1.2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46368-2019</t>
        </is>
      </c>
      <c r="B487" s="1" t="n">
        <v>43718</v>
      </c>
      <c r="C487" s="1" t="n">
        <v>45192</v>
      </c>
      <c r="D487" t="inlineStr">
        <is>
          <t>VÄSTERBOTTENS LÄN</t>
        </is>
      </c>
      <c r="E487" t="inlineStr">
        <is>
          <t>SKELLEFTEÅ</t>
        </is>
      </c>
      <c r="F487" t="inlineStr">
        <is>
          <t>SCA</t>
        </is>
      </c>
      <c r="G487" t="n">
        <v>2.5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47091-2019</t>
        </is>
      </c>
      <c r="B488" s="1" t="n">
        <v>43720</v>
      </c>
      <c r="C488" s="1" t="n">
        <v>45192</v>
      </c>
      <c r="D488" t="inlineStr">
        <is>
          <t>VÄSTERBOTTENS LÄN</t>
        </is>
      </c>
      <c r="E488" t="inlineStr">
        <is>
          <t>SKELLEFTEÅ</t>
        </is>
      </c>
      <c r="G488" t="n">
        <v>1.4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46946-2019</t>
        </is>
      </c>
      <c r="B489" s="1" t="n">
        <v>43720</v>
      </c>
      <c r="C489" s="1" t="n">
        <v>45192</v>
      </c>
      <c r="D489" t="inlineStr">
        <is>
          <t>VÄSTERBOTTENS LÄN</t>
        </is>
      </c>
      <c r="E489" t="inlineStr">
        <is>
          <t>SKELLEFTEÅ</t>
        </is>
      </c>
      <c r="F489" t="inlineStr">
        <is>
          <t>Holmen skog AB</t>
        </is>
      </c>
      <c r="G489" t="n">
        <v>13.2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46952-2019</t>
        </is>
      </c>
      <c r="B490" s="1" t="n">
        <v>43720</v>
      </c>
      <c r="C490" s="1" t="n">
        <v>45192</v>
      </c>
      <c r="D490" t="inlineStr">
        <is>
          <t>VÄSTERBOTTENS LÄN</t>
        </is>
      </c>
      <c r="E490" t="inlineStr">
        <is>
          <t>SKELLEFTEÅ</t>
        </is>
      </c>
      <c r="F490" t="inlineStr">
        <is>
          <t>Holmen skog AB</t>
        </is>
      </c>
      <c r="G490" t="n">
        <v>10.8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46968-2019</t>
        </is>
      </c>
      <c r="B491" s="1" t="n">
        <v>43720</v>
      </c>
      <c r="C491" s="1" t="n">
        <v>45192</v>
      </c>
      <c r="D491" t="inlineStr">
        <is>
          <t>VÄSTERBOTTENS LÄN</t>
        </is>
      </c>
      <c r="E491" t="inlineStr">
        <is>
          <t>SKELLEFTEÅ</t>
        </is>
      </c>
      <c r="G491" t="n">
        <v>0.8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47224-2019</t>
        </is>
      </c>
      <c r="B492" s="1" t="n">
        <v>43720</v>
      </c>
      <c r="C492" s="1" t="n">
        <v>45192</v>
      </c>
      <c r="D492" t="inlineStr">
        <is>
          <t>VÄSTERBOTTENS LÄN</t>
        </is>
      </c>
      <c r="E492" t="inlineStr">
        <is>
          <t>SKELLEFTEÅ</t>
        </is>
      </c>
      <c r="G492" t="n">
        <v>1.6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47452-2019</t>
        </is>
      </c>
      <c r="B493" s="1" t="n">
        <v>43721</v>
      </c>
      <c r="C493" s="1" t="n">
        <v>45192</v>
      </c>
      <c r="D493" t="inlineStr">
        <is>
          <t>VÄSTERBOTTENS LÄN</t>
        </is>
      </c>
      <c r="E493" t="inlineStr">
        <is>
          <t>SKELLEFTEÅ</t>
        </is>
      </c>
      <c r="G493" t="n">
        <v>1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47460-2019</t>
        </is>
      </c>
      <c r="B494" s="1" t="n">
        <v>43721</v>
      </c>
      <c r="C494" s="1" t="n">
        <v>45192</v>
      </c>
      <c r="D494" t="inlineStr">
        <is>
          <t>VÄSTERBOTTENS LÄN</t>
        </is>
      </c>
      <c r="E494" t="inlineStr">
        <is>
          <t>SKELLEFTEÅ</t>
        </is>
      </c>
      <c r="G494" t="n">
        <v>1.1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47535-2019</t>
        </is>
      </c>
      <c r="B495" s="1" t="n">
        <v>43721</v>
      </c>
      <c r="C495" s="1" t="n">
        <v>45192</v>
      </c>
      <c r="D495" t="inlineStr">
        <is>
          <t>VÄSTERBOTTENS LÄN</t>
        </is>
      </c>
      <c r="E495" t="inlineStr">
        <is>
          <t>SKELLEFTEÅ</t>
        </is>
      </c>
      <c r="G495" t="n">
        <v>1.9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47643-2019</t>
        </is>
      </c>
      <c r="B496" s="1" t="n">
        <v>43724</v>
      </c>
      <c r="C496" s="1" t="n">
        <v>45192</v>
      </c>
      <c r="D496" t="inlineStr">
        <is>
          <t>VÄSTERBOTTENS LÄN</t>
        </is>
      </c>
      <c r="E496" t="inlineStr">
        <is>
          <t>SKELLEFTEÅ</t>
        </is>
      </c>
      <c r="G496" t="n">
        <v>3.5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47572-2019</t>
        </is>
      </c>
      <c r="B497" s="1" t="n">
        <v>43724</v>
      </c>
      <c r="C497" s="1" t="n">
        <v>45192</v>
      </c>
      <c r="D497" t="inlineStr">
        <is>
          <t>VÄSTERBOTTENS LÄN</t>
        </is>
      </c>
      <c r="E497" t="inlineStr">
        <is>
          <t>SKELLEFTEÅ</t>
        </is>
      </c>
      <c r="G497" t="n">
        <v>3.6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48786-2019</t>
        </is>
      </c>
      <c r="B498" s="1" t="n">
        <v>43727</v>
      </c>
      <c r="C498" s="1" t="n">
        <v>45192</v>
      </c>
      <c r="D498" t="inlineStr">
        <is>
          <t>VÄSTERBOTTENS LÄN</t>
        </is>
      </c>
      <c r="E498" t="inlineStr">
        <is>
          <t>SKELLEFTEÅ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48592-2019</t>
        </is>
      </c>
      <c r="B499" s="1" t="n">
        <v>43727</v>
      </c>
      <c r="C499" s="1" t="n">
        <v>45192</v>
      </c>
      <c r="D499" t="inlineStr">
        <is>
          <t>VÄSTERBOTTENS LÄN</t>
        </is>
      </c>
      <c r="E499" t="inlineStr">
        <is>
          <t>SKELLEFTEÅ</t>
        </is>
      </c>
      <c r="G499" t="n">
        <v>1.6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48957-2019</t>
        </is>
      </c>
      <c r="B500" s="1" t="n">
        <v>43728</v>
      </c>
      <c r="C500" s="1" t="n">
        <v>45192</v>
      </c>
      <c r="D500" t="inlineStr">
        <is>
          <t>VÄSTERBOTTENS LÄN</t>
        </is>
      </c>
      <c r="E500" t="inlineStr">
        <is>
          <t>SKELLEFTEÅ</t>
        </is>
      </c>
      <c r="F500" t="inlineStr">
        <is>
          <t>SCA</t>
        </is>
      </c>
      <c r="G500" t="n">
        <v>3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49464-2019</t>
        </is>
      </c>
      <c r="B501" s="1" t="n">
        <v>43728</v>
      </c>
      <c r="C501" s="1" t="n">
        <v>45192</v>
      </c>
      <c r="D501" t="inlineStr">
        <is>
          <t>VÄSTERBOTTENS LÄN</t>
        </is>
      </c>
      <c r="E501" t="inlineStr">
        <is>
          <t>SKELLEFTEÅ</t>
        </is>
      </c>
      <c r="G501" t="n">
        <v>7.1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49712-2019</t>
        </is>
      </c>
      <c r="B502" s="1" t="n">
        <v>43728</v>
      </c>
      <c r="C502" s="1" t="n">
        <v>45192</v>
      </c>
      <c r="D502" t="inlineStr">
        <is>
          <t>VÄSTERBOTTENS LÄN</t>
        </is>
      </c>
      <c r="E502" t="inlineStr">
        <is>
          <t>SKELLEFTEÅ</t>
        </is>
      </c>
      <c r="G502" t="n">
        <v>4.2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49617-2019</t>
        </is>
      </c>
      <c r="B503" s="1" t="n">
        <v>43728</v>
      </c>
      <c r="C503" s="1" t="n">
        <v>45192</v>
      </c>
      <c r="D503" t="inlineStr">
        <is>
          <t>VÄSTERBOTTENS LÄN</t>
        </is>
      </c>
      <c r="E503" t="inlineStr">
        <is>
          <t>SKELLEFTEÅ</t>
        </is>
      </c>
      <c r="G503" t="n">
        <v>2.8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49005-2019</t>
        </is>
      </c>
      <c r="B504" s="1" t="n">
        <v>43730</v>
      </c>
      <c r="C504" s="1" t="n">
        <v>45192</v>
      </c>
      <c r="D504" t="inlineStr">
        <is>
          <t>VÄSTERBOTTENS LÄN</t>
        </is>
      </c>
      <c r="E504" t="inlineStr">
        <is>
          <t>SKELLEFTEÅ</t>
        </is>
      </c>
      <c r="F504" t="inlineStr">
        <is>
          <t>Holmen skog AB</t>
        </is>
      </c>
      <c r="G504" t="n">
        <v>5.5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49282-2019</t>
        </is>
      </c>
      <c r="B505" s="1" t="n">
        <v>43731</v>
      </c>
      <c r="C505" s="1" t="n">
        <v>45192</v>
      </c>
      <c r="D505" t="inlineStr">
        <is>
          <t>VÄSTERBOTTENS LÄN</t>
        </is>
      </c>
      <c r="E505" t="inlineStr">
        <is>
          <t>SKELLEFTEÅ</t>
        </is>
      </c>
      <c r="F505" t="inlineStr">
        <is>
          <t>Kommuner</t>
        </is>
      </c>
      <c r="G505" t="n">
        <v>0.9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49312-2019</t>
        </is>
      </c>
      <c r="B506" s="1" t="n">
        <v>43731</v>
      </c>
      <c r="C506" s="1" t="n">
        <v>45192</v>
      </c>
      <c r="D506" t="inlineStr">
        <is>
          <t>VÄSTERBOTTENS LÄN</t>
        </is>
      </c>
      <c r="E506" t="inlineStr">
        <is>
          <t>SKELLEFTEÅ</t>
        </is>
      </c>
      <c r="G506" t="n">
        <v>1.8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49327-2019</t>
        </is>
      </c>
      <c r="B507" s="1" t="n">
        <v>43731</v>
      </c>
      <c r="C507" s="1" t="n">
        <v>45192</v>
      </c>
      <c r="D507" t="inlineStr">
        <is>
          <t>VÄSTERBOTTENS LÄN</t>
        </is>
      </c>
      <c r="E507" t="inlineStr">
        <is>
          <t>SKELLEFTEÅ</t>
        </is>
      </c>
      <c r="G507" t="n">
        <v>0.7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49035-2019</t>
        </is>
      </c>
      <c r="B508" s="1" t="n">
        <v>43731</v>
      </c>
      <c r="C508" s="1" t="n">
        <v>45192</v>
      </c>
      <c r="D508" t="inlineStr">
        <is>
          <t>VÄSTERBOTTENS LÄN</t>
        </is>
      </c>
      <c r="E508" t="inlineStr">
        <is>
          <t>SKELLEFTEÅ</t>
        </is>
      </c>
      <c r="F508" t="inlineStr">
        <is>
          <t>Kommuner</t>
        </is>
      </c>
      <c r="G508" t="n">
        <v>1.4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49792-2019</t>
        </is>
      </c>
      <c r="B509" s="1" t="n">
        <v>43733</v>
      </c>
      <c r="C509" s="1" t="n">
        <v>45192</v>
      </c>
      <c r="D509" t="inlineStr">
        <is>
          <t>VÄSTERBOTTENS LÄN</t>
        </is>
      </c>
      <c r="E509" t="inlineStr">
        <is>
          <t>SKELLEFTEÅ</t>
        </is>
      </c>
      <c r="F509" t="inlineStr">
        <is>
          <t>Sveaskog</t>
        </is>
      </c>
      <c r="G509" t="n">
        <v>6.2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50515-2019</t>
        </is>
      </c>
      <c r="B510" s="1" t="n">
        <v>43733</v>
      </c>
      <c r="C510" s="1" t="n">
        <v>45192</v>
      </c>
      <c r="D510" t="inlineStr">
        <is>
          <t>VÄSTERBOTTENS LÄN</t>
        </is>
      </c>
      <c r="E510" t="inlineStr">
        <is>
          <t>SKELLEFTEÅ</t>
        </is>
      </c>
      <c r="G510" t="n">
        <v>3.1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50518-2019</t>
        </is>
      </c>
      <c r="B511" s="1" t="n">
        <v>43733</v>
      </c>
      <c r="C511" s="1" t="n">
        <v>45192</v>
      </c>
      <c r="D511" t="inlineStr">
        <is>
          <t>VÄSTERBOTTENS LÄN</t>
        </is>
      </c>
      <c r="E511" t="inlineStr">
        <is>
          <t>SKELLEFTEÅ</t>
        </is>
      </c>
      <c r="G511" t="n">
        <v>1.3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50574-2019</t>
        </is>
      </c>
      <c r="B512" s="1" t="n">
        <v>43735</v>
      </c>
      <c r="C512" s="1" t="n">
        <v>45192</v>
      </c>
      <c r="D512" t="inlineStr">
        <is>
          <t>VÄSTERBOTTENS LÄN</t>
        </is>
      </c>
      <c r="E512" t="inlineStr">
        <is>
          <t>SKELLEFTEÅ</t>
        </is>
      </c>
      <c r="F512" t="inlineStr">
        <is>
          <t>Sveaskog</t>
        </is>
      </c>
      <c r="G512" t="n">
        <v>7.8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53194-2019</t>
        </is>
      </c>
      <c r="B513" s="1" t="n">
        <v>43735</v>
      </c>
      <c r="C513" s="1" t="n">
        <v>45192</v>
      </c>
      <c r="D513" t="inlineStr">
        <is>
          <t>VÄSTERBOTTENS LÄN</t>
        </is>
      </c>
      <c r="E513" t="inlineStr">
        <is>
          <t>SKELLEFTEÅ</t>
        </is>
      </c>
      <c r="G513" t="n">
        <v>5.2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50568-2019</t>
        </is>
      </c>
      <c r="B514" s="1" t="n">
        <v>43735</v>
      </c>
      <c r="C514" s="1" t="n">
        <v>45192</v>
      </c>
      <c r="D514" t="inlineStr">
        <is>
          <t>VÄSTERBOTTENS LÄN</t>
        </is>
      </c>
      <c r="E514" t="inlineStr">
        <is>
          <t>SKELLEFTEÅ</t>
        </is>
      </c>
      <c r="F514" t="inlineStr">
        <is>
          <t>Sveaskog</t>
        </is>
      </c>
      <c r="G514" t="n">
        <v>3.2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50572-2019</t>
        </is>
      </c>
      <c r="B515" s="1" t="n">
        <v>43735</v>
      </c>
      <c r="C515" s="1" t="n">
        <v>45192</v>
      </c>
      <c r="D515" t="inlineStr">
        <is>
          <t>VÄSTERBOTTENS LÄN</t>
        </is>
      </c>
      <c r="E515" t="inlineStr">
        <is>
          <t>SKELLEFTEÅ</t>
        </is>
      </c>
      <c r="F515" t="inlineStr">
        <is>
          <t>Sveaskog</t>
        </is>
      </c>
      <c r="G515" t="n">
        <v>12.1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50872-2019</t>
        </is>
      </c>
      <c r="B516" s="1" t="n">
        <v>43738</v>
      </c>
      <c r="C516" s="1" t="n">
        <v>45192</v>
      </c>
      <c r="D516" t="inlineStr">
        <is>
          <t>VÄSTERBOTTENS LÄN</t>
        </is>
      </c>
      <c r="E516" t="inlineStr">
        <is>
          <t>SKELLEFTEÅ</t>
        </is>
      </c>
      <c r="F516" t="inlineStr">
        <is>
          <t>Holmen skog AB</t>
        </is>
      </c>
      <c r="G516" t="n">
        <v>11.5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53557-2019</t>
        </is>
      </c>
      <c r="B517" s="1" t="n">
        <v>43740</v>
      </c>
      <c r="C517" s="1" t="n">
        <v>45192</v>
      </c>
      <c r="D517" t="inlineStr">
        <is>
          <t>VÄSTERBOTTENS LÄN</t>
        </is>
      </c>
      <c r="E517" t="inlineStr">
        <is>
          <t>SKELLEFTEÅ</t>
        </is>
      </c>
      <c r="G517" t="n">
        <v>2.8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53311-2019</t>
        </is>
      </c>
      <c r="B518" s="1" t="n">
        <v>43740</v>
      </c>
      <c r="C518" s="1" t="n">
        <v>45192</v>
      </c>
      <c r="D518" t="inlineStr">
        <is>
          <t>VÄSTERBOTTENS LÄN</t>
        </is>
      </c>
      <c r="E518" t="inlineStr">
        <is>
          <t>SKELLEFTEÅ</t>
        </is>
      </c>
      <c r="G518" t="n">
        <v>0.6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54004-2019</t>
        </is>
      </c>
      <c r="B519" s="1" t="n">
        <v>43742</v>
      </c>
      <c r="C519" s="1" t="n">
        <v>45192</v>
      </c>
      <c r="D519" t="inlineStr">
        <is>
          <t>VÄSTERBOTTENS LÄN</t>
        </is>
      </c>
      <c r="E519" t="inlineStr">
        <is>
          <t>SKELLEFTEÅ</t>
        </is>
      </c>
      <c r="G519" t="n">
        <v>2.2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52019-2019</t>
        </is>
      </c>
      <c r="B520" s="1" t="n">
        <v>43742</v>
      </c>
      <c r="C520" s="1" t="n">
        <v>45192</v>
      </c>
      <c r="D520" t="inlineStr">
        <is>
          <t>VÄSTERBOTTENS LÄN</t>
        </is>
      </c>
      <c r="E520" t="inlineStr">
        <is>
          <t>SKELLEFTEÅ</t>
        </is>
      </c>
      <c r="G520" t="n">
        <v>1.2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53980-2019</t>
        </is>
      </c>
      <c r="B521" s="1" t="n">
        <v>43742</v>
      </c>
      <c r="C521" s="1" t="n">
        <v>45192</v>
      </c>
      <c r="D521" t="inlineStr">
        <is>
          <t>VÄSTERBOTTENS LÄN</t>
        </is>
      </c>
      <c r="E521" t="inlineStr">
        <is>
          <t>SKELLEFTEÅ</t>
        </is>
      </c>
      <c r="G521" t="n">
        <v>2.3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52469-2019</t>
        </is>
      </c>
      <c r="B522" s="1" t="n">
        <v>43745</v>
      </c>
      <c r="C522" s="1" t="n">
        <v>45192</v>
      </c>
      <c r="D522" t="inlineStr">
        <is>
          <t>VÄSTERBOTTENS LÄN</t>
        </is>
      </c>
      <c r="E522" t="inlineStr">
        <is>
          <t>SKELLEFTEÅ</t>
        </is>
      </c>
      <c r="G522" t="n">
        <v>7.3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52546-2019</t>
        </is>
      </c>
      <c r="B523" s="1" t="n">
        <v>43745</v>
      </c>
      <c r="C523" s="1" t="n">
        <v>45192</v>
      </c>
      <c r="D523" t="inlineStr">
        <is>
          <t>VÄSTERBOTTENS LÄN</t>
        </is>
      </c>
      <c r="E523" t="inlineStr">
        <is>
          <t>SKELLEFTEÅ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52471-2019</t>
        </is>
      </c>
      <c r="B524" s="1" t="n">
        <v>43745</v>
      </c>
      <c r="C524" s="1" t="n">
        <v>45192</v>
      </c>
      <c r="D524" t="inlineStr">
        <is>
          <t>VÄSTERBOTTENS LÄN</t>
        </is>
      </c>
      <c r="E524" t="inlineStr">
        <is>
          <t>SKELLEFTEÅ</t>
        </is>
      </c>
      <c r="G524" t="n">
        <v>7.8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52484-2019</t>
        </is>
      </c>
      <c r="B525" s="1" t="n">
        <v>43745</v>
      </c>
      <c r="C525" s="1" t="n">
        <v>45192</v>
      </c>
      <c r="D525" t="inlineStr">
        <is>
          <t>VÄSTERBOTTENS LÄN</t>
        </is>
      </c>
      <c r="E525" t="inlineStr">
        <is>
          <t>SKELLEFTEÅ</t>
        </is>
      </c>
      <c r="G525" t="n">
        <v>9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52953-2019</t>
        </is>
      </c>
      <c r="B526" s="1" t="n">
        <v>43747</v>
      </c>
      <c r="C526" s="1" t="n">
        <v>45192</v>
      </c>
      <c r="D526" t="inlineStr">
        <is>
          <t>VÄSTERBOTTENS LÄN</t>
        </is>
      </c>
      <c r="E526" t="inlineStr">
        <is>
          <t>SKELLEFTEÅ</t>
        </is>
      </c>
      <c r="G526" t="n">
        <v>5.6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54742-2019</t>
        </is>
      </c>
      <c r="B527" s="1" t="n">
        <v>43748</v>
      </c>
      <c r="C527" s="1" t="n">
        <v>45192</v>
      </c>
      <c r="D527" t="inlineStr">
        <is>
          <t>VÄSTERBOTTENS LÄN</t>
        </is>
      </c>
      <c r="E527" t="inlineStr">
        <is>
          <t>SKELLEFTEÅ</t>
        </is>
      </c>
      <c r="G527" t="n">
        <v>1.1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53584-2019</t>
        </is>
      </c>
      <c r="B528" s="1" t="n">
        <v>43749</v>
      </c>
      <c r="C528" s="1" t="n">
        <v>45192</v>
      </c>
      <c r="D528" t="inlineStr">
        <is>
          <t>VÄSTERBOTTENS LÄN</t>
        </is>
      </c>
      <c r="E528" t="inlineStr">
        <is>
          <t>SKELLEFTEÅ</t>
        </is>
      </c>
      <c r="G528" t="n">
        <v>11.4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54935-2019</t>
        </is>
      </c>
      <c r="B529" s="1" t="n">
        <v>43749</v>
      </c>
      <c r="C529" s="1" t="n">
        <v>45192</v>
      </c>
      <c r="D529" t="inlineStr">
        <is>
          <t>VÄSTERBOTTENS LÄN</t>
        </is>
      </c>
      <c r="E529" t="inlineStr">
        <is>
          <t>SKELLEFTEÅ</t>
        </is>
      </c>
      <c r="G529" t="n">
        <v>0.9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54939-2019</t>
        </is>
      </c>
      <c r="B530" s="1" t="n">
        <v>43749</v>
      </c>
      <c r="C530" s="1" t="n">
        <v>45192</v>
      </c>
      <c r="D530" t="inlineStr">
        <is>
          <t>VÄSTERBOTTENS LÄN</t>
        </is>
      </c>
      <c r="E530" t="inlineStr">
        <is>
          <t>SKELLEFTEÅ</t>
        </is>
      </c>
      <c r="G530" t="n">
        <v>4.2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54920-2019</t>
        </is>
      </c>
      <c r="B531" s="1" t="n">
        <v>43749</v>
      </c>
      <c r="C531" s="1" t="n">
        <v>45192</v>
      </c>
      <c r="D531" t="inlineStr">
        <is>
          <t>VÄSTERBOTTENS LÄN</t>
        </is>
      </c>
      <c r="E531" t="inlineStr">
        <is>
          <t>SKELLEFTEÅ</t>
        </is>
      </c>
      <c r="G531" t="n">
        <v>24.3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54111-2019</t>
        </is>
      </c>
      <c r="B532" s="1" t="n">
        <v>43752</v>
      </c>
      <c r="C532" s="1" t="n">
        <v>45192</v>
      </c>
      <c r="D532" t="inlineStr">
        <is>
          <t>VÄSTERBOTTENS LÄN</t>
        </is>
      </c>
      <c r="E532" t="inlineStr">
        <is>
          <t>SKELLEFTEÅ</t>
        </is>
      </c>
      <c r="F532" t="inlineStr">
        <is>
          <t>Sveaskog</t>
        </is>
      </c>
      <c r="G532" t="n">
        <v>30.6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53925-2019</t>
        </is>
      </c>
      <c r="B533" s="1" t="n">
        <v>43752</v>
      </c>
      <c r="C533" s="1" t="n">
        <v>45192</v>
      </c>
      <c r="D533" t="inlineStr">
        <is>
          <t>VÄSTERBOTTENS LÄN</t>
        </is>
      </c>
      <c r="E533" t="inlineStr">
        <is>
          <t>SKELLEFTEÅ</t>
        </is>
      </c>
      <c r="G533" t="n">
        <v>0.5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54146-2019</t>
        </is>
      </c>
      <c r="B534" s="1" t="n">
        <v>43753</v>
      </c>
      <c r="C534" s="1" t="n">
        <v>45192</v>
      </c>
      <c r="D534" t="inlineStr">
        <is>
          <t>VÄSTERBOTTENS LÄN</t>
        </is>
      </c>
      <c r="E534" t="inlineStr">
        <is>
          <t>SKELLEFTEÅ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54666-2019</t>
        </is>
      </c>
      <c r="B535" s="1" t="n">
        <v>43754</v>
      </c>
      <c r="C535" s="1" t="n">
        <v>45192</v>
      </c>
      <c r="D535" t="inlineStr">
        <is>
          <t>VÄSTERBOTTENS LÄN</t>
        </is>
      </c>
      <c r="E535" t="inlineStr">
        <is>
          <t>SKELLEFTEÅ</t>
        </is>
      </c>
      <c r="F535" t="inlineStr">
        <is>
          <t>Sveaskog</t>
        </is>
      </c>
      <c r="G535" t="n">
        <v>4.4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54667-2019</t>
        </is>
      </c>
      <c r="B536" s="1" t="n">
        <v>43754</v>
      </c>
      <c r="C536" s="1" t="n">
        <v>45192</v>
      </c>
      <c r="D536" t="inlineStr">
        <is>
          <t>VÄSTERBOTTENS LÄN</t>
        </is>
      </c>
      <c r="E536" t="inlineStr">
        <is>
          <t>SKELLEFTEÅ</t>
        </is>
      </c>
      <c r="F536" t="inlineStr">
        <is>
          <t>Sveaskog</t>
        </is>
      </c>
      <c r="G536" t="n">
        <v>3.9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55363-2019</t>
        </is>
      </c>
      <c r="B537" s="1" t="n">
        <v>43756</v>
      </c>
      <c r="C537" s="1" t="n">
        <v>45192</v>
      </c>
      <c r="D537" t="inlineStr">
        <is>
          <t>VÄSTERBOTTENS LÄN</t>
        </is>
      </c>
      <c r="E537" t="inlineStr">
        <is>
          <t>SKELLEFTEÅ</t>
        </is>
      </c>
      <c r="G537" t="n">
        <v>1.2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55489-2019</t>
        </is>
      </c>
      <c r="B538" s="1" t="n">
        <v>43759</v>
      </c>
      <c r="C538" s="1" t="n">
        <v>45192</v>
      </c>
      <c r="D538" t="inlineStr">
        <is>
          <t>VÄSTERBOTTENS LÄN</t>
        </is>
      </c>
      <c r="E538" t="inlineStr">
        <is>
          <t>SKELLEFTEÅ</t>
        </is>
      </c>
      <c r="G538" t="n">
        <v>2.3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55459-2019</t>
        </is>
      </c>
      <c r="B539" s="1" t="n">
        <v>43759</v>
      </c>
      <c r="C539" s="1" t="n">
        <v>45192</v>
      </c>
      <c r="D539" t="inlineStr">
        <is>
          <t>VÄSTERBOTTENS LÄN</t>
        </is>
      </c>
      <c r="E539" t="inlineStr">
        <is>
          <t>SKELLEFTEÅ</t>
        </is>
      </c>
      <c r="G539" t="n">
        <v>14.5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56284-2019</t>
        </is>
      </c>
      <c r="B540" s="1" t="n">
        <v>43762</v>
      </c>
      <c r="C540" s="1" t="n">
        <v>45192</v>
      </c>
      <c r="D540" t="inlineStr">
        <is>
          <t>VÄSTERBOTTENS LÄN</t>
        </is>
      </c>
      <c r="E540" t="inlineStr">
        <is>
          <t>SKELLEFTEÅ</t>
        </is>
      </c>
      <c r="F540" t="inlineStr">
        <is>
          <t>Holmen skog AB</t>
        </is>
      </c>
      <c r="G540" t="n">
        <v>2.7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56786-2019</t>
        </is>
      </c>
      <c r="B541" s="1" t="n">
        <v>43763</v>
      </c>
      <c r="C541" s="1" t="n">
        <v>45192</v>
      </c>
      <c r="D541" t="inlineStr">
        <is>
          <t>VÄSTERBOTTENS LÄN</t>
        </is>
      </c>
      <c r="E541" t="inlineStr">
        <is>
          <t>SKELLEFTEÅ</t>
        </is>
      </c>
      <c r="G541" t="n">
        <v>1.4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57803-2019</t>
        </is>
      </c>
      <c r="B542" s="1" t="n">
        <v>43768</v>
      </c>
      <c r="C542" s="1" t="n">
        <v>45192</v>
      </c>
      <c r="D542" t="inlineStr">
        <is>
          <t>VÄSTERBOTTENS LÄN</t>
        </is>
      </c>
      <c r="E542" t="inlineStr">
        <is>
          <t>SKELLEFTEÅ</t>
        </is>
      </c>
      <c r="F542" t="inlineStr">
        <is>
          <t>Sveaskog</t>
        </is>
      </c>
      <c r="G542" t="n">
        <v>1.1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58546-2019</t>
        </is>
      </c>
      <c r="B543" s="1" t="n">
        <v>43773</v>
      </c>
      <c r="C543" s="1" t="n">
        <v>45192</v>
      </c>
      <c r="D543" t="inlineStr">
        <is>
          <t>VÄSTERBOTTENS LÄN</t>
        </is>
      </c>
      <c r="E543" t="inlineStr">
        <is>
          <t>SKELLEFTEÅ</t>
        </is>
      </c>
      <c r="F543" t="inlineStr">
        <is>
          <t>Sveaskog</t>
        </is>
      </c>
      <c r="G543" t="n">
        <v>27.6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59255-2019</t>
        </is>
      </c>
      <c r="B544" s="1" t="n">
        <v>43773</v>
      </c>
      <c r="C544" s="1" t="n">
        <v>45192</v>
      </c>
      <c r="D544" t="inlineStr">
        <is>
          <t>VÄSTERBOTTENS LÄN</t>
        </is>
      </c>
      <c r="E544" t="inlineStr">
        <is>
          <t>SKELLEFTEÅ</t>
        </is>
      </c>
      <c r="G544" t="n">
        <v>3.7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58901-2019</t>
        </is>
      </c>
      <c r="B545" s="1" t="n">
        <v>43774</v>
      </c>
      <c r="C545" s="1" t="n">
        <v>45192</v>
      </c>
      <c r="D545" t="inlineStr">
        <is>
          <t>VÄSTERBOTTENS LÄN</t>
        </is>
      </c>
      <c r="E545" t="inlineStr">
        <is>
          <t>SKELLEFTEÅ</t>
        </is>
      </c>
      <c r="F545" t="inlineStr">
        <is>
          <t>Sveaskog</t>
        </is>
      </c>
      <c r="G545" t="n">
        <v>4.8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58905-2019</t>
        </is>
      </c>
      <c r="B546" s="1" t="n">
        <v>43774</v>
      </c>
      <c r="C546" s="1" t="n">
        <v>45192</v>
      </c>
      <c r="D546" t="inlineStr">
        <is>
          <t>VÄSTERBOTTENS LÄN</t>
        </is>
      </c>
      <c r="E546" t="inlineStr">
        <is>
          <t>SKELLEFTEÅ</t>
        </is>
      </c>
      <c r="F546" t="inlineStr">
        <is>
          <t>Sveaskog</t>
        </is>
      </c>
      <c r="G546" t="n">
        <v>26.4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58817-2019</t>
        </is>
      </c>
      <c r="B547" s="1" t="n">
        <v>43774</v>
      </c>
      <c r="C547" s="1" t="n">
        <v>45192</v>
      </c>
      <c r="D547" t="inlineStr">
        <is>
          <t>VÄSTERBOTTENS LÄN</t>
        </is>
      </c>
      <c r="E547" t="inlineStr">
        <is>
          <t>SKELLEFTEÅ</t>
        </is>
      </c>
      <c r="F547" t="inlineStr">
        <is>
          <t>Holmen skog AB</t>
        </is>
      </c>
      <c r="G547" t="n">
        <v>1.6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59611-2019</t>
        </is>
      </c>
      <c r="B548" s="1" t="n">
        <v>43774</v>
      </c>
      <c r="C548" s="1" t="n">
        <v>45192</v>
      </c>
      <c r="D548" t="inlineStr">
        <is>
          <t>VÄSTERBOTTENS LÄN</t>
        </is>
      </c>
      <c r="E548" t="inlineStr">
        <is>
          <t>SKELLEFTEÅ</t>
        </is>
      </c>
      <c r="G548" t="n">
        <v>1.3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60378-2019</t>
        </is>
      </c>
      <c r="B549" s="1" t="n">
        <v>43776</v>
      </c>
      <c r="C549" s="1" t="n">
        <v>45192</v>
      </c>
      <c r="D549" t="inlineStr">
        <is>
          <t>VÄSTERBOTTENS LÄN</t>
        </is>
      </c>
      <c r="E549" t="inlineStr">
        <is>
          <t>SKELLEFTEÅ</t>
        </is>
      </c>
      <c r="G549" t="n">
        <v>4.3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60289-2019</t>
        </is>
      </c>
      <c r="B550" s="1" t="n">
        <v>43776</v>
      </c>
      <c r="C550" s="1" t="n">
        <v>45192</v>
      </c>
      <c r="D550" t="inlineStr">
        <is>
          <t>VÄSTERBOTTENS LÄN</t>
        </is>
      </c>
      <c r="E550" t="inlineStr">
        <is>
          <t>SKELLEFTEÅ</t>
        </is>
      </c>
      <c r="G550" t="n">
        <v>3.3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61929-2019</t>
        </is>
      </c>
      <c r="B551" s="1" t="n">
        <v>43781</v>
      </c>
      <c r="C551" s="1" t="n">
        <v>45192</v>
      </c>
      <c r="D551" t="inlineStr">
        <is>
          <t>VÄSTERBOTTENS LÄN</t>
        </is>
      </c>
      <c r="E551" t="inlineStr">
        <is>
          <t>SKELLEFTEÅ</t>
        </is>
      </c>
      <c r="G551" t="n">
        <v>0.3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60985-2019</t>
        </is>
      </c>
      <c r="B552" s="1" t="n">
        <v>43782</v>
      </c>
      <c r="C552" s="1" t="n">
        <v>45192</v>
      </c>
      <c r="D552" t="inlineStr">
        <is>
          <t>VÄSTERBOTTENS LÄN</t>
        </is>
      </c>
      <c r="E552" t="inlineStr">
        <is>
          <t>SKELLEFTEÅ</t>
        </is>
      </c>
      <c r="G552" t="n">
        <v>4.7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61295-2019</t>
        </is>
      </c>
      <c r="B553" s="1" t="n">
        <v>43783</v>
      </c>
      <c r="C553" s="1" t="n">
        <v>45192</v>
      </c>
      <c r="D553" t="inlineStr">
        <is>
          <t>VÄSTERBOTTENS LÄN</t>
        </is>
      </c>
      <c r="E553" t="inlineStr">
        <is>
          <t>SKELLEFTEÅ</t>
        </is>
      </c>
      <c r="F553" t="inlineStr">
        <is>
          <t>Holmen skog AB</t>
        </is>
      </c>
      <c r="G553" t="n">
        <v>11.2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61468-2019</t>
        </is>
      </c>
      <c r="B554" s="1" t="n">
        <v>43783</v>
      </c>
      <c r="C554" s="1" t="n">
        <v>45192</v>
      </c>
      <c r="D554" t="inlineStr">
        <is>
          <t>VÄSTERBOTTENS LÄN</t>
        </is>
      </c>
      <c r="E554" t="inlineStr">
        <is>
          <t>SKELLEFTEÅ</t>
        </is>
      </c>
      <c r="F554" t="inlineStr">
        <is>
          <t>Sveaskog</t>
        </is>
      </c>
      <c r="G554" t="n">
        <v>2.6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62584-2019</t>
        </is>
      </c>
      <c r="B555" s="1" t="n">
        <v>43784</v>
      </c>
      <c r="C555" s="1" t="n">
        <v>45192</v>
      </c>
      <c r="D555" t="inlineStr">
        <is>
          <t>VÄSTERBOTTENS LÄN</t>
        </is>
      </c>
      <c r="E555" t="inlineStr">
        <is>
          <t>SKELLEFTEÅ</t>
        </is>
      </c>
      <c r="G555" t="n">
        <v>6.1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62201-2019</t>
        </is>
      </c>
      <c r="B556" s="1" t="n">
        <v>43788</v>
      </c>
      <c r="C556" s="1" t="n">
        <v>45192</v>
      </c>
      <c r="D556" t="inlineStr">
        <is>
          <t>VÄSTERBOTTENS LÄN</t>
        </is>
      </c>
      <c r="E556" t="inlineStr">
        <is>
          <t>SKELLEFTEÅ</t>
        </is>
      </c>
      <c r="G556" t="n">
        <v>8.699999999999999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62678-2019</t>
        </is>
      </c>
      <c r="B557" s="1" t="n">
        <v>43789</v>
      </c>
      <c r="C557" s="1" t="n">
        <v>45192</v>
      </c>
      <c r="D557" t="inlineStr">
        <is>
          <t>VÄSTERBOTTENS LÄN</t>
        </is>
      </c>
      <c r="E557" t="inlineStr">
        <is>
          <t>SKELLEFTEÅ</t>
        </is>
      </c>
      <c r="G557" t="n">
        <v>4.9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62873-2019</t>
        </is>
      </c>
      <c r="B558" s="1" t="n">
        <v>43790</v>
      </c>
      <c r="C558" s="1" t="n">
        <v>45192</v>
      </c>
      <c r="D558" t="inlineStr">
        <is>
          <t>VÄSTERBOTTENS LÄN</t>
        </is>
      </c>
      <c r="E558" t="inlineStr">
        <is>
          <t>SKELLEFTEÅ</t>
        </is>
      </c>
      <c r="F558" t="inlineStr">
        <is>
          <t>Holmen skog AB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62823-2019</t>
        </is>
      </c>
      <c r="B559" s="1" t="n">
        <v>43790</v>
      </c>
      <c r="C559" s="1" t="n">
        <v>45192</v>
      </c>
      <c r="D559" t="inlineStr">
        <is>
          <t>VÄSTERBOTTENS LÄN</t>
        </is>
      </c>
      <c r="E559" t="inlineStr">
        <is>
          <t>SKELLEFTEÅ</t>
        </is>
      </c>
      <c r="F559" t="inlineStr">
        <is>
          <t>Holmen skog AB</t>
        </is>
      </c>
      <c r="G559" t="n">
        <v>3.8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63554-2019</t>
        </is>
      </c>
      <c r="B560" s="1" t="n">
        <v>43794</v>
      </c>
      <c r="C560" s="1" t="n">
        <v>45192</v>
      </c>
      <c r="D560" t="inlineStr">
        <is>
          <t>VÄSTERBOTTENS LÄN</t>
        </is>
      </c>
      <c r="E560" t="inlineStr">
        <is>
          <t>SKELLEFTEÅ</t>
        </is>
      </c>
      <c r="G560" t="n">
        <v>0.7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64139-2019</t>
        </is>
      </c>
      <c r="B561" s="1" t="n">
        <v>43796</v>
      </c>
      <c r="C561" s="1" t="n">
        <v>45192</v>
      </c>
      <c r="D561" t="inlineStr">
        <is>
          <t>VÄSTERBOTTENS LÄN</t>
        </is>
      </c>
      <c r="E561" t="inlineStr">
        <is>
          <t>SKELLEFTEÅ</t>
        </is>
      </c>
      <c r="G561" t="n">
        <v>2.5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63846-2019</t>
        </is>
      </c>
      <c r="B562" s="1" t="n">
        <v>43796</v>
      </c>
      <c r="C562" s="1" t="n">
        <v>45192</v>
      </c>
      <c r="D562" t="inlineStr">
        <is>
          <t>VÄSTERBOTTENS LÄN</t>
        </is>
      </c>
      <c r="E562" t="inlineStr">
        <is>
          <t>SKELLEFTEÅ</t>
        </is>
      </c>
      <c r="G562" t="n">
        <v>1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64039-2019</t>
        </is>
      </c>
      <c r="B563" s="1" t="n">
        <v>43796</v>
      </c>
      <c r="C563" s="1" t="n">
        <v>45192</v>
      </c>
      <c r="D563" t="inlineStr">
        <is>
          <t>VÄSTERBOTTENS LÄN</t>
        </is>
      </c>
      <c r="E563" t="inlineStr">
        <is>
          <t>SKELLEFTEÅ</t>
        </is>
      </c>
      <c r="F563" t="inlineStr">
        <is>
          <t>Sveaskog</t>
        </is>
      </c>
      <c r="G563" t="n">
        <v>8.800000000000001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64117-2019</t>
        </is>
      </c>
      <c r="B564" s="1" t="n">
        <v>43796</v>
      </c>
      <c r="C564" s="1" t="n">
        <v>45192</v>
      </c>
      <c r="D564" t="inlineStr">
        <is>
          <t>VÄSTERBOTTENS LÄN</t>
        </is>
      </c>
      <c r="E564" t="inlineStr">
        <is>
          <t>SKELLEFTEÅ</t>
        </is>
      </c>
      <c r="F564" t="inlineStr">
        <is>
          <t>Sveaskog</t>
        </is>
      </c>
      <c r="G564" t="n">
        <v>16.2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63845-2019</t>
        </is>
      </c>
      <c r="B565" s="1" t="n">
        <v>43796</v>
      </c>
      <c r="C565" s="1" t="n">
        <v>45192</v>
      </c>
      <c r="D565" t="inlineStr">
        <is>
          <t>VÄSTERBOTTENS LÄN</t>
        </is>
      </c>
      <c r="E565" t="inlineStr">
        <is>
          <t>SKELLEFTEÅ</t>
        </is>
      </c>
      <c r="G565" t="n">
        <v>0.7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64569-2019</t>
        </is>
      </c>
      <c r="B566" s="1" t="n">
        <v>43798</v>
      </c>
      <c r="C566" s="1" t="n">
        <v>45192</v>
      </c>
      <c r="D566" t="inlineStr">
        <is>
          <t>VÄSTERBOTTENS LÄN</t>
        </is>
      </c>
      <c r="E566" t="inlineStr">
        <is>
          <t>SKELLEFTEÅ</t>
        </is>
      </c>
      <c r="G566" t="n">
        <v>1.7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64754-2019</t>
        </is>
      </c>
      <c r="B567" s="1" t="n">
        <v>43801</v>
      </c>
      <c r="C567" s="1" t="n">
        <v>45192</v>
      </c>
      <c r="D567" t="inlineStr">
        <is>
          <t>VÄSTERBOTTENS LÄN</t>
        </is>
      </c>
      <c r="E567" t="inlineStr">
        <is>
          <t>SKELLEFTEÅ</t>
        </is>
      </c>
      <c r="G567" t="n">
        <v>1.7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65070-2019</t>
        </is>
      </c>
      <c r="B568" s="1" t="n">
        <v>43802</v>
      </c>
      <c r="C568" s="1" t="n">
        <v>45192</v>
      </c>
      <c r="D568" t="inlineStr">
        <is>
          <t>VÄSTERBOTTENS LÄN</t>
        </is>
      </c>
      <c r="E568" t="inlineStr">
        <is>
          <t>SKELLEFTEÅ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65565-2019</t>
        </is>
      </c>
      <c r="B569" s="1" t="n">
        <v>43803</v>
      </c>
      <c r="C569" s="1" t="n">
        <v>45192</v>
      </c>
      <c r="D569" t="inlineStr">
        <is>
          <t>VÄSTERBOTTENS LÄN</t>
        </is>
      </c>
      <c r="E569" t="inlineStr">
        <is>
          <t>SKELLEFTEÅ</t>
        </is>
      </c>
      <c r="G569" t="n">
        <v>8.199999999999999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65726-2019</t>
        </is>
      </c>
      <c r="B570" s="1" t="n">
        <v>43804</v>
      </c>
      <c r="C570" s="1" t="n">
        <v>45192</v>
      </c>
      <c r="D570" t="inlineStr">
        <is>
          <t>VÄSTERBOTTENS LÄN</t>
        </is>
      </c>
      <c r="E570" t="inlineStr">
        <is>
          <t>SKELLEFTEÅ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65721-2019</t>
        </is>
      </c>
      <c r="B571" s="1" t="n">
        <v>43804</v>
      </c>
      <c r="C571" s="1" t="n">
        <v>45192</v>
      </c>
      <c r="D571" t="inlineStr">
        <is>
          <t>VÄSTERBOTTENS LÄN</t>
        </is>
      </c>
      <c r="E571" t="inlineStr">
        <is>
          <t>SKELLEFTEÅ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65992-2019</t>
        </is>
      </c>
      <c r="B572" s="1" t="n">
        <v>43805</v>
      </c>
      <c r="C572" s="1" t="n">
        <v>45192</v>
      </c>
      <c r="D572" t="inlineStr">
        <is>
          <t>VÄSTERBOTTENS LÄN</t>
        </is>
      </c>
      <c r="E572" t="inlineStr">
        <is>
          <t>SKELLEFTEÅ</t>
        </is>
      </c>
      <c r="F572" t="inlineStr">
        <is>
          <t>Holmen skog AB</t>
        </is>
      </c>
      <c r="G572" t="n">
        <v>3.5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67581-2019</t>
        </is>
      </c>
      <c r="B573" s="1" t="n">
        <v>43808</v>
      </c>
      <c r="C573" s="1" t="n">
        <v>45192</v>
      </c>
      <c r="D573" t="inlineStr">
        <is>
          <t>VÄSTERBOTTENS LÄN</t>
        </is>
      </c>
      <c r="E573" t="inlineStr">
        <is>
          <t>SKELLEFTEÅ</t>
        </is>
      </c>
      <c r="G573" t="n">
        <v>2.2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66505-2019</t>
        </is>
      </c>
      <c r="B574" s="1" t="n">
        <v>43809</v>
      </c>
      <c r="C574" s="1" t="n">
        <v>45192</v>
      </c>
      <c r="D574" t="inlineStr">
        <is>
          <t>VÄSTERBOTTENS LÄN</t>
        </is>
      </c>
      <c r="E574" t="inlineStr">
        <is>
          <t>SKELLEFTEÅ</t>
        </is>
      </c>
      <c r="G574" t="n">
        <v>1.3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68008-2019</t>
        </is>
      </c>
      <c r="B575" s="1" t="n">
        <v>43811</v>
      </c>
      <c r="C575" s="1" t="n">
        <v>45192</v>
      </c>
      <c r="D575" t="inlineStr">
        <is>
          <t>VÄSTERBOTTENS LÄN</t>
        </is>
      </c>
      <c r="E575" t="inlineStr">
        <is>
          <t>SKELLEFTEÅ</t>
        </is>
      </c>
      <c r="G575" t="n">
        <v>4.3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69135-2019</t>
        </is>
      </c>
      <c r="B576" s="1" t="n">
        <v>43815</v>
      </c>
      <c r="C576" s="1" t="n">
        <v>45192</v>
      </c>
      <c r="D576" t="inlineStr">
        <is>
          <t>VÄSTERBOTTENS LÄN</t>
        </is>
      </c>
      <c r="E576" t="inlineStr">
        <is>
          <t>SKELLEFTEÅ</t>
        </is>
      </c>
      <c r="G576" t="n">
        <v>2.9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69131-2019</t>
        </is>
      </c>
      <c r="B577" s="1" t="n">
        <v>43815</v>
      </c>
      <c r="C577" s="1" t="n">
        <v>45192</v>
      </c>
      <c r="D577" t="inlineStr">
        <is>
          <t>VÄSTERBOTTENS LÄN</t>
        </is>
      </c>
      <c r="E577" t="inlineStr">
        <is>
          <t>SKELLEFTEÅ</t>
        </is>
      </c>
      <c r="G577" t="n">
        <v>5.1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69136-2019</t>
        </is>
      </c>
      <c r="B578" s="1" t="n">
        <v>43815</v>
      </c>
      <c r="C578" s="1" t="n">
        <v>45192</v>
      </c>
      <c r="D578" t="inlineStr">
        <is>
          <t>VÄSTERBOTTENS LÄN</t>
        </is>
      </c>
      <c r="E578" t="inlineStr">
        <is>
          <t>SKELLEFTEÅ</t>
        </is>
      </c>
      <c r="G578" t="n">
        <v>1.3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69140-2019</t>
        </is>
      </c>
      <c r="B579" s="1" t="n">
        <v>43815</v>
      </c>
      <c r="C579" s="1" t="n">
        <v>45192</v>
      </c>
      <c r="D579" t="inlineStr">
        <is>
          <t>VÄSTERBOTTENS LÄN</t>
        </is>
      </c>
      <c r="E579" t="inlineStr">
        <is>
          <t>SKELLEFTEÅ</t>
        </is>
      </c>
      <c r="G579" t="n">
        <v>4.9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67837-2019</t>
        </is>
      </c>
      <c r="B580" s="1" t="n">
        <v>43816</v>
      </c>
      <c r="C580" s="1" t="n">
        <v>45192</v>
      </c>
      <c r="D580" t="inlineStr">
        <is>
          <t>VÄSTERBOTTENS LÄN</t>
        </is>
      </c>
      <c r="E580" t="inlineStr">
        <is>
          <t>SKELLEFTEÅ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277-2020</t>
        </is>
      </c>
      <c r="B581" s="1" t="n">
        <v>43816</v>
      </c>
      <c r="C581" s="1" t="n">
        <v>45192</v>
      </c>
      <c r="D581" t="inlineStr">
        <is>
          <t>VÄSTERBOTTENS LÄN</t>
        </is>
      </c>
      <c r="E581" t="inlineStr">
        <is>
          <t>SKELLEFTEÅ</t>
        </is>
      </c>
      <c r="G581" t="n">
        <v>0.7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398-2020</t>
        </is>
      </c>
      <c r="B582" s="1" t="n">
        <v>43816</v>
      </c>
      <c r="C582" s="1" t="n">
        <v>45192</v>
      </c>
      <c r="D582" t="inlineStr">
        <is>
          <t>VÄSTERBOTTENS LÄN</t>
        </is>
      </c>
      <c r="E582" t="inlineStr">
        <is>
          <t>SKELLEFTEÅ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434-2020</t>
        </is>
      </c>
      <c r="B583" s="1" t="n">
        <v>43816</v>
      </c>
      <c r="C583" s="1" t="n">
        <v>45192</v>
      </c>
      <c r="D583" t="inlineStr">
        <is>
          <t>VÄSTERBOTTENS LÄN</t>
        </is>
      </c>
      <c r="E583" t="inlineStr">
        <is>
          <t>SKELLEFTEÅ</t>
        </is>
      </c>
      <c r="G583" t="n">
        <v>12.9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820-2020</t>
        </is>
      </c>
      <c r="B584" s="1" t="n">
        <v>43818</v>
      </c>
      <c r="C584" s="1" t="n">
        <v>45192</v>
      </c>
      <c r="D584" t="inlineStr">
        <is>
          <t>VÄSTERBOTTENS LÄN</t>
        </is>
      </c>
      <c r="E584" t="inlineStr">
        <is>
          <t>SKELLEFTEÅ</t>
        </is>
      </c>
      <c r="G584" t="n">
        <v>1.4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1102-2020</t>
        </is>
      </c>
      <c r="B585" s="1" t="n">
        <v>43819</v>
      </c>
      <c r="C585" s="1" t="n">
        <v>45192</v>
      </c>
      <c r="D585" t="inlineStr">
        <is>
          <t>VÄSTERBOTTENS LÄN</t>
        </is>
      </c>
      <c r="E585" t="inlineStr">
        <is>
          <t>SKELLEFTEÅ</t>
        </is>
      </c>
      <c r="G585" t="n">
        <v>3.3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1452-2020</t>
        </is>
      </c>
      <c r="B586" s="1" t="n">
        <v>43822</v>
      </c>
      <c r="C586" s="1" t="n">
        <v>45192</v>
      </c>
      <c r="D586" t="inlineStr">
        <is>
          <t>VÄSTERBOTTENS LÄN</t>
        </is>
      </c>
      <c r="E586" t="inlineStr">
        <is>
          <t>SKELLEFTEÅ</t>
        </is>
      </c>
      <c r="G586" t="n">
        <v>0.4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789-2020</t>
        </is>
      </c>
      <c r="B587" s="1" t="n">
        <v>43838</v>
      </c>
      <c r="C587" s="1" t="n">
        <v>45192</v>
      </c>
      <c r="D587" t="inlineStr">
        <is>
          <t>VÄSTERBOTTENS LÄN</t>
        </is>
      </c>
      <c r="E587" t="inlineStr">
        <is>
          <t>SKELLEFTEÅ</t>
        </is>
      </c>
      <c r="G587" t="n">
        <v>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896-2020</t>
        </is>
      </c>
      <c r="B588" s="1" t="n">
        <v>43839</v>
      </c>
      <c r="C588" s="1" t="n">
        <v>45192</v>
      </c>
      <c r="D588" t="inlineStr">
        <is>
          <t>VÄSTERBOTTENS LÄN</t>
        </is>
      </c>
      <c r="E588" t="inlineStr">
        <is>
          <t>SKELLEFTEÅ</t>
        </is>
      </c>
      <c r="F588" t="inlineStr">
        <is>
          <t>Kyrkan</t>
        </is>
      </c>
      <c r="G588" t="n">
        <v>14.9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2127-2020</t>
        </is>
      </c>
      <c r="B589" s="1" t="n">
        <v>43839</v>
      </c>
      <c r="C589" s="1" t="n">
        <v>45192</v>
      </c>
      <c r="D589" t="inlineStr">
        <is>
          <t>VÄSTERBOTTENS LÄN</t>
        </is>
      </c>
      <c r="E589" t="inlineStr">
        <is>
          <t>SKELLEFTEÅ</t>
        </is>
      </c>
      <c r="G589" t="n">
        <v>0.8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1612-2020</t>
        </is>
      </c>
      <c r="B590" s="1" t="n">
        <v>43844</v>
      </c>
      <c r="C590" s="1" t="n">
        <v>45192</v>
      </c>
      <c r="D590" t="inlineStr">
        <is>
          <t>VÄSTERBOTTENS LÄN</t>
        </is>
      </c>
      <c r="E590" t="inlineStr">
        <is>
          <t>SKELLEFTEÅ</t>
        </is>
      </c>
      <c r="G590" t="n">
        <v>5.4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1695-2020</t>
        </is>
      </c>
      <c r="B591" s="1" t="n">
        <v>43844</v>
      </c>
      <c r="C591" s="1" t="n">
        <v>45192</v>
      </c>
      <c r="D591" t="inlineStr">
        <is>
          <t>VÄSTERBOTTENS LÄN</t>
        </is>
      </c>
      <c r="E591" t="inlineStr">
        <is>
          <t>SKELLEFTEÅ</t>
        </is>
      </c>
      <c r="F591" t="inlineStr">
        <is>
          <t>Holmen skog AB</t>
        </is>
      </c>
      <c r="G591" t="n">
        <v>13.6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3123-2020</t>
        </is>
      </c>
      <c r="B592" s="1" t="n">
        <v>43844</v>
      </c>
      <c r="C592" s="1" t="n">
        <v>45192</v>
      </c>
      <c r="D592" t="inlineStr">
        <is>
          <t>VÄSTERBOTTENS LÄN</t>
        </is>
      </c>
      <c r="E592" t="inlineStr">
        <is>
          <t>SKELLEFTEÅ</t>
        </is>
      </c>
      <c r="G592" t="n">
        <v>12.5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4381-2020</t>
        </is>
      </c>
      <c r="B593" s="1" t="n">
        <v>43847</v>
      </c>
      <c r="C593" s="1" t="n">
        <v>45192</v>
      </c>
      <c r="D593" t="inlineStr">
        <is>
          <t>VÄSTERBOTTENS LÄN</t>
        </is>
      </c>
      <c r="E593" t="inlineStr">
        <is>
          <t>SKELLEFTEÅ</t>
        </is>
      </c>
      <c r="G593" t="n">
        <v>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4286-2020</t>
        </is>
      </c>
      <c r="B594" s="1" t="n">
        <v>43847</v>
      </c>
      <c r="C594" s="1" t="n">
        <v>45192</v>
      </c>
      <c r="D594" t="inlineStr">
        <is>
          <t>VÄSTERBOTTENS LÄN</t>
        </is>
      </c>
      <c r="E594" t="inlineStr">
        <is>
          <t>SKELLEFTEÅ</t>
        </is>
      </c>
      <c r="G594" t="n">
        <v>1.4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4985-2020</t>
        </is>
      </c>
      <c r="B595" s="1" t="n">
        <v>43853</v>
      </c>
      <c r="C595" s="1" t="n">
        <v>45192</v>
      </c>
      <c r="D595" t="inlineStr">
        <is>
          <t>VÄSTERBOTTENS LÄN</t>
        </is>
      </c>
      <c r="E595" t="inlineStr">
        <is>
          <t>SKELLEFTEÅ</t>
        </is>
      </c>
      <c r="G595" t="n">
        <v>2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3968-2020</t>
        </is>
      </c>
      <c r="B596" s="1" t="n">
        <v>43854</v>
      </c>
      <c r="C596" s="1" t="n">
        <v>45192</v>
      </c>
      <c r="D596" t="inlineStr">
        <is>
          <t>VÄSTERBOTTENS LÄN</t>
        </is>
      </c>
      <c r="E596" t="inlineStr">
        <is>
          <t>SKELLEFTEÅ</t>
        </is>
      </c>
      <c r="G596" t="n">
        <v>1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4006-2020</t>
        </is>
      </c>
      <c r="B597" s="1" t="n">
        <v>43857</v>
      </c>
      <c r="C597" s="1" t="n">
        <v>45192</v>
      </c>
      <c r="D597" t="inlineStr">
        <is>
          <t>VÄSTERBOTTENS LÄN</t>
        </is>
      </c>
      <c r="E597" t="inlineStr">
        <is>
          <t>SKELLEFTEÅ</t>
        </is>
      </c>
      <c r="G597" t="n">
        <v>4.5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5261-2020</t>
        </is>
      </c>
      <c r="B598" s="1" t="n">
        <v>43857</v>
      </c>
      <c r="C598" s="1" t="n">
        <v>45192</v>
      </c>
      <c r="D598" t="inlineStr">
        <is>
          <t>VÄSTERBOTTENS LÄN</t>
        </is>
      </c>
      <c r="E598" t="inlineStr">
        <is>
          <t>SKELLEFTEÅ</t>
        </is>
      </c>
      <c r="G598" t="n">
        <v>3.5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4731-2020</t>
        </is>
      </c>
      <c r="B599" s="1" t="n">
        <v>43859</v>
      </c>
      <c r="C599" s="1" t="n">
        <v>45192</v>
      </c>
      <c r="D599" t="inlineStr">
        <is>
          <t>VÄSTERBOTTENS LÄN</t>
        </is>
      </c>
      <c r="E599" t="inlineStr">
        <is>
          <t>SKELLEFTEÅ</t>
        </is>
      </c>
      <c r="G599" t="n">
        <v>3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6511-2020</t>
        </is>
      </c>
      <c r="B600" s="1" t="n">
        <v>43865</v>
      </c>
      <c r="C600" s="1" t="n">
        <v>45192</v>
      </c>
      <c r="D600" t="inlineStr">
        <is>
          <t>VÄSTERBOTTENS LÄN</t>
        </is>
      </c>
      <c r="E600" t="inlineStr">
        <is>
          <t>SKELLEFTEÅ</t>
        </is>
      </c>
      <c r="G600" t="n">
        <v>9.9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7334-2020</t>
        </is>
      </c>
      <c r="B601" s="1" t="n">
        <v>43868</v>
      </c>
      <c r="C601" s="1" t="n">
        <v>45192</v>
      </c>
      <c r="D601" t="inlineStr">
        <is>
          <t>VÄSTERBOTTENS LÄN</t>
        </is>
      </c>
      <c r="E601" t="inlineStr">
        <is>
          <t>SKELLEFTEÅ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7689-2020</t>
        </is>
      </c>
      <c r="B602" s="1" t="n">
        <v>43872</v>
      </c>
      <c r="C602" s="1" t="n">
        <v>45192</v>
      </c>
      <c r="D602" t="inlineStr">
        <is>
          <t>VÄSTERBOTTENS LÄN</t>
        </is>
      </c>
      <c r="E602" t="inlineStr">
        <is>
          <t>SKELLEFTEÅ</t>
        </is>
      </c>
      <c r="G602" t="n">
        <v>3.1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8060-2020</t>
        </is>
      </c>
      <c r="B603" s="1" t="n">
        <v>43874</v>
      </c>
      <c r="C603" s="1" t="n">
        <v>45192</v>
      </c>
      <c r="D603" t="inlineStr">
        <is>
          <t>VÄSTERBOTTENS LÄN</t>
        </is>
      </c>
      <c r="E603" t="inlineStr">
        <is>
          <t>SKELLEFTEÅ</t>
        </is>
      </c>
      <c r="G603" t="n">
        <v>18.7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8562-2020</t>
        </is>
      </c>
      <c r="B604" s="1" t="n">
        <v>43877</v>
      </c>
      <c r="C604" s="1" t="n">
        <v>45192</v>
      </c>
      <c r="D604" t="inlineStr">
        <is>
          <t>VÄSTERBOTTENS LÄN</t>
        </is>
      </c>
      <c r="E604" t="inlineStr">
        <is>
          <t>SKELLEFTEÅ</t>
        </is>
      </c>
      <c r="G604" t="n">
        <v>1.3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9180-2020</t>
        </is>
      </c>
      <c r="B605" s="1" t="n">
        <v>43879</v>
      </c>
      <c r="C605" s="1" t="n">
        <v>45192</v>
      </c>
      <c r="D605" t="inlineStr">
        <is>
          <t>VÄSTERBOTTENS LÄN</t>
        </is>
      </c>
      <c r="E605" t="inlineStr">
        <is>
          <t>SKELLEFTEÅ</t>
        </is>
      </c>
      <c r="G605" t="n">
        <v>11.4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9568-2020</t>
        </is>
      </c>
      <c r="B606" s="1" t="n">
        <v>43881</v>
      </c>
      <c r="C606" s="1" t="n">
        <v>45192</v>
      </c>
      <c r="D606" t="inlineStr">
        <is>
          <t>VÄSTERBOTTENS LÄN</t>
        </is>
      </c>
      <c r="E606" t="inlineStr">
        <is>
          <t>SKELLEFTEÅ</t>
        </is>
      </c>
      <c r="G606" t="n">
        <v>2.4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10041-2020</t>
        </is>
      </c>
      <c r="B607" s="1" t="n">
        <v>43882</v>
      </c>
      <c r="C607" s="1" t="n">
        <v>45192</v>
      </c>
      <c r="D607" t="inlineStr">
        <is>
          <t>VÄSTERBOTTENS LÄN</t>
        </is>
      </c>
      <c r="E607" t="inlineStr">
        <is>
          <t>SKELLEFTEÅ</t>
        </is>
      </c>
      <c r="F607" t="inlineStr">
        <is>
          <t>Holmen skog AB</t>
        </is>
      </c>
      <c r="G607" t="n">
        <v>4.5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10030-2020</t>
        </is>
      </c>
      <c r="B608" s="1" t="n">
        <v>43882</v>
      </c>
      <c r="C608" s="1" t="n">
        <v>45192</v>
      </c>
      <c r="D608" t="inlineStr">
        <is>
          <t>VÄSTERBOTTENS LÄN</t>
        </is>
      </c>
      <c r="E608" t="inlineStr">
        <is>
          <t>SKELLEFTEÅ</t>
        </is>
      </c>
      <c r="F608" t="inlineStr">
        <is>
          <t>Holmen skog AB</t>
        </is>
      </c>
      <c r="G608" t="n">
        <v>1.2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10279-2020</t>
        </is>
      </c>
      <c r="B609" s="1" t="n">
        <v>43885</v>
      </c>
      <c r="C609" s="1" t="n">
        <v>45192</v>
      </c>
      <c r="D609" t="inlineStr">
        <is>
          <t>VÄSTERBOTTENS LÄN</t>
        </is>
      </c>
      <c r="E609" t="inlineStr">
        <is>
          <t>SKELLEFTEÅ</t>
        </is>
      </c>
      <c r="G609" t="n">
        <v>5.8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11083-2020</t>
        </is>
      </c>
      <c r="B610" s="1" t="n">
        <v>43885</v>
      </c>
      <c r="C610" s="1" t="n">
        <v>45192</v>
      </c>
      <c r="D610" t="inlineStr">
        <is>
          <t>VÄSTERBOTTENS LÄN</t>
        </is>
      </c>
      <c r="E610" t="inlineStr">
        <is>
          <t>SKELLEFTEÅ</t>
        </is>
      </c>
      <c r="G610" t="n">
        <v>1.7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11048-2020</t>
        </is>
      </c>
      <c r="B611" s="1" t="n">
        <v>43886</v>
      </c>
      <c r="C611" s="1" t="n">
        <v>45192</v>
      </c>
      <c r="D611" t="inlineStr">
        <is>
          <t>VÄSTERBOTTENS LÄN</t>
        </is>
      </c>
      <c r="E611" t="inlineStr">
        <is>
          <t>SKELLEFTEÅ</t>
        </is>
      </c>
      <c r="G611" t="n">
        <v>5.2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11037-2020</t>
        </is>
      </c>
      <c r="B612" s="1" t="n">
        <v>43886</v>
      </c>
      <c r="C612" s="1" t="n">
        <v>45192</v>
      </c>
      <c r="D612" t="inlineStr">
        <is>
          <t>VÄSTERBOTTENS LÄN</t>
        </is>
      </c>
      <c r="E612" t="inlineStr">
        <is>
          <t>SKELLEFTEÅ</t>
        </is>
      </c>
      <c r="G612" t="n">
        <v>2.9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10114-2020</t>
        </is>
      </c>
      <c r="B613" s="1" t="n">
        <v>43887</v>
      </c>
      <c r="C613" s="1" t="n">
        <v>45192</v>
      </c>
      <c r="D613" t="inlineStr">
        <is>
          <t>VÄSTERBOTTENS LÄN</t>
        </is>
      </c>
      <c r="E613" t="inlineStr">
        <is>
          <t>SKELLEFTEÅ</t>
        </is>
      </c>
      <c r="G613" t="n">
        <v>1.1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10181-2020</t>
        </is>
      </c>
      <c r="B614" s="1" t="n">
        <v>43887</v>
      </c>
      <c r="C614" s="1" t="n">
        <v>45192</v>
      </c>
      <c r="D614" t="inlineStr">
        <is>
          <t>VÄSTERBOTTENS LÄN</t>
        </is>
      </c>
      <c r="E614" t="inlineStr">
        <is>
          <t>SKELLEFTEÅ</t>
        </is>
      </c>
      <c r="G614" t="n">
        <v>2.7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12775-2020</t>
        </is>
      </c>
      <c r="B615" s="1" t="n">
        <v>43893</v>
      </c>
      <c r="C615" s="1" t="n">
        <v>45192</v>
      </c>
      <c r="D615" t="inlineStr">
        <is>
          <t>VÄSTERBOTTENS LÄN</t>
        </is>
      </c>
      <c r="E615" t="inlineStr">
        <is>
          <t>SKELLEFTEÅ</t>
        </is>
      </c>
      <c r="G615" t="n">
        <v>2.5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12533-2020</t>
        </is>
      </c>
      <c r="B616" s="1" t="n">
        <v>43896</v>
      </c>
      <c r="C616" s="1" t="n">
        <v>45192</v>
      </c>
      <c r="D616" t="inlineStr">
        <is>
          <t>VÄSTERBOTTENS LÄN</t>
        </is>
      </c>
      <c r="E616" t="inlineStr">
        <is>
          <t>SKELLEFTEÅ</t>
        </is>
      </c>
      <c r="F616" t="inlineStr">
        <is>
          <t>SCA</t>
        </is>
      </c>
      <c r="G616" t="n">
        <v>8.1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12534-2020</t>
        </is>
      </c>
      <c r="B617" s="1" t="n">
        <v>43896</v>
      </c>
      <c r="C617" s="1" t="n">
        <v>45192</v>
      </c>
      <c r="D617" t="inlineStr">
        <is>
          <t>VÄSTERBOTTENS LÄN</t>
        </is>
      </c>
      <c r="E617" t="inlineStr">
        <is>
          <t>SKELLEFTEÅ</t>
        </is>
      </c>
      <c r="F617" t="inlineStr">
        <is>
          <t>SCA</t>
        </is>
      </c>
      <c r="G617" t="n">
        <v>7.3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13415-2020</t>
        </is>
      </c>
      <c r="B618" s="1" t="n">
        <v>43899</v>
      </c>
      <c r="C618" s="1" t="n">
        <v>45192</v>
      </c>
      <c r="D618" t="inlineStr">
        <is>
          <t>VÄSTERBOTTENS LÄN</t>
        </is>
      </c>
      <c r="E618" t="inlineStr">
        <is>
          <t>SKELLEFTEÅ</t>
        </is>
      </c>
      <c r="G618" t="n">
        <v>1.9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12939-2020</t>
        </is>
      </c>
      <c r="B619" s="1" t="n">
        <v>43900</v>
      </c>
      <c r="C619" s="1" t="n">
        <v>45192</v>
      </c>
      <c r="D619" t="inlineStr">
        <is>
          <t>VÄSTERBOTTENS LÄN</t>
        </is>
      </c>
      <c r="E619" t="inlineStr">
        <is>
          <t>SKELLEFTEÅ</t>
        </is>
      </c>
      <c r="G619" t="n">
        <v>1.9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14147-2020</t>
        </is>
      </c>
      <c r="B620" s="1" t="n">
        <v>43900</v>
      </c>
      <c r="C620" s="1" t="n">
        <v>45192</v>
      </c>
      <c r="D620" t="inlineStr">
        <is>
          <t>VÄSTERBOTTENS LÄN</t>
        </is>
      </c>
      <c r="E620" t="inlineStr">
        <is>
          <t>SKELLEFTEÅ</t>
        </is>
      </c>
      <c r="G620" t="n">
        <v>2.6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12945-2020</t>
        </is>
      </c>
      <c r="B621" s="1" t="n">
        <v>43900</v>
      </c>
      <c r="C621" s="1" t="n">
        <v>45192</v>
      </c>
      <c r="D621" t="inlineStr">
        <is>
          <t>VÄSTERBOTTENS LÄN</t>
        </is>
      </c>
      <c r="E621" t="inlineStr">
        <is>
          <t>SKELLEFTEÅ</t>
        </is>
      </c>
      <c r="G621" t="n">
        <v>1.7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14186-2020</t>
        </is>
      </c>
      <c r="B622" s="1" t="n">
        <v>43901</v>
      </c>
      <c r="C622" s="1" t="n">
        <v>45192</v>
      </c>
      <c r="D622" t="inlineStr">
        <is>
          <t>VÄSTERBOTTENS LÄN</t>
        </is>
      </c>
      <c r="E622" t="inlineStr">
        <is>
          <t>SKELLEFTEÅ</t>
        </is>
      </c>
      <c r="G622" t="n">
        <v>1.7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13568-2020</t>
        </is>
      </c>
      <c r="B623" s="1" t="n">
        <v>43902</v>
      </c>
      <c r="C623" s="1" t="n">
        <v>45192</v>
      </c>
      <c r="D623" t="inlineStr">
        <is>
          <t>VÄSTERBOTTENS LÄN</t>
        </is>
      </c>
      <c r="E623" t="inlineStr">
        <is>
          <t>SKELLEFTEÅ</t>
        </is>
      </c>
      <c r="F623" t="inlineStr">
        <is>
          <t>SCA</t>
        </is>
      </c>
      <c r="G623" t="n">
        <v>6.9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13566-2020</t>
        </is>
      </c>
      <c r="B624" s="1" t="n">
        <v>43902</v>
      </c>
      <c r="C624" s="1" t="n">
        <v>45192</v>
      </c>
      <c r="D624" t="inlineStr">
        <is>
          <t>VÄSTERBOTTENS LÄN</t>
        </is>
      </c>
      <c r="E624" t="inlineStr">
        <is>
          <t>SKELLEFTEÅ</t>
        </is>
      </c>
      <c r="F624" t="inlineStr">
        <is>
          <t>SCA</t>
        </is>
      </c>
      <c r="G624" t="n">
        <v>4.4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13883-2020</t>
        </is>
      </c>
      <c r="B625" s="1" t="n">
        <v>43906</v>
      </c>
      <c r="C625" s="1" t="n">
        <v>45192</v>
      </c>
      <c r="D625" t="inlineStr">
        <is>
          <t>VÄSTERBOTTENS LÄN</t>
        </is>
      </c>
      <c r="E625" t="inlineStr">
        <is>
          <t>SKELLEFTEÅ</t>
        </is>
      </c>
      <c r="G625" t="n">
        <v>4.1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13851-2020</t>
        </is>
      </c>
      <c r="B626" s="1" t="n">
        <v>43906</v>
      </c>
      <c r="C626" s="1" t="n">
        <v>45192</v>
      </c>
      <c r="D626" t="inlineStr">
        <is>
          <t>VÄSTERBOTTENS LÄN</t>
        </is>
      </c>
      <c r="E626" t="inlineStr">
        <is>
          <t>SKELLEFTEÅ</t>
        </is>
      </c>
      <c r="G626" t="n">
        <v>0.1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13933-2020</t>
        </is>
      </c>
      <c r="B627" s="1" t="n">
        <v>43906</v>
      </c>
      <c r="C627" s="1" t="n">
        <v>45192</v>
      </c>
      <c r="D627" t="inlineStr">
        <is>
          <t>VÄSTERBOTTENS LÄN</t>
        </is>
      </c>
      <c r="E627" t="inlineStr">
        <is>
          <t>SKELLEFTEÅ</t>
        </is>
      </c>
      <c r="G627" t="n">
        <v>0.7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16728-2020</t>
        </is>
      </c>
      <c r="B628" s="1" t="n">
        <v>43910</v>
      </c>
      <c r="C628" s="1" t="n">
        <v>45192</v>
      </c>
      <c r="D628" t="inlineStr">
        <is>
          <t>VÄSTERBOTTENS LÄN</t>
        </is>
      </c>
      <c r="E628" t="inlineStr">
        <is>
          <t>SKELLEFTEÅ</t>
        </is>
      </c>
      <c r="G628" t="n">
        <v>1.3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15320-2020</t>
        </is>
      </c>
      <c r="B629" s="1" t="n">
        <v>43913</v>
      </c>
      <c r="C629" s="1" t="n">
        <v>45192</v>
      </c>
      <c r="D629" t="inlineStr">
        <is>
          <t>VÄSTERBOTTENS LÄN</t>
        </is>
      </c>
      <c r="E629" t="inlineStr">
        <is>
          <t>SKELLEFTEÅ</t>
        </is>
      </c>
      <c r="G629" t="n">
        <v>5.8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17124-2020</t>
        </is>
      </c>
      <c r="B630" s="1" t="n">
        <v>43914</v>
      </c>
      <c r="C630" s="1" t="n">
        <v>45192</v>
      </c>
      <c r="D630" t="inlineStr">
        <is>
          <t>VÄSTERBOTTENS LÄN</t>
        </is>
      </c>
      <c r="E630" t="inlineStr">
        <is>
          <t>SKELLEFTEÅ</t>
        </is>
      </c>
      <c r="G630" t="n">
        <v>2.4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15870-2020</t>
        </is>
      </c>
      <c r="B631" s="1" t="n">
        <v>43915</v>
      </c>
      <c r="C631" s="1" t="n">
        <v>45192</v>
      </c>
      <c r="D631" t="inlineStr">
        <is>
          <t>VÄSTERBOTTENS LÄN</t>
        </is>
      </c>
      <c r="E631" t="inlineStr">
        <is>
          <t>SKELLEFTEÅ</t>
        </is>
      </c>
      <c r="F631" t="inlineStr">
        <is>
          <t>Sveaskog</t>
        </is>
      </c>
      <c r="G631" t="n">
        <v>1.3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15869-2020</t>
        </is>
      </c>
      <c r="B632" s="1" t="n">
        <v>43915</v>
      </c>
      <c r="C632" s="1" t="n">
        <v>45192</v>
      </c>
      <c r="D632" t="inlineStr">
        <is>
          <t>VÄSTERBOTTENS LÄN</t>
        </is>
      </c>
      <c r="E632" t="inlineStr">
        <is>
          <t>SKELLEFTEÅ</t>
        </is>
      </c>
      <c r="F632" t="inlineStr">
        <is>
          <t>Sveaskog</t>
        </is>
      </c>
      <c r="G632" t="n">
        <v>0.4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17434-2020</t>
        </is>
      </c>
      <c r="B633" s="1" t="n">
        <v>43917</v>
      </c>
      <c r="C633" s="1" t="n">
        <v>45192</v>
      </c>
      <c r="D633" t="inlineStr">
        <is>
          <t>VÄSTERBOTTENS LÄN</t>
        </is>
      </c>
      <c r="E633" t="inlineStr">
        <is>
          <t>SKELLEFTEÅ</t>
        </is>
      </c>
      <c r="G633" t="n">
        <v>2.6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17894-2020</t>
        </is>
      </c>
      <c r="B634" s="1" t="n">
        <v>43923</v>
      </c>
      <c r="C634" s="1" t="n">
        <v>45192</v>
      </c>
      <c r="D634" t="inlineStr">
        <is>
          <t>VÄSTERBOTTENS LÄN</t>
        </is>
      </c>
      <c r="E634" t="inlineStr">
        <is>
          <t>SKELLEFTEÅ</t>
        </is>
      </c>
      <c r="G634" t="n">
        <v>3.5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18619-2020</t>
        </is>
      </c>
      <c r="B635" s="1" t="n">
        <v>43928</v>
      </c>
      <c r="C635" s="1" t="n">
        <v>45192</v>
      </c>
      <c r="D635" t="inlineStr">
        <is>
          <t>VÄSTERBOTTENS LÄN</t>
        </is>
      </c>
      <c r="E635" t="inlineStr">
        <is>
          <t>SKELLEFTEÅ</t>
        </is>
      </c>
      <c r="G635" t="n">
        <v>0.6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19006-2020</t>
        </is>
      </c>
      <c r="B636" s="1" t="n">
        <v>43936</v>
      </c>
      <c r="C636" s="1" t="n">
        <v>45192</v>
      </c>
      <c r="D636" t="inlineStr">
        <is>
          <t>VÄSTERBOTTENS LÄN</t>
        </is>
      </c>
      <c r="E636" t="inlineStr">
        <is>
          <t>SKELLEFTEÅ</t>
        </is>
      </c>
      <c r="G636" t="n">
        <v>2.3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19961-2020</t>
        </is>
      </c>
      <c r="B637" s="1" t="n">
        <v>43943</v>
      </c>
      <c r="C637" s="1" t="n">
        <v>45192</v>
      </c>
      <c r="D637" t="inlineStr">
        <is>
          <t>VÄSTERBOTTENS LÄN</t>
        </is>
      </c>
      <c r="E637" t="inlineStr">
        <is>
          <t>SKELLEFTEÅ</t>
        </is>
      </c>
      <c r="G637" t="n">
        <v>0.6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20283-2020</t>
        </is>
      </c>
      <c r="B638" s="1" t="n">
        <v>43945</v>
      </c>
      <c r="C638" s="1" t="n">
        <v>45192</v>
      </c>
      <c r="D638" t="inlineStr">
        <is>
          <t>VÄSTERBOTTENS LÄN</t>
        </is>
      </c>
      <c r="E638" t="inlineStr">
        <is>
          <t>SKELLEFTEÅ</t>
        </is>
      </c>
      <c r="G638" t="n">
        <v>6.2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20243-2020</t>
        </is>
      </c>
      <c r="B639" s="1" t="n">
        <v>43945</v>
      </c>
      <c r="C639" s="1" t="n">
        <v>45192</v>
      </c>
      <c r="D639" t="inlineStr">
        <is>
          <t>VÄSTERBOTTENS LÄN</t>
        </is>
      </c>
      <c r="E639" t="inlineStr">
        <is>
          <t>SKELLEFTEÅ</t>
        </is>
      </c>
      <c r="G639" t="n">
        <v>1.5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20351-2020</t>
        </is>
      </c>
      <c r="B640" s="1" t="n">
        <v>43945</v>
      </c>
      <c r="C640" s="1" t="n">
        <v>45192</v>
      </c>
      <c r="D640" t="inlineStr">
        <is>
          <t>VÄSTERBOTTENS LÄN</t>
        </is>
      </c>
      <c r="E640" t="inlineStr">
        <is>
          <t>SKELLEFTEÅ</t>
        </is>
      </c>
      <c r="G640" t="n">
        <v>6.3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20444-2020</t>
        </is>
      </c>
      <c r="B641" s="1" t="n">
        <v>43948</v>
      </c>
      <c r="C641" s="1" t="n">
        <v>45192</v>
      </c>
      <c r="D641" t="inlineStr">
        <is>
          <t>VÄSTERBOTTENS LÄN</t>
        </is>
      </c>
      <c r="E641" t="inlineStr">
        <is>
          <t>SKELLEFTEÅ</t>
        </is>
      </c>
      <c r="G641" t="n">
        <v>0.7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22451-2020</t>
        </is>
      </c>
      <c r="B642" s="1" t="n">
        <v>43963</v>
      </c>
      <c r="C642" s="1" t="n">
        <v>45192</v>
      </c>
      <c r="D642" t="inlineStr">
        <is>
          <t>VÄSTERBOTTENS LÄN</t>
        </is>
      </c>
      <c r="E642" t="inlineStr">
        <is>
          <t>SKELLEFTEÅ</t>
        </is>
      </c>
      <c r="G642" t="n">
        <v>2.6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22752-2020</t>
        </is>
      </c>
      <c r="B643" s="1" t="n">
        <v>43963</v>
      </c>
      <c r="C643" s="1" t="n">
        <v>45192</v>
      </c>
      <c r="D643" t="inlineStr">
        <is>
          <t>VÄSTERBOTTENS LÄN</t>
        </is>
      </c>
      <c r="E643" t="inlineStr">
        <is>
          <t>SKELLEFTEÅ</t>
        </is>
      </c>
      <c r="G643" t="n">
        <v>1.8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23181-2020</t>
        </is>
      </c>
      <c r="B644" s="1" t="n">
        <v>43965</v>
      </c>
      <c r="C644" s="1" t="n">
        <v>45192</v>
      </c>
      <c r="D644" t="inlineStr">
        <is>
          <t>VÄSTERBOTTENS LÄN</t>
        </is>
      </c>
      <c r="E644" t="inlineStr">
        <is>
          <t>SKELLEFTEÅ</t>
        </is>
      </c>
      <c r="G644" t="n">
        <v>8.1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23006-2020</t>
        </is>
      </c>
      <c r="B645" s="1" t="n">
        <v>43965</v>
      </c>
      <c r="C645" s="1" t="n">
        <v>45192</v>
      </c>
      <c r="D645" t="inlineStr">
        <is>
          <t>VÄSTERBOTTENS LÄN</t>
        </is>
      </c>
      <c r="E645" t="inlineStr">
        <is>
          <t>SKELLEFTEÅ</t>
        </is>
      </c>
      <c r="G645" t="n">
        <v>1.1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23522-2020</t>
        </is>
      </c>
      <c r="B646" s="1" t="n">
        <v>43969</v>
      </c>
      <c r="C646" s="1" t="n">
        <v>45192</v>
      </c>
      <c r="D646" t="inlineStr">
        <is>
          <t>VÄSTERBOTTENS LÄN</t>
        </is>
      </c>
      <c r="E646" t="inlineStr">
        <is>
          <t>SKELLEFTEÅ</t>
        </is>
      </c>
      <c r="G646" t="n">
        <v>0.2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24280-2020</t>
        </is>
      </c>
      <c r="B647" s="1" t="n">
        <v>43970</v>
      </c>
      <c r="C647" s="1" t="n">
        <v>45192</v>
      </c>
      <c r="D647" t="inlineStr">
        <is>
          <t>VÄSTERBOTTENS LÄN</t>
        </is>
      </c>
      <c r="E647" t="inlineStr">
        <is>
          <t>SKELLEFTEÅ</t>
        </is>
      </c>
      <c r="G647" t="n">
        <v>0.5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23672-2020</t>
        </is>
      </c>
      <c r="B648" s="1" t="n">
        <v>43970</v>
      </c>
      <c r="C648" s="1" t="n">
        <v>45192</v>
      </c>
      <c r="D648" t="inlineStr">
        <is>
          <t>VÄSTERBOTTENS LÄN</t>
        </is>
      </c>
      <c r="E648" t="inlineStr">
        <is>
          <t>SKELLEFTEÅ</t>
        </is>
      </c>
      <c r="G648" t="n">
        <v>1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24276-2020</t>
        </is>
      </c>
      <c r="B649" s="1" t="n">
        <v>43970</v>
      </c>
      <c r="C649" s="1" t="n">
        <v>45192</v>
      </c>
      <c r="D649" t="inlineStr">
        <is>
          <t>VÄSTERBOTTENS LÄN</t>
        </is>
      </c>
      <c r="E649" t="inlineStr">
        <is>
          <t>SKELLEFTEÅ</t>
        </is>
      </c>
      <c r="G649" t="n">
        <v>0.7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23908-2020</t>
        </is>
      </c>
      <c r="B650" s="1" t="n">
        <v>43970</v>
      </c>
      <c r="C650" s="1" t="n">
        <v>45192</v>
      </c>
      <c r="D650" t="inlineStr">
        <is>
          <t>VÄSTERBOTTENS LÄN</t>
        </is>
      </c>
      <c r="E650" t="inlineStr">
        <is>
          <t>SKELLEFTEÅ</t>
        </is>
      </c>
      <c r="G650" t="n">
        <v>0.7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24274-2020</t>
        </is>
      </c>
      <c r="B651" s="1" t="n">
        <v>43970</v>
      </c>
      <c r="C651" s="1" t="n">
        <v>45192</v>
      </c>
      <c r="D651" t="inlineStr">
        <is>
          <t>VÄSTERBOTTENS LÄN</t>
        </is>
      </c>
      <c r="E651" t="inlineStr">
        <is>
          <t>SKELLEFTEÅ</t>
        </is>
      </c>
      <c r="G651" t="n">
        <v>1.1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23907-2020</t>
        </is>
      </c>
      <c r="B652" s="1" t="n">
        <v>43970</v>
      </c>
      <c r="C652" s="1" t="n">
        <v>45192</v>
      </c>
      <c r="D652" t="inlineStr">
        <is>
          <t>VÄSTERBOTTENS LÄN</t>
        </is>
      </c>
      <c r="E652" t="inlineStr">
        <is>
          <t>SKELLEFTEÅ</t>
        </is>
      </c>
      <c r="G652" t="n">
        <v>2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24264-2020</t>
        </is>
      </c>
      <c r="B653" s="1" t="n">
        <v>43970</v>
      </c>
      <c r="C653" s="1" t="n">
        <v>45192</v>
      </c>
      <c r="D653" t="inlineStr">
        <is>
          <t>VÄSTERBOTTENS LÄN</t>
        </is>
      </c>
      <c r="E653" t="inlineStr">
        <is>
          <t>SKELLEFTEÅ</t>
        </is>
      </c>
      <c r="G653" t="n">
        <v>2.7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24543-2020</t>
        </is>
      </c>
      <c r="B654" s="1" t="n">
        <v>43977</v>
      </c>
      <c r="C654" s="1" t="n">
        <v>45192</v>
      </c>
      <c r="D654" t="inlineStr">
        <is>
          <t>VÄSTERBOTTENS LÄN</t>
        </is>
      </c>
      <c r="E654" t="inlineStr">
        <is>
          <t>SKELLEFTEÅ</t>
        </is>
      </c>
      <c r="F654" t="inlineStr">
        <is>
          <t>Holmen skog AB</t>
        </is>
      </c>
      <c r="G654" t="n">
        <v>1.4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25161-2020</t>
        </is>
      </c>
      <c r="B655" s="1" t="n">
        <v>43978</v>
      </c>
      <c r="C655" s="1" t="n">
        <v>45192</v>
      </c>
      <c r="D655" t="inlineStr">
        <is>
          <t>VÄSTERBOTTENS LÄN</t>
        </is>
      </c>
      <c r="E655" t="inlineStr">
        <is>
          <t>SKELLEFTEÅ</t>
        </is>
      </c>
      <c r="G655" t="n">
        <v>6.6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25142-2020</t>
        </is>
      </c>
      <c r="B656" s="1" t="n">
        <v>43978</v>
      </c>
      <c r="C656" s="1" t="n">
        <v>45192</v>
      </c>
      <c r="D656" t="inlineStr">
        <is>
          <t>VÄSTERBOTTENS LÄN</t>
        </is>
      </c>
      <c r="E656" t="inlineStr">
        <is>
          <t>SKELLEFTEÅ</t>
        </is>
      </c>
      <c r="G656" t="n">
        <v>0.8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25051-2020</t>
        </is>
      </c>
      <c r="B657" s="1" t="n">
        <v>43979</v>
      </c>
      <c r="C657" s="1" t="n">
        <v>45192</v>
      </c>
      <c r="D657" t="inlineStr">
        <is>
          <t>VÄSTERBOTTENS LÄN</t>
        </is>
      </c>
      <c r="E657" t="inlineStr">
        <is>
          <t>SKELLEFTEÅ</t>
        </is>
      </c>
      <c r="F657" t="inlineStr">
        <is>
          <t>Holmen skog AB</t>
        </is>
      </c>
      <c r="G657" t="n">
        <v>1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25473-2020</t>
        </is>
      </c>
      <c r="B658" s="1" t="n">
        <v>43983</v>
      </c>
      <c r="C658" s="1" t="n">
        <v>45192</v>
      </c>
      <c r="D658" t="inlineStr">
        <is>
          <t>VÄSTERBOTTENS LÄN</t>
        </is>
      </c>
      <c r="E658" t="inlineStr">
        <is>
          <t>SKELLEFTEÅ</t>
        </is>
      </c>
      <c r="G658" t="n">
        <v>1.1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25682-2020</t>
        </is>
      </c>
      <c r="B659" s="1" t="n">
        <v>43983</v>
      </c>
      <c r="C659" s="1" t="n">
        <v>45192</v>
      </c>
      <c r="D659" t="inlineStr">
        <is>
          <t>VÄSTERBOTTENS LÄN</t>
        </is>
      </c>
      <c r="E659" t="inlineStr">
        <is>
          <t>SKELLEFTEÅ</t>
        </is>
      </c>
      <c r="G659" t="n">
        <v>2.8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25695-2020</t>
        </is>
      </c>
      <c r="B660" s="1" t="n">
        <v>43984</v>
      </c>
      <c r="C660" s="1" t="n">
        <v>45192</v>
      </c>
      <c r="D660" t="inlineStr">
        <is>
          <t>VÄSTERBOTTENS LÄN</t>
        </is>
      </c>
      <c r="E660" t="inlineStr">
        <is>
          <t>SKELLEFTEÅ</t>
        </is>
      </c>
      <c r="G660" t="n">
        <v>15.3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25858-2020</t>
        </is>
      </c>
      <c r="B661" s="1" t="n">
        <v>43984</v>
      </c>
      <c r="C661" s="1" t="n">
        <v>45192</v>
      </c>
      <c r="D661" t="inlineStr">
        <is>
          <t>VÄSTERBOTTENS LÄN</t>
        </is>
      </c>
      <c r="E661" t="inlineStr">
        <is>
          <t>SKELLEFTEÅ</t>
        </is>
      </c>
      <c r="F661" t="inlineStr">
        <is>
          <t>Sveaskog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26089-2020</t>
        </is>
      </c>
      <c r="B662" s="1" t="n">
        <v>43984</v>
      </c>
      <c r="C662" s="1" t="n">
        <v>45192</v>
      </c>
      <c r="D662" t="inlineStr">
        <is>
          <t>VÄSTERBOTTENS LÄN</t>
        </is>
      </c>
      <c r="E662" t="inlineStr">
        <is>
          <t>SKELLEFTEÅ</t>
        </is>
      </c>
      <c r="G662" t="n">
        <v>0.8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25968-2020</t>
        </is>
      </c>
      <c r="B663" s="1" t="n">
        <v>43985</v>
      </c>
      <c r="C663" s="1" t="n">
        <v>45192</v>
      </c>
      <c r="D663" t="inlineStr">
        <is>
          <t>VÄSTERBOTTENS LÄN</t>
        </is>
      </c>
      <c r="E663" t="inlineStr">
        <is>
          <t>SKELLEFTEÅ</t>
        </is>
      </c>
      <c r="G663" t="n">
        <v>2.3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26422-2020</t>
        </is>
      </c>
      <c r="B664" s="1" t="n">
        <v>43986</v>
      </c>
      <c r="C664" s="1" t="n">
        <v>45192</v>
      </c>
      <c r="D664" t="inlineStr">
        <is>
          <t>VÄSTERBOTTENS LÄN</t>
        </is>
      </c>
      <c r="E664" t="inlineStr">
        <is>
          <t>SKELLEFTEÅ</t>
        </is>
      </c>
      <c r="G664" t="n">
        <v>2.5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26413-2020</t>
        </is>
      </c>
      <c r="B665" s="1" t="n">
        <v>43987</v>
      </c>
      <c r="C665" s="1" t="n">
        <v>45192</v>
      </c>
      <c r="D665" t="inlineStr">
        <is>
          <t>VÄSTERBOTTENS LÄN</t>
        </is>
      </c>
      <c r="E665" t="inlineStr">
        <is>
          <t>SKELLEFTEÅ</t>
        </is>
      </c>
      <c r="F665" t="inlineStr">
        <is>
          <t>Holmen skog AB</t>
        </is>
      </c>
      <c r="G665" t="n">
        <v>7.9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26396-2020</t>
        </is>
      </c>
      <c r="B666" s="1" t="n">
        <v>43987</v>
      </c>
      <c r="C666" s="1" t="n">
        <v>45192</v>
      </c>
      <c r="D666" t="inlineStr">
        <is>
          <t>VÄSTERBOTTENS LÄN</t>
        </is>
      </c>
      <c r="E666" t="inlineStr">
        <is>
          <t>SKELLEFTEÅ</t>
        </is>
      </c>
      <c r="G666" t="n">
        <v>1.7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27684-2020</t>
        </is>
      </c>
      <c r="B667" s="1" t="n">
        <v>43994</v>
      </c>
      <c r="C667" s="1" t="n">
        <v>45192</v>
      </c>
      <c r="D667" t="inlineStr">
        <is>
          <t>VÄSTERBOTTENS LÄN</t>
        </is>
      </c>
      <c r="E667" t="inlineStr">
        <is>
          <t>SKELLEFTEÅ</t>
        </is>
      </c>
      <c r="G667" t="n">
        <v>1.2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28449-2020</t>
        </is>
      </c>
      <c r="B668" s="1" t="n">
        <v>43998</v>
      </c>
      <c r="C668" s="1" t="n">
        <v>45192</v>
      </c>
      <c r="D668" t="inlineStr">
        <is>
          <t>VÄSTERBOTTENS LÄN</t>
        </is>
      </c>
      <c r="E668" t="inlineStr">
        <is>
          <t>SKELLEFTEÅ</t>
        </is>
      </c>
      <c r="F668" t="inlineStr">
        <is>
          <t>Sveaskog</t>
        </is>
      </c>
      <c r="G668" t="n">
        <v>20.9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28503-2020</t>
        </is>
      </c>
      <c r="B669" s="1" t="n">
        <v>43999</v>
      </c>
      <c r="C669" s="1" t="n">
        <v>45192</v>
      </c>
      <c r="D669" t="inlineStr">
        <is>
          <t>VÄSTERBOTTENS LÄN</t>
        </is>
      </c>
      <c r="E669" t="inlineStr">
        <is>
          <t>SKELLEFTEÅ</t>
        </is>
      </c>
      <c r="G669" t="n">
        <v>1.5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28574-2020</t>
        </is>
      </c>
      <c r="B670" s="1" t="n">
        <v>43999</v>
      </c>
      <c r="C670" s="1" t="n">
        <v>45192</v>
      </c>
      <c r="D670" t="inlineStr">
        <is>
          <t>VÄSTERBOTTENS LÄN</t>
        </is>
      </c>
      <c r="E670" t="inlineStr">
        <is>
          <t>SKELLEFTEÅ</t>
        </is>
      </c>
      <c r="F670" t="inlineStr">
        <is>
          <t>Holmen skog AB</t>
        </is>
      </c>
      <c r="G670" t="n">
        <v>19.4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28505-2020</t>
        </is>
      </c>
      <c r="B671" s="1" t="n">
        <v>43999</v>
      </c>
      <c r="C671" s="1" t="n">
        <v>45192</v>
      </c>
      <c r="D671" t="inlineStr">
        <is>
          <t>VÄSTERBOTTENS LÄN</t>
        </is>
      </c>
      <c r="E671" t="inlineStr">
        <is>
          <t>SKELLEFTEÅ</t>
        </is>
      </c>
      <c r="F671" t="inlineStr">
        <is>
          <t>Holmen skog AB</t>
        </is>
      </c>
      <c r="G671" t="n">
        <v>1.5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28501-2020</t>
        </is>
      </c>
      <c r="B672" s="1" t="n">
        <v>43999</v>
      </c>
      <c r="C672" s="1" t="n">
        <v>45192</v>
      </c>
      <c r="D672" t="inlineStr">
        <is>
          <t>VÄSTERBOTTENS LÄN</t>
        </is>
      </c>
      <c r="E672" t="inlineStr">
        <is>
          <t>SKELLEFTEÅ</t>
        </is>
      </c>
      <c r="G672" t="n">
        <v>0.5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28985-2020</t>
        </is>
      </c>
      <c r="B673" s="1" t="n">
        <v>44000</v>
      </c>
      <c r="C673" s="1" t="n">
        <v>45192</v>
      </c>
      <c r="D673" t="inlineStr">
        <is>
          <t>VÄSTERBOTTENS LÄN</t>
        </is>
      </c>
      <c r="E673" t="inlineStr">
        <is>
          <t>SKELLEFTEÅ</t>
        </is>
      </c>
      <c r="F673" t="inlineStr">
        <is>
          <t>Sveaskog</t>
        </is>
      </c>
      <c r="G673" t="n">
        <v>1.6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29595-2020</t>
        </is>
      </c>
      <c r="B674" s="1" t="n">
        <v>44004</v>
      </c>
      <c r="C674" s="1" t="n">
        <v>45192</v>
      </c>
      <c r="D674" t="inlineStr">
        <is>
          <t>VÄSTERBOTTENS LÄN</t>
        </is>
      </c>
      <c r="E674" t="inlineStr">
        <is>
          <t>SKELLEFTEÅ</t>
        </is>
      </c>
      <c r="G674" t="n">
        <v>4.3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29134-2020</t>
        </is>
      </c>
      <c r="B675" s="1" t="n">
        <v>44004</v>
      </c>
      <c r="C675" s="1" t="n">
        <v>45192</v>
      </c>
      <c r="D675" t="inlineStr">
        <is>
          <t>VÄSTERBOTTENS LÄN</t>
        </is>
      </c>
      <c r="E675" t="inlineStr">
        <is>
          <t>SKELLEFTEÅ</t>
        </is>
      </c>
      <c r="G675" t="n">
        <v>2.7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29542-2020</t>
        </is>
      </c>
      <c r="B676" s="1" t="n">
        <v>44005</v>
      </c>
      <c r="C676" s="1" t="n">
        <v>45192</v>
      </c>
      <c r="D676" t="inlineStr">
        <is>
          <t>VÄSTERBOTTENS LÄN</t>
        </is>
      </c>
      <c r="E676" t="inlineStr">
        <is>
          <t>SKELLEFTEÅ</t>
        </is>
      </c>
      <c r="G676" t="n">
        <v>2.7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29832-2020</t>
        </is>
      </c>
      <c r="B677" s="1" t="n">
        <v>44005</v>
      </c>
      <c r="C677" s="1" t="n">
        <v>45192</v>
      </c>
      <c r="D677" t="inlineStr">
        <is>
          <t>VÄSTERBOTTENS LÄN</t>
        </is>
      </c>
      <c r="E677" t="inlineStr">
        <is>
          <t>SKELLEFTEÅ</t>
        </is>
      </c>
      <c r="G677" t="n">
        <v>6.3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29850-2020</t>
        </is>
      </c>
      <c r="B678" s="1" t="n">
        <v>44005</v>
      </c>
      <c r="C678" s="1" t="n">
        <v>45192</v>
      </c>
      <c r="D678" t="inlineStr">
        <is>
          <t>VÄSTERBOTTENS LÄN</t>
        </is>
      </c>
      <c r="E678" t="inlineStr">
        <is>
          <t>SKELLEFTEÅ</t>
        </is>
      </c>
      <c r="G678" t="n">
        <v>2.8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29842-2020</t>
        </is>
      </c>
      <c r="B679" s="1" t="n">
        <v>44005</v>
      </c>
      <c r="C679" s="1" t="n">
        <v>45192</v>
      </c>
      <c r="D679" t="inlineStr">
        <is>
          <t>VÄSTERBOTTENS LÄN</t>
        </is>
      </c>
      <c r="E679" t="inlineStr">
        <is>
          <t>SKELLEFTEÅ</t>
        </is>
      </c>
      <c r="G679" t="n">
        <v>1.6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30074-2020</t>
        </is>
      </c>
      <c r="B680" s="1" t="n">
        <v>44006</v>
      </c>
      <c r="C680" s="1" t="n">
        <v>45192</v>
      </c>
      <c r="D680" t="inlineStr">
        <is>
          <t>VÄSTERBOTTENS LÄN</t>
        </is>
      </c>
      <c r="E680" t="inlineStr">
        <is>
          <t>SKELLEFTEÅ</t>
        </is>
      </c>
      <c r="F680" t="inlineStr">
        <is>
          <t>Holmen skog AB</t>
        </is>
      </c>
      <c r="G680" t="n">
        <v>5.5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30075-2020</t>
        </is>
      </c>
      <c r="B681" s="1" t="n">
        <v>44006</v>
      </c>
      <c r="C681" s="1" t="n">
        <v>45192</v>
      </c>
      <c r="D681" t="inlineStr">
        <is>
          <t>VÄSTERBOTTENS LÄN</t>
        </is>
      </c>
      <c r="E681" t="inlineStr">
        <is>
          <t>SKELLEFTEÅ</t>
        </is>
      </c>
      <c r="F681" t="inlineStr">
        <is>
          <t>Holmen skog AB</t>
        </is>
      </c>
      <c r="G681" t="n">
        <v>1.5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30408-2020</t>
        </is>
      </c>
      <c r="B682" s="1" t="n">
        <v>44007</v>
      </c>
      <c r="C682" s="1" t="n">
        <v>45192</v>
      </c>
      <c r="D682" t="inlineStr">
        <is>
          <t>VÄSTERBOTTENS LÄN</t>
        </is>
      </c>
      <c r="E682" t="inlineStr">
        <is>
          <t>SKELLEFTEÅ</t>
        </is>
      </c>
      <c r="G682" t="n">
        <v>24.3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30712-2020</t>
        </is>
      </c>
      <c r="B683" s="1" t="n">
        <v>44008</v>
      </c>
      <c r="C683" s="1" t="n">
        <v>45192</v>
      </c>
      <c r="D683" t="inlineStr">
        <is>
          <t>VÄSTERBOTTENS LÄN</t>
        </is>
      </c>
      <c r="E683" t="inlineStr">
        <is>
          <t>SKELLEFTEÅ</t>
        </is>
      </c>
      <c r="G683" t="n">
        <v>3.7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30653-2020</t>
        </is>
      </c>
      <c r="B684" s="1" t="n">
        <v>44008</v>
      </c>
      <c r="C684" s="1" t="n">
        <v>45192</v>
      </c>
      <c r="D684" t="inlineStr">
        <is>
          <t>VÄSTERBOTTENS LÄN</t>
        </is>
      </c>
      <c r="E684" t="inlineStr">
        <is>
          <t>SKELLEFTEÅ</t>
        </is>
      </c>
      <c r="F684" t="inlineStr">
        <is>
          <t>Sveaskog</t>
        </is>
      </c>
      <c r="G684" t="n">
        <v>0.8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30709-2020</t>
        </is>
      </c>
      <c r="B685" s="1" t="n">
        <v>44008</v>
      </c>
      <c r="C685" s="1" t="n">
        <v>45192</v>
      </c>
      <c r="D685" t="inlineStr">
        <is>
          <t>VÄSTERBOTTENS LÄN</t>
        </is>
      </c>
      <c r="E685" t="inlineStr">
        <is>
          <t>SKELLEFTEÅ</t>
        </is>
      </c>
      <c r="F685" t="inlineStr">
        <is>
          <t>Holmen skog AB</t>
        </is>
      </c>
      <c r="G685" t="n">
        <v>7.5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30728-2020</t>
        </is>
      </c>
      <c r="B686" s="1" t="n">
        <v>44008</v>
      </c>
      <c r="C686" s="1" t="n">
        <v>45192</v>
      </c>
      <c r="D686" t="inlineStr">
        <is>
          <t>VÄSTERBOTTENS LÄN</t>
        </is>
      </c>
      <c r="E686" t="inlineStr">
        <is>
          <t>SKELLEFTEÅ</t>
        </is>
      </c>
      <c r="F686" t="inlineStr">
        <is>
          <t>Holmen skog AB</t>
        </is>
      </c>
      <c r="G686" t="n">
        <v>10.7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30841-2020</t>
        </is>
      </c>
      <c r="B687" s="1" t="n">
        <v>44008</v>
      </c>
      <c r="C687" s="1" t="n">
        <v>45192</v>
      </c>
      <c r="D687" t="inlineStr">
        <is>
          <t>VÄSTERBOTTENS LÄN</t>
        </is>
      </c>
      <c r="E687" t="inlineStr">
        <is>
          <t>SKELLEFTEÅ</t>
        </is>
      </c>
      <c r="G687" t="n">
        <v>2.3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30949-2020</t>
        </is>
      </c>
      <c r="B688" s="1" t="n">
        <v>44011</v>
      </c>
      <c r="C688" s="1" t="n">
        <v>45192</v>
      </c>
      <c r="D688" t="inlineStr">
        <is>
          <t>VÄSTERBOTTENS LÄN</t>
        </is>
      </c>
      <c r="E688" t="inlineStr">
        <is>
          <t>SKELLEFTEÅ</t>
        </is>
      </c>
      <c r="F688" t="inlineStr">
        <is>
          <t>Kommuner</t>
        </is>
      </c>
      <c r="G688" t="n">
        <v>4.1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30877-2020</t>
        </is>
      </c>
      <c r="B689" s="1" t="n">
        <v>44011</v>
      </c>
      <c r="C689" s="1" t="n">
        <v>45192</v>
      </c>
      <c r="D689" t="inlineStr">
        <is>
          <t>VÄSTERBOTTENS LÄN</t>
        </is>
      </c>
      <c r="E689" t="inlineStr">
        <is>
          <t>SKELLEFTEÅ</t>
        </is>
      </c>
      <c r="F689" t="inlineStr">
        <is>
          <t>Kyrkan</t>
        </is>
      </c>
      <c r="G689" t="n">
        <v>13.7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31331-2020</t>
        </is>
      </c>
      <c r="B690" s="1" t="n">
        <v>44012</v>
      </c>
      <c r="C690" s="1" t="n">
        <v>45192</v>
      </c>
      <c r="D690" t="inlineStr">
        <is>
          <t>VÄSTERBOTTENS LÄN</t>
        </is>
      </c>
      <c r="E690" t="inlineStr">
        <is>
          <t>SKELLEFTEÅ</t>
        </is>
      </c>
      <c r="F690" t="inlineStr">
        <is>
          <t>SCA</t>
        </is>
      </c>
      <c r="G690" t="n">
        <v>3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31434-2020</t>
        </is>
      </c>
      <c r="B691" s="1" t="n">
        <v>44012</v>
      </c>
      <c r="C691" s="1" t="n">
        <v>45192</v>
      </c>
      <c r="D691" t="inlineStr">
        <is>
          <t>VÄSTERBOTTENS LÄN</t>
        </is>
      </c>
      <c r="E691" t="inlineStr">
        <is>
          <t>SKELLEFTEÅ</t>
        </is>
      </c>
      <c r="G691" t="n">
        <v>2.6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31490-2020</t>
        </is>
      </c>
      <c r="B692" s="1" t="n">
        <v>44013</v>
      </c>
      <c r="C692" s="1" t="n">
        <v>45192</v>
      </c>
      <c r="D692" t="inlineStr">
        <is>
          <t>VÄSTERBOTTENS LÄN</t>
        </is>
      </c>
      <c r="E692" t="inlineStr">
        <is>
          <t>SKELLEFTEÅ</t>
        </is>
      </c>
      <c r="F692" t="inlineStr">
        <is>
          <t>Kommuner</t>
        </is>
      </c>
      <c r="G692" t="n">
        <v>12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31515-2020</t>
        </is>
      </c>
      <c r="B693" s="1" t="n">
        <v>44013</v>
      </c>
      <c r="C693" s="1" t="n">
        <v>45192</v>
      </c>
      <c r="D693" t="inlineStr">
        <is>
          <t>VÄSTERBOTTENS LÄN</t>
        </is>
      </c>
      <c r="E693" t="inlineStr">
        <is>
          <t>SKELLEFTEÅ</t>
        </is>
      </c>
      <c r="F693" t="inlineStr">
        <is>
          <t>Holmen skog AB</t>
        </is>
      </c>
      <c r="G693" t="n">
        <v>0.8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31734-2020</t>
        </is>
      </c>
      <c r="B694" s="1" t="n">
        <v>44013</v>
      </c>
      <c r="C694" s="1" t="n">
        <v>45192</v>
      </c>
      <c r="D694" t="inlineStr">
        <is>
          <t>VÄSTERBOTTENS LÄN</t>
        </is>
      </c>
      <c r="E694" t="inlineStr">
        <is>
          <t>SKELLEFTEÅ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31501-2020</t>
        </is>
      </c>
      <c r="B695" s="1" t="n">
        <v>44013</v>
      </c>
      <c r="C695" s="1" t="n">
        <v>45192</v>
      </c>
      <c r="D695" t="inlineStr">
        <is>
          <t>VÄSTERBOTTENS LÄN</t>
        </is>
      </c>
      <c r="E695" t="inlineStr">
        <is>
          <t>SKELLEFTEÅ</t>
        </is>
      </c>
      <c r="G695" t="n">
        <v>2.7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31736-2020</t>
        </is>
      </c>
      <c r="B696" s="1" t="n">
        <v>44013</v>
      </c>
      <c r="C696" s="1" t="n">
        <v>45192</v>
      </c>
      <c r="D696" t="inlineStr">
        <is>
          <t>VÄSTERBOTTENS LÄN</t>
        </is>
      </c>
      <c r="E696" t="inlineStr">
        <is>
          <t>SKELLEFTEÅ</t>
        </is>
      </c>
      <c r="G696" t="n">
        <v>4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31519-2020</t>
        </is>
      </c>
      <c r="B697" s="1" t="n">
        <v>44013</v>
      </c>
      <c r="C697" s="1" t="n">
        <v>45192</v>
      </c>
      <c r="D697" t="inlineStr">
        <is>
          <t>VÄSTERBOTTENS LÄN</t>
        </is>
      </c>
      <c r="E697" t="inlineStr">
        <is>
          <t>SKELLEFTEÅ</t>
        </is>
      </c>
      <c r="F697" t="inlineStr">
        <is>
          <t>Holmen skog AB</t>
        </is>
      </c>
      <c r="G697" t="n">
        <v>0.7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32173-2020</t>
        </is>
      </c>
      <c r="B698" s="1" t="n">
        <v>44015</v>
      </c>
      <c r="C698" s="1" t="n">
        <v>45192</v>
      </c>
      <c r="D698" t="inlineStr">
        <is>
          <t>VÄSTERBOTTENS LÄN</t>
        </is>
      </c>
      <c r="E698" t="inlineStr">
        <is>
          <t>SKELLEFTEÅ</t>
        </is>
      </c>
      <c r="G698" t="n">
        <v>0.5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32526-2020</t>
        </is>
      </c>
      <c r="B699" s="1" t="n">
        <v>44017</v>
      </c>
      <c r="C699" s="1" t="n">
        <v>45192</v>
      </c>
      <c r="D699" t="inlineStr">
        <is>
          <t>VÄSTERBOTTENS LÄN</t>
        </is>
      </c>
      <c r="E699" t="inlineStr">
        <is>
          <t>SKELLEFTEÅ</t>
        </is>
      </c>
      <c r="G699" t="n">
        <v>1.9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32549-2020</t>
        </is>
      </c>
      <c r="B700" s="1" t="n">
        <v>44017</v>
      </c>
      <c r="C700" s="1" t="n">
        <v>45192</v>
      </c>
      <c r="D700" t="inlineStr">
        <is>
          <t>VÄSTERBOTTENS LÄN</t>
        </is>
      </c>
      <c r="E700" t="inlineStr">
        <is>
          <t>SKELLEFTEÅ</t>
        </is>
      </c>
      <c r="G700" t="n">
        <v>1.8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32511-2020</t>
        </is>
      </c>
      <c r="B701" s="1" t="n">
        <v>44017</v>
      </c>
      <c r="C701" s="1" t="n">
        <v>45192</v>
      </c>
      <c r="D701" t="inlineStr">
        <is>
          <t>VÄSTERBOTTENS LÄN</t>
        </is>
      </c>
      <c r="E701" t="inlineStr">
        <is>
          <t>SKELLEFTEÅ</t>
        </is>
      </c>
      <c r="G701" t="n">
        <v>1.3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32530-2020</t>
        </is>
      </c>
      <c r="B702" s="1" t="n">
        <v>44017</v>
      </c>
      <c r="C702" s="1" t="n">
        <v>45192</v>
      </c>
      <c r="D702" t="inlineStr">
        <is>
          <t>VÄSTERBOTTENS LÄN</t>
        </is>
      </c>
      <c r="E702" t="inlineStr">
        <is>
          <t>SKELLEFTEÅ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32885-2020</t>
        </is>
      </c>
      <c r="B703" s="1" t="n">
        <v>44020</v>
      </c>
      <c r="C703" s="1" t="n">
        <v>45192</v>
      </c>
      <c r="D703" t="inlineStr">
        <is>
          <t>VÄSTERBOTTENS LÄN</t>
        </is>
      </c>
      <c r="E703" t="inlineStr">
        <is>
          <t>SKELLEFTEÅ</t>
        </is>
      </c>
      <c r="G703" t="n">
        <v>0.9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32864-2020</t>
        </is>
      </c>
      <c r="B704" s="1" t="n">
        <v>44020</v>
      </c>
      <c r="C704" s="1" t="n">
        <v>45192</v>
      </c>
      <c r="D704" t="inlineStr">
        <is>
          <t>VÄSTERBOTTENS LÄN</t>
        </is>
      </c>
      <c r="E704" t="inlineStr">
        <is>
          <t>SKELLEFTEÅ</t>
        </is>
      </c>
      <c r="G704" t="n">
        <v>1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33086-2020</t>
        </is>
      </c>
      <c r="B705" s="1" t="n">
        <v>44021</v>
      </c>
      <c r="C705" s="1" t="n">
        <v>45192</v>
      </c>
      <c r="D705" t="inlineStr">
        <is>
          <t>VÄSTERBOTTENS LÄN</t>
        </is>
      </c>
      <c r="E705" t="inlineStr">
        <is>
          <t>SKELLEFTEÅ</t>
        </is>
      </c>
      <c r="F705" t="inlineStr">
        <is>
          <t>Holmen skog AB</t>
        </is>
      </c>
      <c r="G705" t="n">
        <v>0.7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33327-2020</t>
        </is>
      </c>
      <c r="B706" s="1" t="n">
        <v>44022</v>
      </c>
      <c r="C706" s="1" t="n">
        <v>45192</v>
      </c>
      <c r="D706" t="inlineStr">
        <is>
          <t>VÄSTERBOTTENS LÄN</t>
        </is>
      </c>
      <c r="E706" t="inlineStr">
        <is>
          <t>SKELLEFTEÅ</t>
        </is>
      </c>
      <c r="G706" t="n">
        <v>1.9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33424-2020</t>
        </is>
      </c>
      <c r="B707" s="1" t="n">
        <v>44022</v>
      </c>
      <c r="C707" s="1" t="n">
        <v>45192</v>
      </c>
      <c r="D707" t="inlineStr">
        <is>
          <t>VÄSTERBOTTENS LÄN</t>
        </is>
      </c>
      <c r="E707" t="inlineStr">
        <is>
          <t>SKELLEFTEÅ</t>
        </is>
      </c>
      <c r="G707" t="n">
        <v>1.9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33791-2020</t>
        </is>
      </c>
      <c r="B708" s="1" t="n">
        <v>44026</v>
      </c>
      <c r="C708" s="1" t="n">
        <v>45192</v>
      </c>
      <c r="D708" t="inlineStr">
        <is>
          <t>VÄSTERBOTTENS LÄN</t>
        </is>
      </c>
      <c r="E708" t="inlineStr">
        <is>
          <t>SKELLEFTEÅ</t>
        </is>
      </c>
      <c r="F708" t="inlineStr">
        <is>
          <t>SCA</t>
        </is>
      </c>
      <c r="G708" t="n">
        <v>2.4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34235-2020</t>
        </is>
      </c>
      <c r="B709" s="1" t="n">
        <v>44027</v>
      </c>
      <c r="C709" s="1" t="n">
        <v>45192</v>
      </c>
      <c r="D709" t="inlineStr">
        <is>
          <t>VÄSTERBOTTENS LÄN</t>
        </is>
      </c>
      <c r="E709" t="inlineStr">
        <is>
          <t>SKELLEFTEÅ</t>
        </is>
      </c>
      <c r="G709" t="n">
        <v>3.3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34142-2020</t>
        </is>
      </c>
      <c r="B710" s="1" t="n">
        <v>44029</v>
      </c>
      <c r="C710" s="1" t="n">
        <v>45192</v>
      </c>
      <c r="D710" t="inlineStr">
        <is>
          <t>VÄSTERBOTTENS LÄN</t>
        </is>
      </c>
      <c r="E710" t="inlineStr">
        <is>
          <t>SKELLEFTEÅ</t>
        </is>
      </c>
      <c r="G710" t="n">
        <v>1.1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34155-2020</t>
        </is>
      </c>
      <c r="B711" s="1" t="n">
        <v>44029</v>
      </c>
      <c r="C711" s="1" t="n">
        <v>45192</v>
      </c>
      <c r="D711" t="inlineStr">
        <is>
          <t>VÄSTERBOTTENS LÄN</t>
        </is>
      </c>
      <c r="E711" t="inlineStr">
        <is>
          <t>SKELLEFTEÅ</t>
        </is>
      </c>
      <c r="G711" t="n">
        <v>1.6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34169-2020</t>
        </is>
      </c>
      <c r="B712" s="1" t="n">
        <v>44029</v>
      </c>
      <c r="C712" s="1" t="n">
        <v>45192</v>
      </c>
      <c r="D712" t="inlineStr">
        <is>
          <t>VÄSTERBOTTENS LÄN</t>
        </is>
      </c>
      <c r="E712" t="inlineStr">
        <is>
          <t>SKELLEFTEÅ</t>
        </is>
      </c>
      <c r="G712" t="n">
        <v>1.9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34177-2020</t>
        </is>
      </c>
      <c r="B713" s="1" t="n">
        <v>44029</v>
      </c>
      <c r="C713" s="1" t="n">
        <v>45192</v>
      </c>
      <c r="D713" t="inlineStr">
        <is>
          <t>VÄSTERBOTTENS LÄN</t>
        </is>
      </c>
      <c r="E713" t="inlineStr">
        <is>
          <t>SKELLEFTEÅ</t>
        </is>
      </c>
      <c r="G713" t="n">
        <v>0.8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34173-2020</t>
        </is>
      </c>
      <c r="B714" s="1" t="n">
        <v>44029</v>
      </c>
      <c r="C714" s="1" t="n">
        <v>45192</v>
      </c>
      <c r="D714" t="inlineStr">
        <is>
          <t>VÄSTERBOTTENS LÄN</t>
        </is>
      </c>
      <c r="E714" t="inlineStr">
        <is>
          <t>SKELLEFTEÅ</t>
        </is>
      </c>
      <c r="G714" t="n">
        <v>1.1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34351-2020</t>
        </is>
      </c>
      <c r="B715" s="1" t="n">
        <v>44032</v>
      </c>
      <c r="C715" s="1" t="n">
        <v>45192</v>
      </c>
      <c r="D715" t="inlineStr">
        <is>
          <t>VÄSTERBOTTENS LÄN</t>
        </is>
      </c>
      <c r="E715" t="inlineStr">
        <is>
          <t>SKELLEFTEÅ</t>
        </is>
      </c>
      <c r="G715" t="n">
        <v>2.4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34517-2020</t>
        </is>
      </c>
      <c r="B716" s="1" t="n">
        <v>44033</v>
      </c>
      <c r="C716" s="1" t="n">
        <v>45192</v>
      </c>
      <c r="D716" t="inlineStr">
        <is>
          <t>VÄSTERBOTTENS LÄN</t>
        </is>
      </c>
      <c r="E716" t="inlineStr">
        <is>
          <t>SKELLEFTEÅ</t>
        </is>
      </c>
      <c r="F716" t="inlineStr">
        <is>
          <t>Holmen skog AB</t>
        </is>
      </c>
      <c r="G716" t="n">
        <v>4.7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35173-2020</t>
        </is>
      </c>
      <c r="B717" s="1" t="n">
        <v>44040</v>
      </c>
      <c r="C717" s="1" t="n">
        <v>45192</v>
      </c>
      <c r="D717" t="inlineStr">
        <is>
          <t>VÄSTERBOTTENS LÄN</t>
        </is>
      </c>
      <c r="E717" t="inlineStr">
        <is>
          <t>SKELLEFTEÅ</t>
        </is>
      </c>
      <c r="G717" t="n">
        <v>0.9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35285-2020</t>
        </is>
      </c>
      <c r="B718" s="1" t="n">
        <v>44041</v>
      </c>
      <c r="C718" s="1" t="n">
        <v>45192</v>
      </c>
      <c r="D718" t="inlineStr">
        <is>
          <t>VÄSTERBOTTENS LÄN</t>
        </is>
      </c>
      <c r="E718" t="inlineStr">
        <is>
          <t>SKELLEFTEÅ</t>
        </is>
      </c>
      <c r="F718" t="inlineStr">
        <is>
          <t>Holmen skog AB</t>
        </is>
      </c>
      <c r="G718" t="n">
        <v>4.2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35806-2020</t>
        </is>
      </c>
      <c r="B719" s="1" t="n">
        <v>44046</v>
      </c>
      <c r="C719" s="1" t="n">
        <v>45192</v>
      </c>
      <c r="D719" t="inlineStr">
        <is>
          <t>VÄSTERBOTTENS LÄN</t>
        </is>
      </c>
      <c r="E719" t="inlineStr">
        <is>
          <t>SKELLEFTEÅ</t>
        </is>
      </c>
      <c r="F719" t="inlineStr">
        <is>
          <t>SCA</t>
        </is>
      </c>
      <c r="G719" t="n">
        <v>13.5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35807-2020</t>
        </is>
      </c>
      <c r="B720" s="1" t="n">
        <v>44046</v>
      </c>
      <c r="C720" s="1" t="n">
        <v>45192</v>
      </c>
      <c r="D720" t="inlineStr">
        <is>
          <t>VÄSTERBOTTENS LÄN</t>
        </is>
      </c>
      <c r="E720" t="inlineStr">
        <is>
          <t>SKELLEFTEÅ</t>
        </is>
      </c>
      <c r="F720" t="inlineStr">
        <is>
          <t>SCA</t>
        </is>
      </c>
      <c r="G720" t="n">
        <v>3.1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36401-2020</t>
        </is>
      </c>
      <c r="B721" s="1" t="n">
        <v>44049</v>
      </c>
      <c r="C721" s="1" t="n">
        <v>45192</v>
      </c>
      <c r="D721" t="inlineStr">
        <is>
          <t>VÄSTERBOTTENS LÄN</t>
        </is>
      </c>
      <c r="E721" t="inlineStr">
        <is>
          <t>SKELLEFTEÅ</t>
        </is>
      </c>
      <c r="F721" t="inlineStr">
        <is>
          <t>Holmen skog AB</t>
        </is>
      </c>
      <c r="G721" t="n">
        <v>11.1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38217-2020</t>
        </is>
      </c>
      <c r="B722" s="1" t="n">
        <v>44050</v>
      </c>
      <c r="C722" s="1" t="n">
        <v>45192</v>
      </c>
      <c r="D722" t="inlineStr">
        <is>
          <t>VÄSTERBOTTENS LÄN</t>
        </is>
      </c>
      <c r="E722" t="inlineStr">
        <is>
          <t>SKELLEFTEÅ</t>
        </is>
      </c>
      <c r="G722" t="n">
        <v>2.2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37268-2020</t>
        </is>
      </c>
      <c r="B723" s="1" t="n">
        <v>44055</v>
      </c>
      <c r="C723" s="1" t="n">
        <v>45192</v>
      </c>
      <c r="D723" t="inlineStr">
        <is>
          <t>VÄSTERBOTTENS LÄN</t>
        </is>
      </c>
      <c r="E723" t="inlineStr">
        <is>
          <t>SKELLEFTEÅ</t>
        </is>
      </c>
      <c r="G723" t="n">
        <v>2.2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37384-2020</t>
        </is>
      </c>
      <c r="B724" s="1" t="n">
        <v>44055</v>
      </c>
      <c r="C724" s="1" t="n">
        <v>45192</v>
      </c>
      <c r="D724" t="inlineStr">
        <is>
          <t>VÄSTERBOTTENS LÄN</t>
        </is>
      </c>
      <c r="E724" t="inlineStr">
        <is>
          <t>SKELLEFTEÅ</t>
        </is>
      </c>
      <c r="F724" t="inlineStr">
        <is>
          <t>Holmen skog AB</t>
        </is>
      </c>
      <c r="G724" t="n">
        <v>0.2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37393-2020</t>
        </is>
      </c>
      <c r="B725" s="1" t="n">
        <v>44055</v>
      </c>
      <c r="C725" s="1" t="n">
        <v>45192</v>
      </c>
      <c r="D725" t="inlineStr">
        <is>
          <t>VÄSTERBOTTENS LÄN</t>
        </is>
      </c>
      <c r="E725" t="inlineStr">
        <is>
          <t>SKELLEFTEÅ</t>
        </is>
      </c>
      <c r="F725" t="inlineStr">
        <is>
          <t>Holmen skog AB</t>
        </is>
      </c>
      <c r="G725" t="n">
        <v>1.5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38181-2020</t>
        </is>
      </c>
      <c r="B726" s="1" t="n">
        <v>44057</v>
      </c>
      <c r="C726" s="1" t="n">
        <v>45192</v>
      </c>
      <c r="D726" t="inlineStr">
        <is>
          <t>VÄSTERBOTTENS LÄN</t>
        </is>
      </c>
      <c r="E726" t="inlineStr">
        <is>
          <t>SKELLEFTEÅ</t>
        </is>
      </c>
      <c r="G726" t="n">
        <v>1.6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37860-2020</t>
        </is>
      </c>
      <c r="B727" s="1" t="n">
        <v>44057</v>
      </c>
      <c r="C727" s="1" t="n">
        <v>45192</v>
      </c>
      <c r="D727" t="inlineStr">
        <is>
          <t>VÄSTERBOTTENS LÄN</t>
        </is>
      </c>
      <c r="E727" t="inlineStr">
        <is>
          <t>SKELLEFTEÅ</t>
        </is>
      </c>
      <c r="F727" t="inlineStr">
        <is>
          <t>Holmen skog AB</t>
        </is>
      </c>
      <c r="G727" t="n">
        <v>0.5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38174-2020</t>
        </is>
      </c>
      <c r="B728" s="1" t="n">
        <v>44057</v>
      </c>
      <c r="C728" s="1" t="n">
        <v>45192</v>
      </c>
      <c r="D728" t="inlineStr">
        <is>
          <t>VÄSTERBOTTENS LÄN</t>
        </is>
      </c>
      <c r="E728" t="inlineStr">
        <is>
          <t>SKELLEFTEÅ</t>
        </is>
      </c>
      <c r="G728" t="n">
        <v>1.9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38119-2020</t>
        </is>
      </c>
      <c r="B729" s="1" t="n">
        <v>44059</v>
      </c>
      <c r="C729" s="1" t="n">
        <v>45192</v>
      </c>
      <c r="D729" t="inlineStr">
        <is>
          <t>VÄSTERBOTTENS LÄN</t>
        </is>
      </c>
      <c r="E729" t="inlineStr">
        <is>
          <t>SKELLEFTEÅ</t>
        </is>
      </c>
      <c r="G729" t="n">
        <v>0.4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38120-2020</t>
        </is>
      </c>
      <c r="B730" s="1" t="n">
        <v>44059</v>
      </c>
      <c r="C730" s="1" t="n">
        <v>45192</v>
      </c>
      <c r="D730" t="inlineStr">
        <is>
          <t>VÄSTERBOTTENS LÄN</t>
        </is>
      </c>
      <c r="E730" t="inlineStr">
        <is>
          <t>SKELLEFTEÅ</t>
        </is>
      </c>
      <c r="G730" t="n">
        <v>3.4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38132-2020</t>
        </is>
      </c>
      <c r="B731" s="1" t="n">
        <v>44059</v>
      </c>
      <c r="C731" s="1" t="n">
        <v>45192</v>
      </c>
      <c r="D731" t="inlineStr">
        <is>
          <t>VÄSTERBOTTENS LÄN</t>
        </is>
      </c>
      <c r="E731" t="inlineStr">
        <is>
          <t>SKELLEFTEÅ</t>
        </is>
      </c>
      <c r="F731" t="inlineStr">
        <is>
          <t>Holmen skog AB</t>
        </is>
      </c>
      <c r="G731" t="n">
        <v>0.9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38187-2020</t>
        </is>
      </c>
      <c r="B732" s="1" t="n">
        <v>44060</v>
      </c>
      <c r="C732" s="1" t="n">
        <v>45192</v>
      </c>
      <c r="D732" t="inlineStr">
        <is>
          <t>VÄSTERBOTTENS LÄN</t>
        </is>
      </c>
      <c r="E732" t="inlineStr">
        <is>
          <t>SKELLEFTEÅ</t>
        </is>
      </c>
      <c r="G732" t="n">
        <v>0.4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38192-2020</t>
        </is>
      </c>
      <c r="B733" s="1" t="n">
        <v>44060</v>
      </c>
      <c r="C733" s="1" t="n">
        <v>45192</v>
      </c>
      <c r="D733" t="inlineStr">
        <is>
          <t>VÄSTERBOTTENS LÄN</t>
        </is>
      </c>
      <c r="E733" t="inlineStr">
        <is>
          <t>SKELLEFTEÅ</t>
        </is>
      </c>
      <c r="G733" t="n">
        <v>0.5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39268-2020</t>
        </is>
      </c>
      <c r="B734" s="1" t="n">
        <v>44063</v>
      </c>
      <c r="C734" s="1" t="n">
        <v>45192</v>
      </c>
      <c r="D734" t="inlineStr">
        <is>
          <t>VÄSTERBOTTENS LÄN</t>
        </is>
      </c>
      <c r="E734" t="inlineStr">
        <is>
          <t>SKELLEFTEÅ</t>
        </is>
      </c>
      <c r="F734" t="inlineStr">
        <is>
          <t>Holmen skog AB</t>
        </is>
      </c>
      <c r="G734" t="n">
        <v>10.2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39992-2020</t>
        </is>
      </c>
      <c r="B735" s="1" t="n">
        <v>44067</v>
      </c>
      <c r="C735" s="1" t="n">
        <v>45192</v>
      </c>
      <c r="D735" t="inlineStr">
        <is>
          <t>VÄSTERBOTTENS LÄN</t>
        </is>
      </c>
      <c r="E735" t="inlineStr">
        <is>
          <t>SKELLEFTEÅ</t>
        </is>
      </c>
      <c r="G735" t="n">
        <v>1.2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40196-2020</t>
        </is>
      </c>
      <c r="B736" s="1" t="n">
        <v>44068</v>
      </c>
      <c r="C736" s="1" t="n">
        <v>45192</v>
      </c>
      <c r="D736" t="inlineStr">
        <is>
          <t>VÄSTERBOTTENS LÄN</t>
        </is>
      </c>
      <c r="E736" t="inlineStr">
        <is>
          <t>SKELLEFTEÅ</t>
        </is>
      </c>
      <c r="G736" t="n">
        <v>2.1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40156-2020</t>
        </is>
      </c>
      <c r="B737" s="1" t="n">
        <v>44068</v>
      </c>
      <c r="C737" s="1" t="n">
        <v>45192</v>
      </c>
      <c r="D737" t="inlineStr">
        <is>
          <t>VÄSTERBOTTENS LÄN</t>
        </is>
      </c>
      <c r="E737" t="inlineStr">
        <is>
          <t>SKELLEFTEÅ</t>
        </is>
      </c>
      <c r="F737" t="inlineStr">
        <is>
          <t>Holmen skog AB</t>
        </is>
      </c>
      <c r="G737" t="n">
        <v>6.9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41005-2020</t>
        </is>
      </c>
      <c r="B738" s="1" t="n">
        <v>44068</v>
      </c>
      <c r="C738" s="1" t="n">
        <v>45192</v>
      </c>
      <c r="D738" t="inlineStr">
        <is>
          <t>VÄSTERBOTTENS LÄN</t>
        </is>
      </c>
      <c r="E738" t="inlineStr">
        <is>
          <t>SKELLEFTEÅ</t>
        </is>
      </c>
      <c r="G738" t="n">
        <v>0.5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40860-2020</t>
        </is>
      </c>
      <c r="B739" s="1" t="n">
        <v>44068</v>
      </c>
      <c r="C739" s="1" t="n">
        <v>45192</v>
      </c>
      <c r="D739" t="inlineStr">
        <is>
          <t>VÄSTERBOTTENS LÄN</t>
        </is>
      </c>
      <c r="E739" t="inlineStr">
        <is>
          <t>SKELLEFTEÅ</t>
        </is>
      </c>
      <c r="G739" t="n">
        <v>8.9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40277-2020</t>
        </is>
      </c>
      <c r="B740" s="1" t="n">
        <v>44068</v>
      </c>
      <c r="C740" s="1" t="n">
        <v>45192</v>
      </c>
      <c r="D740" t="inlineStr">
        <is>
          <t>VÄSTERBOTTENS LÄN</t>
        </is>
      </c>
      <c r="E740" t="inlineStr">
        <is>
          <t>SKELLEFTEÅ</t>
        </is>
      </c>
      <c r="F740" t="inlineStr">
        <is>
          <t>Holmen skog AB</t>
        </is>
      </c>
      <c r="G740" t="n">
        <v>4.4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40469-2020</t>
        </is>
      </c>
      <c r="B741" s="1" t="n">
        <v>44069</v>
      </c>
      <c r="C741" s="1" t="n">
        <v>45192</v>
      </c>
      <c r="D741" t="inlineStr">
        <is>
          <t>VÄSTERBOTTENS LÄN</t>
        </is>
      </c>
      <c r="E741" t="inlineStr">
        <is>
          <t>SKELLEFTEÅ</t>
        </is>
      </c>
      <c r="G741" t="n">
        <v>4.4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40566-2020</t>
        </is>
      </c>
      <c r="B742" s="1" t="n">
        <v>44069</v>
      </c>
      <c r="C742" s="1" t="n">
        <v>45192</v>
      </c>
      <c r="D742" t="inlineStr">
        <is>
          <t>VÄSTERBOTTENS LÄN</t>
        </is>
      </c>
      <c r="E742" t="inlineStr">
        <is>
          <t>SKELLEFTEÅ</t>
        </is>
      </c>
      <c r="F742" t="inlineStr">
        <is>
          <t>Holmen skog AB</t>
        </is>
      </c>
      <c r="G742" t="n">
        <v>7.1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40756-2020</t>
        </is>
      </c>
      <c r="B743" s="1" t="n">
        <v>44069</v>
      </c>
      <c r="C743" s="1" t="n">
        <v>45192</v>
      </c>
      <c r="D743" t="inlineStr">
        <is>
          <t>VÄSTERBOTTENS LÄN</t>
        </is>
      </c>
      <c r="E743" t="inlineStr">
        <is>
          <t>SKELLEFTEÅ</t>
        </is>
      </c>
      <c r="G743" t="n">
        <v>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40828-2020</t>
        </is>
      </c>
      <c r="B744" s="1" t="n">
        <v>44070</v>
      </c>
      <c r="C744" s="1" t="n">
        <v>45192</v>
      </c>
      <c r="D744" t="inlineStr">
        <is>
          <t>VÄSTERBOTTENS LÄN</t>
        </is>
      </c>
      <c r="E744" t="inlineStr">
        <is>
          <t>SKELLEFTEÅ</t>
        </is>
      </c>
      <c r="G744" t="n">
        <v>2.7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42123-2020</t>
        </is>
      </c>
      <c r="B745" s="1" t="n">
        <v>44071</v>
      </c>
      <c r="C745" s="1" t="n">
        <v>45192</v>
      </c>
      <c r="D745" t="inlineStr">
        <is>
          <t>VÄSTERBOTTENS LÄN</t>
        </is>
      </c>
      <c r="E745" t="inlineStr">
        <is>
          <t>SKELLEFTEÅ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41372-2020</t>
        </is>
      </c>
      <c r="B746" s="1" t="n">
        <v>44071</v>
      </c>
      <c r="C746" s="1" t="n">
        <v>45192</v>
      </c>
      <c r="D746" t="inlineStr">
        <is>
          <t>VÄSTERBOTTENS LÄN</t>
        </is>
      </c>
      <c r="E746" t="inlineStr">
        <is>
          <t>SKELLEFTEÅ</t>
        </is>
      </c>
      <c r="G746" t="n">
        <v>3.5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41428-2020</t>
        </is>
      </c>
      <c r="B747" s="1" t="n">
        <v>44073</v>
      </c>
      <c r="C747" s="1" t="n">
        <v>45192</v>
      </c>
      <c r="D747" t="inlineStr">
        <is>
          <t>VÄSTERBOTTENS LÄN</t>
        </is>
      </c>
      <c r="E747" t="inlineStr">
        <is>
          <t>SKELLEFTEÅ</t>
        </is>
      </c>
      <c r="G747" t="n">
        <v>0.3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41841-2020</t>
        </is>
      </c>
      <c r="B748" s="1" t="n">
        <v>44074</v>
      </c>
      <c r="C748" s="1" t="n">
        <v>45192</v>
      </c>
      <c r="D748" t="inlineStr">
        <is>
          <t>VÄSTERBOTTENS LÄN</t>
        </is>
      </c>
      <c r="E748" t="inlineStr">
        <is>
          <t>SKELLEFTEÅ</t>
        </is>
      </c>
      <c r="G748" t="n">
        <v>1.8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42049-2020</t>
        </is>
      </c>
      <c r="B749" s="1" t="n">
        <v>44074</v>
      </c>
      <c r="C749" s="1" t="n">
        <v>45192</v>
      </c>
      <c r="D749" t="inlineStr">
        <is>
          <t>VÄSTERBOTTENS LÄN</t>
        </is>
      </c>
      <c r="E749" t="inlineStr">
        <is>
          <t>SKELLEFTEÅ</t>
        </is>
      </c>
      <c r="G749" t="n">
        <v>1.8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41989-2020</t>
        </is>
      </c>
      <c r="B750" s="1" t="n">
        <v>44075</v>
      </c>
      <c r="C750" s="1" t="n">
        <v>45192</v>
      </c>
      <c r="D750" t="inlineStr">
        <is>
          <t>VÄSTERBOTTENS LÄN</t>
        </is>
      </c>
      <c r="E750" t="inlineStr">
        <is>
          <t>SKELLEFTEÅ</t>
        </is>
      </c>
      <c r="G750" t="n">
        <v>1.7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42685-2020</t>
        </is>
      </c>
      <c r="B751" s="1" t="n">
        <v>44075</v>
      </c>
      <c r="C751" s="1" t="n">
        <v>45192</v>
      </c>
      <c r="D751" t="inlineStr">
        <is>
          <t>VÄSTERBOTTENS LÄN</t>
        </is>
      </c>
      <c r="E751" t="inlineStr">
        <is>
          <t>SKELLEFTEÅ</t>
        </is>
      </c>
      <c r="G751" t="n">
        <v>1.5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42679-2020</t>
        </is>
      </c>
      <c r="B752" s="1" t="n">
        <v>44075</v>
      </c>
      <c r="C752" s="1" t="n">
        <v>45192</v>
      </c>
      <c r="D752" t="inlineStr">
        <is>
          <t>VÄSTERBOTTENS LÄN</t>
        </is>
      </c>
      <c r="E752" t="inlineStr">
        <is>
          <t>SKELLEFTEÅ</t>
        </is>
      </c>
      <c r="G752" t="n">
        <v>1.2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43331-2020</t>
        </is>
      </c>
      <c r="B753" s="1" t="n">
        <v>44076</v>
      </c>
      <c r="C753" s="1" t="n">
        <v>45192</v>
      </c>
      <c r="D753" t="inlineStr">
        <is>
          <t>VÄSTERBOTTENS LÄN</t>
        </is>
      </c>
      <c r="E753" t="inlineStr">
        <is>
          <t>SKELLEFTEÅ</t>
        </is>
      </c>
      <c r="G753" t="n">
        <v>3.8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42648-2020</t>
        </is>
      </c>
      <c r="B754" s="1" t="n">
        <v>44077</v>
      </c>
      <c r="C754" s="1" t="n">
        <v>45192</v>
      </c>
      <c r="D754" t="inlineStr">
        <is>
          <t>VÄSTERBOTTENS LÄN</t>
        </is>
      </c>
      <c r="E754" t="inlineStr">
        <is>
          <t>SKELLEFTEÅ</t>
        </is>
      </c>
      <c r="F754" t="inlineStr">
        <is>
          <t>Holmen skog AB</t>
        </is>
      </c>
      <c r="G754" t="n">
        <v>2.3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42808-2020</t>
        </is>
      </c>
      <c r="B755" s="1" t="n">
        <v>44078</v>
      </c>
      <c r="C755" s="1" t="n">
        <v>45192</v>
      </c>
      <c r="D755" t="inlineStr">
        <is>
          <t>VÄSTERBOTTENS LÄN</t>
        </is>
      </c>
      <c r="E755" t="inlineStr">
        <is>
          <t>SKELLEFTEÅ</t>
        </is>
      </c>
      <c r="F755" t="inlineStr">
        <is>
          <t>Kommuner</t>
        </is>
      </c>
      <c r="G755" t="n">
        <v>6.5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43152-2020</t>
        </is>
      </c>
      <c r="B756" s="1" t="n">
        <v>44080</v>
      </c>
      <c r="C756" s="1" t="n">
        <v>45192</v>
      </c>
      <c r="D756" t="inlineStr">
        <is>
          <t>VÄSTERBOTTENS LÄN</t>
        </is>
      </c>
      <c r="E756" t="inlineStr">
        <is>
          <t>SKELLEFTEÅ</t>
        </is>
      </c>
      <c r="F756" t="inlineStr">
        <is>
          <t>Sveaskog</t>
        </is>
      </c>
      <c r="G756" t="n">
        <v>19.8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43327-2020</t>
        </is>
      </c>
      <c r="B757" s="1" t="n">
        <v>44081</v>
      </c>
      <c r="C757" s="1" t="n">
        <v>45192</v>
      </c>
      <c r="D757" t="inlineStr">
        <is>
          <t>VÄSTERBOTTENS LÄN</t>
        </is>
      </c>
      <c r="E757" t="inlineStr">
        <is>
          <t>SKELLEFTEÅ</t>
        </is>
      </c>
      <c r="F757" t="inlineStr">
        <is>
          <t>Sveaskog</t>
        </is>
      </c>
      <c r="G757" t="n">
        <v>23.3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43292-2020</t>
        </is>
      </c>
      <c r="B758" s="1" t="n">
        <v>44081</v>
      </c>
      <c r="C758" s="1" t="n">
        <v>45192</v>
      </c>
      <c r="D758" t="inlineStr">
        <is>
          <t>VÄSTERBOTTENS LÄN</t>
        </is>
      </c>
      <c r="E758" t="inlineStr">
        <is>
          <t>SKELLEFTEÅ</t>
        </is>
      </c>
      <c r="F758" t="inlineStr">
        <is>
          <t>Sveaskog</t>
        </is>
      </c>
      <c r="G758" t="n">
        <v>10.1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43344-2020</t>
        </is>
      </c>
      <c r="B759" s="1" t="n">
        <v>44081</v>
      </c>
      <c r="C759" s="1" t="n">
        <v>45192</v>
      </c>
      <c r="D759" t="inlineStr">
        <is>
          <t>VÄSTERBOTTENS LÄN</t>
        </is>
      </c>
      <c r="E759" t="inlineStr">
        <is>
          <t>SKELLEFTEÅ</t>
        </is>
      </c>
      <c r="F759" t="inlineStr">
        <is>
          <t>Sveaskog</t>
        </is>
      </c>
      <c r="G759" t="n">
        <v>11.4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43222-2020</t>
        </is>
      </c>
      <c r="B760" s="1" t="n">
        <v>44081</v>
      </c>
      <c r="C760" s="1" t="n">
        <v>45192</v>
      </c>
      <c r="D760" t="inlineStr">
        <is>
          <t>VÄSTERBOTTENS LÄN</t>
        </is>
      </c>
      <c r="E760" t="inlineStr">
        <is>
          <t>SKELLEFTEÅ</t>
        </is>
      </c>
      <c r="F760" t="inlineStr">
        <is>
          <t>Sveaskog</t>
        </is>
      </c>
      <c r="G760" t="n">
        <v>4.3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44564-2020</t>
        </is>
      </c>
      <c r="B761" s="1" t="n">
        <v>44082</v>
      </c>
      <c r="C761" s="1" t="n">
        <v>45192</v>
      </c>
      <c r="D761" t="inlineStr">
        <is>
          <t>VÄSTERBOTTENS LÄN</t>
        </is>
      </c>
      <c r="E761" t="inlineStr">
        <is>
          <t>SKELLEFTEÅ</t>
        </is>
      </c>
      <c r="G761" t="n">
        <v>1.3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44721-2020</t>
        </is>
      </c>
      <c r="B762" s="1" t="n">
        <v>44082</v>
      </c>
      <c r="C762" s="1" t="n">
        <v>45192</v>
      </c>
      <c r="D762" t="inlineStr">
        <is>
          <t>VÄSTERBOTTENS LÄN</t>
        </is>
      </c>
      <c r="E762" t="inlineStr">
        <is>
          <t>SKELLEFTEÅ</t>
        </is>
      </c>
      <c r="G762" t="n">
        <v>0.9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43928-2020</t>
        </is>
      </c>
      <c r="B763" s="1" t="n">
        <v>44083</v>
      </c>
      <c r="C763" s="1" t="n">
        <v>45192</v>
      </c>
      <c r="D763" t="inlineStr">
        <is>
          <t>VÄSTERBOTTENS LÄN</t>
        </is>
      </c>
      <c r="E763" t="inlineStr">
        <is>
          <t>SKELLEFTEÅ</t>
        </is>
      </c>
      <c r="F763" t="inlineStr">
        <is>
          <t>Sveaskog</t>
        </is>
      </c>
      <c r="G763" t="n">
        <v>5.8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43923-2020</t>
        </is>
      </c>
      <c r="B764" s="1" t="n">
        <v>44083</v>
      </c>
      <c r="C764" s="1" t="n">
        <v>45192</v>
      </c>
      <c r="D764" t="inlineStr">
        <is>
          <t>VÄSTERBOTTENS LÄN</t>
        </is>
      </c>
      <c r="E764" t="inlineStr">
        <is>
          <t>SKELLEFTEÅ</t>
        </is>
      </c>
      <c r="F764" t="inlineStr">
        <is>
          <t>Sveaskog</t>
        </is>
      </c>
      <c r="G764" t="n">
        <v>3.5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43933-2020</t>
        </is>
      </c>
      <c r="B765" s="1" t="n">
        <v>44083</v>
      </c>
      <c r="C765" s="1" t="n">
        <v>45192</v>
      </c>
      <c r="D765" t="inlineStr">
        <is>
          <t>VÄSTERBOTTENS LÄN</t>
        </is>
      </c>
      <c r="E765" t="inlineStr">
        <is>
          <t>SKELLEFTEÅ</t>
        </is>
      </c>
      <c r="F765" t="inlineStr">
        <is>
          <t>Sveaskog</t>
        </is>
      </c>
      <c r="G765" t="n">
        <v>3.3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18263-2021</t>
        </is>
      </c>
      <c r="B766" s="1" t="n">
        <v>44083</v>
      </c>
      <c r="C766" s="1" t="n">
        <v>45192</v>
      </c>
      <c r="D766" t="inlineStr">
        <is>
          <t>VÄSTERBOTTENS LÄN</t>
        </is>
      </c>
      <c r="E766" t="inlineStr">
        <is>
          <t>SKELLEFTEÅ</t>
        </is>
      </c>
      <c r="G766" t="n">
        <v>2.4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44068-2020</t>
        </is>
      </c>
      <c r="B767" s="1" t="n">
        <v>44083</v>
      </c>
      <c r="C767" s="1" t="n">
        <v>45192</v>
      </c>
      <c r="D767" t="inlineStr">
        <is>
          <t>VÄSTERBOTTENS LÄN</t>
        </is>
      </c>
      <c r="E767" t="inlineStr">
        <is>
          <t>SKELLEFTEÅ</t>
        </is>
      </c>
      <c r="G767" t="n">
        <v>1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18255-2021</t>
        </is>
      </c>
      <c r="B768" s="1" t="n">
        <v>44083</v>
      </c>
      <c r="C768" s="1" t="n">
        <v>45192</v>
      </c>
      <c r="D768" t="inlineStr">
        <is>
          <t>VÄSTERBOTTENS LÄN</t>
        </is>
      </c>
      <c r="E768" t="inlineStr">
        <is>
          <t>SKELLEFTEÅ</t>
        </is>
      </c>
      <c r="G768" t="n">
        <v>1.4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43930-2020</t>
        </is>
      </c>
      <c r="B769" s="1" t="n">
        <v>44083</v>
      </c>
      <c r="C769" s="1" t="n">
        <v>45192</v>
      </c>
      <c r="D769" t="inlineStr">
        <is>
          <t>VÄSTERBOTTENS LÄN</t>
        </is>
      </c>
      <c r="E769" t="inlineStr">
        <is>
          <t>SKELLEFTEÅ</t>
        </is>
      </c>
      <c r="F769" t="inlineStr">
        <is>
          <t>Sveaskog</t>
        </is>
      </c>
      <c r="G769" t="n">
        <v>2.5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44436-2020</t>
        </is>
      </c>
      <c r="B770" s="1" t="n">
        <v>44084</v>
      </c>
      <c r="C770" s="1" t="n">
        <v>45192</v>
      </c>
      <c r="D770" t="inlineStr">
        <is>
          <t>VÄSTERBOTTENS LÄN</t>
        </is>
      </c>
      <c r="E770" t="inlineStr">
        <is>
          <t>SKELLEFTEÅ</t>
        </is>
      </c>
      <c r="G770" t="n">
        <v>1.8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44587-2020</t>
        </is>
      </c>
      <c r="B771" s="1" t="n">
        <v>44085</v>
      </c>
      <c r="C771" s="1" t="n">
        <v>45192</v>
      </c>
      <c r="D771" t="inlineStr">
        <is>
          <t>VÄSTERBOTTENS LÄN</t>
        </is>
      </c>
      <c r="E771" t="inlineStr">
        <is>
          <t>SKELLEFTEÅ</t>
        </is>
      </c>
      <c r="F771" t="inlineStr">
        <is>
          <t>Sveaskog</t>
        </is>
      </c>
      <c r="G771" t="n">
        <v>1.5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44572-2020</t>
        </is>
      </c>
      <c r="B772" s="1" t="n">
        <v>44085</v>
      </c>
      <c r="C772" s="1" t="n">
        <v>45192</v>
      </c>
      <c r="D772" t="inlineStr">
        <is>
          <t>VÄSTERBOTTENS LÄN</t>
        </is>
      </c>
      <c r="E772" t="inlineStr">
        <is>
          <t>SKELLEFTEÅ</t>
        </is>
      </c>
      <c r="G772" t="n">
        <v>0.8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44592-2020</t>
        </is>
      </c>
      <c r="B773" s="1" t="n">
        <v>44085</v>
      </c>
      <c r="C773" s="1" t="n">
        <v>45192</v>
      </c>
      <c r="D773" t="inlineStr">
        <is>
          <t>VÄSTERBOTTENS LÄN</t>
        </is>
      </c>
      <c r="E773" t="inlineStr">
        <is>
          <t>SKELLEFTEÅ</t>
        </is>
      </c>
      <c r="F773" t="inlineStr">
        <is>
          <t>Sveaskog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44667-2020</t>
        </is>
      </c>
      <c r="B774" s="1" t="n">
        <v>44085</v>
      </c>
      <c r="C774" s="1" t="n">
        <v>45192</v>
      </c>
      <c r="D774" t="inlineStr">
        <is>
          <t>VÄSTERBOTTENS LÄN</t>
        </is>
      </c>
      <c r="E774" t="inlineStr">
        <is>
          <t>SKELLEFTEÅ</t>
        </is>
      </c>
      <c r="F774" t="inlineStr">
        <is>
          <t>Sveaskog</t>
        </is>
      </c>
      <c r="G774" t="n">
        <v>15.6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45181-2020</t>
        </is>
      </c>
      <c r="B775" s="1" t="n">
        <v>44088</v>
      </c>
      <c r="C775" s="1" t="n">
        <v>45192</v>
      </c>
      <c r="D775" t="inlineStr">
        <is>
          <t>VÄSTERBOTTENS LÄN</t>
        </is>
      </c>
      <c r="E775" t="inlineStr">
        <is>
          <t>SKELLEFTEÅ</t>
        </is>
      </c>
      <c r="G775" t="n">
        <v>2.7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46686-2020</t>
        </is>
      </c>
      <c r="B776" s="1" t="n">
        <v>44089</v>
      </c>
      <c r="C776" s="1" t="n">
        <v>45192</v>
      </c>
      <c r="D776" t="inlineStr">
        <is>
          <t>VÄSTERBOTTENS LÄN</t>
        </is>
      </c>
      <c r="E776" t="inlineStr">
        <is>
          <t>SKELLEFTEÅ</t>
        </is>
      </c>
      <c r="G776" t="n">
        <v>0.6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45514-2020</t>
        </is>
      </c>
      <c r="B777" s="1" t="n">
        <v>44089</v>
      </c>
      <c r="C777" s="1" t="n">
        <v>45192</v>
      </c>
      <c r="D777" t="inlineStr">
        <is>
          <t>VÄSTERBOTTENS LÄN</t>
        </is>
      </c>
      <c r="E777" t="inlineStr">
        <is>
          <t>SKELLEFTEÅ</t>
        </is>
      </c>
      <c r="G777" t="n">
        <v>0.8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46682-2020</t>
        </is>
      </c>
      <c r="B778" s="1" t="n">
        <v>44089</v>
      </c>
      <c r="C778" s="1" t="n">
        <v>45192</v>
      </c>
      <c r="D778" t="inlineStr">
        <is>
          <t>VÄSTERBOTTENS LÄN</t>
        </is>
      </c>
      <c r="E778" t="inlineStr">
        <is>
          <t>SKELLEFTEÅ</t>
        </is>
      </c>
      <c r="G778" t="n">
        <v>2.5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46821-2020</t>
        </is>
      </c>
      <c r="B779" s="1" t="n">
        <v>44090</v>
      </c>
      <c r="C779" s="1" t="n">
        <v>45192</v>
      </c>
      <c r="D779" t="inlineStr">
        <is>
          <t>VÄSTERBOTTENS LÄN</t>
        </is>
      </c>
      <c r="E779" t="inlineStr">
        <is>
          <t>SKELLEFTEÅ</t>
        </is>
      </c>
      <c r="G779" t="n">
        <v>3.5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45690-2020</t>
        </is>
      </c>
      <c r="B780" s="1" t="n">
        <v>44090</v>
      </c>
      <c r="C780" s="1" t="n">
        <v>45192</v>
      </c>
      <c r="D780" t="inlineStr">
        <is>
          <t>VÄSTERBOTTENS LÄN</t>
        </is>
      </c>
      <c r="E780" t="inlineStr">
        <is>
          <t>SKELLEFTEÅ</t>
        </is>
      </c>
      <c r="G780" t="n">
        <v>9.6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46205-2020</t>
        </is>
      </c>
      <c r="B781" s="1" t="n">
        <v>44092</v>
      </c>
      <c r="C781" s="1" t="n">
        <v>45192</v>
      </c>
      <c r="D781" t="inlineStr">
        <is>
          <t>VÄSTERBOTTENS LÄN</t>
        </is>
      </c>
      <c r="E781" t="inlineStr">
        <is>
          <t>SKELLEFTEÅ</t>
        </is>
      </c>
      <c r="F781" t="inlineStr">
        <is>
          <t>Holmen skog AB</t>
        </is>
      </c>
      <c r="G781" t="n">
        <v>5.1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46638-2020</t>
        </is>
      </c>
      <c r="B782" s="1" t="n">
        <v>44095</v>
      </c>
      <c r="C782" s="1" t="n">
        <v>45192</v>
      </c>
      <c r="D782" t="inlineStr">
        <is>
          <t>VÄSTERBOTTENS LÄN</t>
        </is>
      </c>
      <c r="E782" t="inlineStr">
        <is>
          <t>SKELLEFTEÅ</t>
        </is>
      </c>
      <c r="F782" t="inlineStr">
        <is>
          <t>Holmen skog AB</t>
        </is>
      </c>
      <c r="G782" t="n">
        <v>2.8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47405-2020</t>
        </is>
      </c>
      <c r="B783" s="1" t="n">
        <v>44095</v>
      </c>
      <c r="C783" s="1" t="n">
        <v>45192</v>
      </c>
      <c r="D783" t="inlineStr">
        <is>
          <t>VÄSTERBOTTENS LÄN</t>
        </is>
      </c>
      <c r="E783" t="inlineStr">
        <is>
          <t>SKELLEFTEÅ</t>
        </is>
      </c>
      <c r="G783" t="n">
        <v>0.6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46857-2020</t>
        </is>
      </c>
      <c r="B784" s="1" t="n">
        <v>44096</v>
      </c>
      <c r="C784" s="1" t="n">
        <v>45192</v>
      </c>
      <c r="D784" t="inlineStr">
        <is>
          <t>VÄSTERBOTTENS LÄN</t>
        </is>
      </c>
      <c r="E784" t="inlineStr">
        <is>
          <t>SKELLEFTEÅ</t>
        </is>
      </c>
      <c r="F784" t="inlineStr">
        <is>
          <t>Holmen skog AB</t>
        </is>
      </c>
      <c r="G784" t="n">
        <v>2.1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46819-2020</t>
        </is>
      </c>
      <c r="B785" s="1" t="n">
        <v>44096</v>
      </c>
      <c r="C785" s="1" t="n">
        <v>45192</v>
      </c>
      <c r="D785" t="inlineStr">
        <is>
          <t>VÄSTERBOTTENS LÄN</t>
        </is>
      </c>
      <c r="E785" t="inlineStr">
        <is>
          <t>SKELLEFTEÅ</t>
        </is>
      </c>
      <c r="F785" t="inlineStr">
        <is>
          <t>Holmen skog AB</t>
        </is>
      </c>
      <c r="G785" t="n">
        <v>1.5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46842-2020</t>
        </is>
      </c>
      <c r="B786" s="1" t="n">
        <v>44096</v>
      </c>
      <c r="C786" s="1" t="n">
        <v>45192</v>
      </c>
      <c r="D786" t="inlineStr">
        <is>
          <t>VÄSTERBOTTENS LÄN</t>
        </is>
      </c>
      <c r="E786" t="inlineStr">
        <is>
          <t>SKELLEFTEÅ</t>
        </is>
      </c>
      <c r="F786" t="inlineStr">
        <is>
          <t>Holmen skog AB</t>
        </is>
      </c>
      <c r="G786" t="n">
        <v>6.5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48584-2020</t>
        </is>
      </c>
      <c r="B787" s="1" t="n">
        <v>44098</v>
      </c>
      <c r="C787" s="1" t="n">
        <v>45192</v>
      </c>
      <c r="D787" t="inlineStr">
        <is>
          <t>VÄSTERBOTTENS LÄN</t>
        </is>
      </c>
      <c r="E787" t="inlineStr">
        <is>
          <t>SKELLEFTEÅ</t>
        </is>
      </c>
      <c r="G787" t="n">
        <v>2.9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49241-2020</t>
        </is>
      </c>
      <c r="B788" s="1" t="n">
        <v>44102</v>
      </c>
      <c r="C788" s="1" t="n">
        <v>45192</v>
      </c>
      <c r="D788" t="inlineStr">
        <is>
          <t>VÄSTERBOTTENS LÄN</t>
        </is>
      </c>
      <c r="E788" t="inlineStr">
        <is>
          <t>SKELLEFTEÅ</t>
        </is>
      </c>
      <c r="G788" t="n">
        <v>0.8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48609-2020</t>
        </is>
      </c>
      <c r="B789" s="1" t="n">
        <v>44103</v>
      </c>
      <c r="C789" s="1" t="n">
        <v>45192</v>
      </c>
      <c r="D789" t="inlineStr">
        <is>
          <t>VÄSTERBOTTENS LÄN</t>
        </is>
      </c>
      <c r="E789" t="inlineStr">
        <is>
          <t>SKELLEFTEÅ</t>
        </is>
      </c>
      <c r="F789" t="inlineStr">
        <is>
          <t>Holmen skog AB</t>
        </is>
      </c>
      <c r="G789" t="n">
        <v>7.1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48893-2020</t>
        </is>
      </c>
      <c r="B790" s="1" t="n">
        <v>44104</v>
      </c>
      <c r="C790" s="1" t="n">
        <v>45192</v>
      </c>
      <c r="D790" t="inlineStr">
        <is>
          <t>VÄSTERBOTTENS LÄN</t>
        </is>
      </c>
      <c r="E790" t="inlineStr">
        <is>
          <t>SKELLEFTEÅ</t>
        </is>
      </c>
      <c r="F790" t="inlineStr">
        <is>
          <t>Sveaskog</t>
        </is>
      </c>
      <c r="G790" t="n">
        <v>42.8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48939-2020</t>
        </is>
      </c>
      <c r="B791" s="1" t="n">
        <v>44104</v>
      </c>
      <c r="C791" s="1" t="n">
        <v>45192</v>
      </c>
      <c r="D791" t="inlineStr">
        <is>
          <t>VÄSTERBOTTENS LÄN</t>
        </is>
      </c>
      <c r="E791" t="inlineStr">
        <is>
          <t>SKELLEFTEÅ</t>
        </is>
      </c>
      <c r="G791" t="n">
        <v>3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49986-2020</t>
        </is>
      </c>
      <c r="B792" s="1" t="n">
        <v>44104</v>
      </c>
      <c r="C792" s="1" t="n">
        <v>45192</v>
      </c>
      <c r="D792" t="inlineStr">
        <is>
          <t>VÄSTERBOTTENS LÄN</t>
        </is>
      </c>
      <c r="E792" t="inlineStr">
        <is>
          <t>SKELLEFTEÅ</t>
        </is>
      </c>
      <c r="G792" t="n">
        <v>0.7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49183-2020</t>
        </is>
      </c>
      <c r="B793" s="1" t="n">
        <v>44105</v>
      </c>
      <c r="C793" s="1" t="n">
        <v>45192</v>
      </c>
      <c r="D793" t="inlineStr">
        <is>
          <t>VÄSTERBOTTENS LÄN</t>
        </is>
      </c>
      <c r="E793" t="inlineStr">
        <is>
          <t>SKELLEFTEÅ</t>
        </is>
      </c>
      <c r="G793" t="n">
        <v>8.699999999999999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49236-2020</t>
        </is>
      </c>
      <c r="B794" s="1" t="n">
        <v>44105</v>
      </c>
      <c r="C794" s="1" t="n">
        <v>45192</v>
      </c>
      <c r="D794" t="inlineStr">
        <is>
          <t>VÄSTERBOTTENS LÄN</t>
        </is>
      </c>
      <c r="E794" t="inlineStr">
        <is>
          <t>SKELLEFTEÅ</t>
        </is>
      </c>
      <c r="F794" t="inlineStr">
        <is>
          <t>Holmen skog AB</t>
        </is>
      </c>
      <c r="G794" t="n">
        <v>6.5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49974-2020</t>
        </is>
      </c>
      <c r="B795" s="1" t="n">
        <v>44109</v>
      </c>
      <c r="C795" s="1" t="n">
        <v>45192</v>
      </c>
      <c r="D795" t="inlineStr">
        <is>
          <t>VÄSTERBOTTENS LÄN</t>
        </is>
      </c>
      <c r="E795" t="inlineStr">
        <is>
          <t>SKELLEFTEÅ</t>
        </is>
      </c>
      <c r="F795" t="inlineStr">
        <is>
          <t>Holmen skog AB</t>
        </is>
      </c>
      <c r="G795" t="n">
        <v>15.8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51654-2020</t>
        </is>
      </c>
      <c r="B796" s="1" t="n">
        <v>44109</v>
      </c>
      <c r="C796" s="1" t="n">
        <v>45192</v>
      </c>
      <c r="D796" t="inlineStr">
        <is>
          <t>VÄSTERBOTTENS LÄN</t>
        </is>
      </c>
      <c r="E796" t="inlineStr">
        <is>
          <t>SKELLEFTEÅ</t>
        </is>
      </c>
      <c r="G796" t="n">
        <v>2.1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50275-2020</t>
        </is>
      </c>
      <c r="B797" s="1" t="n">
        <v>44109</v>
      </c>
      <c r="C797" s="1" t="n">
        <v>45192</v>
      </c>
      <c r="D797" t="inlineStr">
        <is>
          <t>VÄSTERBOTTENS LÄN</t>
        </is>
      </c>
      <c r="E797" t="inlineStr">
        <is>
          <t>SKELLEFTEÅ</t>
        </is>
      </c>
      <c r="G797" t="n">
        <v>1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49952-2020</t>
        </is>
      </c>
      <c r="B798" s="1" t="n">
        <v>44109</v>
      </c>
      <c r="C798" s="1" t="n">
        <v>45192</v>
      </c>
      <c r="D798" t="inlineStr">
        <is>
          <t>VÄSTERBOTTENS LÄN</t>
        </is>
      </c>
      <c r="E798" t="inlineStr">
        <is>
          <t>SKELLEFTEÅ</t>
        </is>
      </c>
      <c r="F798" t="inlineStr">
        <is>
          <t>Holmen skog AB</t>
        </is>
      </c>
      <c r="G798" t="n">
        <v>1.6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52119-2020</t>
        </is>
      </c>
      <c r="B799" s="1" t="n">
        <v>44110</v>
      </c>
      <c r="C799" s="1" t="n">
        <v>45192</v>
      </c>
      <c r="D799" t="inlineStr">
        <is>
          <t>VÄSTERBOTTENS LÄN</t>
        </is>
      </c>
      <c r="E799" t="inlineStr">
        <is>
          <t>SKELLEFTEÅ</t>
        </is>
      </c>
      <c r="G799" t="n">
        <v>2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50431-2020</t>
        </is>
      </c>
      <c r="B800" s="1" t="n">
        <v>44110</v>
      </c>
      <c r="C800" s="1" t="n">
        <v>45192</v>
      </c>
      <c r="D800" t="inlineStr">
        <is>
          <t>VÄSTERBOTTENS LÄN</t>
        </is>
      </c>
      <c r="E800" t="inlineStr">
        <is>
          <t>SKELLEFTEÅ</t>
        </is>
      </c>
      <c r="F800" t="inlineStr">
        <is>
          <t>Holmen skog AB</t>
        </is>
      </c>
      <c r="G800" t="n">
        <v>9.4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50701-2020</t>
        </is>
      </c>
      <c r="B801" s="1" t="n">
        <v>44111</v>
      </c>
      <c r="C801" s="1" t="n">
        <v>45192</v>
      </c>
      <c r="D801" t="inlineStr">
        <is>
          <t>VÄSTERBOTTENS LÄN</t>
        </is>
      </c>
      <c r="E801" t="inlineStr">
        <is>
          <t>SKELLEFTEÅ</t>
        </is>
      </c>
      <c r="F801" t="inlineStr">
        <is>
          <t>Holmen skog AB</t>
        </is>
      </c>
      <c r="G801" t="n">
        <v>2.9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51283-2020</t>
        </is>
      </c>
      <c r="B802" s="1" t="n">
        <v>44112</v>
      </c>
      <c r="C802" s="1" t="n">
        <v>45192</v>
      </c>
      <c r="D802" t="inlineStr">
        <is>
          <t>VÄSTERBOTTENS LÄN</t>
        </is>
      </c>
      <c r="E802" t="inlineStr">
        <is>
          <t>SKELLEFTEÅ</t>
        </is>
      </c>
      <c r="F802" t="inlineStr">
        <is>
          <t>Sveaskog</t>
        </is>
      </c>
      <c r="G802" t="n">
        <v>14.1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51536-2020</t>
        </is>
      </c>
      <c r="B803" s="1" t="n">
        <v>44113</v>
      </c>
      <c r="C803" s="1" t="n">
        <v>45192</v>
      </c>
      <c r="D803" t="inlineStr">
        <is>
          <t>VÄSTERBOTTENS LÄN</t>
        </is>
      </c>
      <c r="E803" t="inlineStr">
        <is>
          <t>SKELLEFTEÅ</t>
        </is>
      </c>
      <c r="F803" t="inlineStr">
        <is>
          <t>Holmen skog AB</t>
        </is>
      </c>
      <c r="G803" t="n">
        <v>0.7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51565-2020</t>
        </is>
      </c>
      <c r="B804" s="1" t="n">
        <v>44113</v>
      </c>
      <c r="C804" s="1" t="n">
        <v>45192</v>
      </c>
      <c r="D804" t="inlineStr">
        <is>
          <t>VÄSTERBOTTENS LÄN</t>
        </is>
      </c>
      <c r="E804" t="inlineStr">
        <is>
          <t>SKELLEFTEÅ</t>
        </is>
      </c>
      <c r="F804" t="inlineStr">
        <is>
          <t>Holmen skog AB</t>
        </is>
      </c>
      <c r="G804" t="n">
        <v>1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51530-2020</t>
        </is>
      </c>
      <c r="B805" s="1" t="n">
        <v>44113</v>
      </c>
      <c r="C805" s="1" t="n">
        <v>45192</v>
      </c>
      <c r="D805" t="inlineStr">
        <is>
          <t>VÄSTERBOTTENS LÄN</t>
        </is>
      </c>
      <c r="E805" t="inlineStr">
        <is>
          <t>SKELLEFTEÅ</t>
        </is>
      </c>
      <c r="F805" t="inlineStr">
        <is>
          <t>Holmen skog AB</t>
        </is>
      </c>
      <c r="G805" t="n">
        <v>3.1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51547-2020</t>
        </is>
      </c>
      <c r="B806" s="1" t="n">
        <v>44113</v>
      </c>
      <c r="C806" s="1" t="n">
        <v>45192</v>
      </c>
      <c r="D806" t="inlineStr">
        <is>
          <t>VÄSTERBOTTENS LÄN</t>
        </is>
      </c>
      <c r="E806" t="inlineStr">
        <is>
          <t>SKELLEFTEÅ</t>
        </is>
      </c>
      <c r="F806" t="inlineStr">
        <is>
          <t>Holmen skog AB</t>
        </is>
      </c>
      <c r="G806" t="n">
        <v>0.5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51907-2020</t>
        </is>
      </c>
      <c r="B807" s="1" t="n">
        <v>44116</v>
      </c>
      <c r="C807" s="1" t="n">
        <v>45192</v>
      </c>
      <c r="D807" t="inlineStr">
        <is>
          <t>VÄSTERBOTTENS LÄN</t>
        </is>
      </c>
      <c r="E807" t="inlineStr">
        <is>
          <t>SKELLEFTEÅ</t>
        </is>
      </c>
      <c r="F807" t="inlineStr">
        <is>
          <t>Kommuner</t>
        </is>
      </c>
      <c r="G807" t="n">
        <v>1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52537-2020</t>
        </is>
      </c>
      <c r="B808" s="1" t="n">
        <v>44116</v>
      </c>
      <c r="C808" s="1" t="n">
        <v>45192</v>
      </c>
      <c r="D808" t="inlineStr">
        <is>
          <t>VÄSTERBOTTENS LÄN</t>
        </is>
      </c>
      <c r="E808" t="inlineStr">
        <is>
          <t>SKELLEFTEÅ</t>
        </is>
      </c>
      <c r="G808" t="n">
        <v>3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52292-2020</t>
        </is>
      </c>
      <c r="B809" s="1" t="n">
        <v>44117</v>
      </c>
      <c r="C809" s="1" t="n">
        <v>45192</v>
      </c>
      <c r="D809" t="inlineStr">
        <is>
          <t>VÄSTERBOTTENS LÄN</t>
        </is>
      </c>
      <c r="E809" t="inlineStr">
        <is>
          <t>SKELLEFTEÅ</t>
        </is>
      </c>
      <c r="F809" t="inlineStr">
        <is>
          <t>Holmen skog AB</t>
        </is>
      </c>
      <c r="G809" t="n">
        <v>3.2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52640-2020</t>
        </is>
      </c>
      <c r="B810" s="1" t="n">
        <v>44118</v>
      </c>
      <c r="C810" s="1" t="n">
        <v>45192</v>
      </c>
      <c r="D810" t="inlineStr">
        <is>
          <t>VÄSTERBOTTENS LÄN</t>
        </is>
      </c>
      <c r="E810" t="inlineStr">
        <is>
          <t>SKELLEFTEÅ</t>
        </is>
      </c>
      <c r="G810" t="n">
        <v>11.5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52714-2020</t>
        </is>
      </c>
      <c r="B811" s="1" t="n">
        <v>44119</v>
      </c>
      <c r="C811" s="1" t="n">
        <v>45192</v>
      </c>
      <c r="D811" t="inlineStr">
        <is>
          <t>VÄSTERBOTTENS LÄN</t>
        </is>
      </c>
      <c r="E811" t="inlineStr">
        <is>
          <t>SKELLEFTEÅ</t>
        </is>
      </c>
      <c r="F811" t="inlineStr">
        <is>
          <t>Holmen skog AB</t>
        </is>
      </c>
      <c r="G811" t="n">
        <v>4.6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53114-2020</t>
        </is>
      </c>
      <c r="B812" s="1" t="n">
        <v>44120</v>
      </c>
      <c r="C812" s="1" t="n">
        <v>45192</v>
      </c>
      <c r="D812" t="inlineStr">
        <is>
          <t>VÄSTERBOTTENS LÄN</t>
        </is>
      </c>
      <c r="E812" t="inlineStr">
        <is>
          <t>SKELLEFTEÅ</t>
        </is>
      </c>
      <c r="G812" t="n">
        <v>6.1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53373-2020</t>
        </is>
      </c>
      <c r="B813" s="1" t="n">
        <v>44123</v>
      </c>
      <c r="C813" s="1" t="n">
        <v>45192</v>
      </c>
      <c r="D813" t="inlineStr">
        <is>
          <t>VÄSTERBOTTENS LÄN</t>
        </is>
      </c>
      <c r="E813" t="inlineStr">
        <is>
          <t>SKELLEFTEÅ</t>
        </is>
      </c>
      <c r="F813" t="inlineStr">
        <is>
          <t>Holmen skog AB</t>
        </is>
      </c>
      <c r="G813" t="n">
        <v>1.1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54356-2020</t>
        </is>
      </c>
      <c r="B814" s="1" t="n">
        <v>44125</v>
      </c>
      <c r="C814" s="1" t="n">
        <v>45192</v>
      </c>
      <c r="D814" t="inlineStr">
        <is>
          <t>VÄSTERBOTTENS LÄN</t>
        </is>
      </c>
      <c r="E814" t="inlineStr">
        <is>
          <t>SKELLEFTEÅ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54872-2020</t>
        </is>
      </c>
      <c r="B815" s="1" t="n">
        <v>44126</v>
      </c>
      <c r="C815" s="1" t="n">
        <v>45192</v>
      </c>
      <c r="D815" t="inlineStr">
        <is>
          <t>VÄSTERBOTTENS LÄN</t>
        </is>
      </c>
      <c r="E815" t="inlineStr">
        <is>
          <t>SKELLEFTEÅ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54850-2020</t>
        </is>
      </c>
      <c r="B816" s="1" t="n">
        <v>44126</v>
      </c>
      <c r="C816" s="1" t="n">
        <v>45192</v>
      </c>
      <c r="D816" t="inlineStr">
        <is>
          <t>VÄSTERBOTTENS LÄN</t>
        </is>
      </c>
      <c r="E816" t="inlineStr">
        <is>
          <t>SKELLEFTEÅ</t>
        </is>
      </c>
      <c r="G816" t="n">
        <v>3.4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54662-2020</t>
        </is>
      </c>
      <c r="B817" s="1" t="n">
        <v>44127</v>
      </c>
      <c r="C817" s="1" t="n">
        <v>45192</v>
      </c>
      <c r="D817" t="inlineStr">
        <is>
          <t>VÄSTERBOTTENS LÄN</t>
        </is>
      </c>
      <c r="E817" t="inlineStr">
        <is>
          <t>SKELLEFTEÅ</t>
        </is>
      </c>
      <c r="F817" t="inlineStr">
        <is>
          <t>Holmen skog AB</t>
        </is>
      </c>
      <c r="G817" t="n">
        <v>13.4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54913-2020</t>
        </is>
      </c>
      <c r="B818" s="1" t="n">
        <v>44127</v>
      </c>
      <c r="C818" s="1" t="n">
        <v>45192</v>
      </c>
      <c r="D818" t="inlineStr">
        <is>
          <t>VÄSTERBOTTENS LÄN</t>
        </is>
      </c>
      <c r="E818" t="inlineStr">
        <is>
          <t>SKELLEFTEÅ</t>
        </is>
      </c>
      <c r="G818" t="n">
        <v>1.9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54921-2020</t>
        </is>
      </c>
      <c r="B819" s="1" t="n">
        <v>44127</v>
      </c>
      <c r="C819" s="1" t="n">
        <v>45192</v>
      </c>
      <c r="D819" t="inlineStr">
        <is>
          <t>VÄSTERBOTTENS LÄN</t>
        </is>
      </c>
      <c r="E819" t="inlineStr">
        <is>
          <t>SKELLEFTEÅ</t>
        </is>
      </c>
      <c r="G819" t="n">
        <v>0.7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54942-2020</t>
        </is>
      </c>
      <c r="B820" s="1" t="n">
        <v>44129</v>
      </c>
      <c r="C820" s="1" t="n">
        <v>45192</v>
      </c>
      <c r="D820" t="inlineStr">
        <is>
          <t>VÄSTERBOTTENS LÄN</t>
        </is>
      </c>
      <c r="E820" t="inlineStr">
        <is>
          <t>SKELLEFTEÅ</t>
        </is>
      </c>
      <c r="G820" t="n">
        <v>1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55628-2020</t>
        </is>
      </c>
      <c r="B821" s="1" t="n">
        <v>44131</v>
      </c>
      <c r="C821" s="1" t="n">
        <v>45192</v>
      </c>
      <c r="D821" t="inlineStr">
        <is>
          <t>VÄSTERBOTTENS LÄN</t>
        </is>
      </c>
      <c r="E821" t="inlineStr">
        <is>
          <t>SKELLEFTEÅ</t>
        </is>
      </c>
      <c r="F821" t="inlineStr">
        <is>
          <t>Sveaskog</t>
        </is>
      </c>
      <c r="G821" t="n">
        <v>25.9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55572-2020</t>
        </is>
      </c>
      <c r="B822" s="1" t="n">
        <v>44131</v>
      </c>
      <c r="C822" s="1" t="n">
        <v>45192</v>
      </c>
      <c r="D822" t="inlineStr">
        <is>
          <t>VÄSTERBOTTENS LÄN</t>
        </is>
      </c>
      <c r="E822" t="inlineStr">
        <is>
          <t>SKELLEFTEÅ</t>
        </is>
      </c>
      <c r="F822" t="inlineStr">
        <is>
          <t>Sveaskog</t>
        </is>
      </c>
      <c r="G822" t="n">
        <v>12.6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55626-2020</t>
        </is>
      </c>
      <c r="B823" s="1" t="n">
        <v>44131</v>
      </c>
      <c r="C823" s="1" t="n">
        <v>45192</v>
      </c>
      <c r="D823" t="inlineStr">
        <is>
          <t>VÄSTERBOTTENS LÄN</t>
        </is>
      </c>
      <c r="E823" t="inlineStr">
        <is>
          <t>SKELLEFTEÅ</t>
        </is>
      </c>
      <c r="F823" t="inlineStr">
        <is>
          <t>Sveaskog</t>
        </is>
      </c>
      <c r="G823" t="n">
        <v>14.2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55586-2020</t>
        </is>
      </c>
      <c r="B824" s="1" t="n">
        <v>44131</v>
      </c>
      <c r="C824" s="1" t="n">
        <v>45192</v>
      </c>
      <c r="D824" t="inlineStr">
        <is>
          <t>VÄSTERBOTTENS LÄN</t>
        </is>
      </c>
      <c r="E824" t="inlineStr">
        <is>
          <t>SKELLEFTEÅ</t>
        </is>
      </c>
      <c r="F824" t="inlineStr">
        <is>
          <t>Sveaskog</t>
        </is>
      </c>
      <c r="G824" t="n">
        <v>10.3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55633-2020</t>
        </is>
      </c>
      <c r="B825" s="1" t="n">
        <v>44131</v>
      </c>
      <c r="C825" s="1" t="n">
        <v>45192</v>
      </c>
      <c r="D825" t="inlineStr">
        <is>
          <t>VÄSTERBOTTENS LÄN</t>
        </is>
      </c>
      <c r="E825" t="inlineStr">
        <is>
          <t>SKELLEFTEÅ</t>
        </is>
      </c>
      <c r="F825" t="inlineStr">
        <is>
          <t>Sveaskog</t>
        </is>
      </c>
      <c r="G825" t="n">
        <v>2.2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55787-2020</t>
        </is>
      </c>
      <c r="B826" s="1" t="n">
        <v>44132</v>
      </c>
      <c r="C826" s="1" t="n">
        <v>45192</v>
      </c>
      <c r="D826" t="inlineStr">
        <is>
          <t>VÄSTERBOTTENS LÄN</t>
        </is>
      </c>
      <c r="E826" t="inlineStr">
        <is>
          <t>SKELLEFTEÅ</t>
        </is>
      </c>
      <c r="F826" t="inlineStr">
        <is>
          <t>Sveaskog</t>
        </is>
      </c>
      <c r="G826" t="n">
        <v>12.4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56683-2020</t>
        </is>
      </c>
      <c r="B827" s="1" t="n">
        <v>44133</v>
      </c>
      <c r="C827" s="1" t="n">
        <v>45192</v>
      </c>
      <c r="D827" t="inlineStr">
        <is>
          <t>VÄSTERBOTTENS LÄN</t>
        </is>
      </c>
      <c r="E827" t="inlineStr">
        <is>
          <t>SKELLEFTEÅ</t>
        </is>
      </c>
      <c r="G827" t="n">
        <v>0.8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56029-2020</t>
        </is>
      </c>
      <c r="B828" s="1" t="n">
        <v>44133</v>
      </c>
      <c r="C828" s="1" t="n">
        <v>45192</v>
      </c>
      <c r="D828" t="inlineStr">
        <is>
          <t>VÄSTERBOTTENS LÄN</t>
        </is>
      </c>
      <c r="E828" t="inlineStr">
        <is>
          <t>SKELLEFTEÅ</t>
        </is>
      </c>
      <c r="F828" t="inlineStr">
        <is>
          <t>Holmen skog AB</t>
        </is>
      </c>
      <c r="G828" t="n">
        <v>3.2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56879-2020</t>
        </is>
      </c>
      <c r="B829" s="1" t="n">
        <v>44134</v>
      </c>
      <c r="C829" s="1" t="n">
        <v>45192</v>
      </c>
      <c r="D829" t="inlineStr">
        <is>
          <t>VÄSTERBOTTENS LÄN</t>
        </is>
      </c>
      <c r="E829" t="inlineStr">
        <is>
          <t>SKELLEFTEÅ</t>
        </is>
      </c>
      <c r="G829" t="n">
        <v>8.5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56692-2020</t>
        </is>
      </c>
      <c r="B830" s="1" t="n">
        <v>44137</v>
      </c>
      <c r="C830" s="1" t="n">
        <v>45192</v>
      </c>
      <c r="D830" t="inlineStr">
        <is>
          <t>VÄSTERBOTTENS LÄN</t>
        </is>
      </c>
      <c r="E830" t="inlineStr">
        <is>
          <t>SKELLEFTEÅ</t>
        </is>
      </c>
      <c r="F830" t="inlineStr">
        <is>
          <t>Sveaskog</t>
        </is>
      </c>
      <c r="G830" t="n">
        <v>0.8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56604-2020</t>
        </is>
      </c>
      <c r="B831" s="1" t="n">
        <v>44137</v>
      </c>
      <c r="C831" s="1" t="n">
        <v>45192</v>
      </c>
      <c r="D831" t="inlineStr">
        <is>
          <t>VÄSTERBOTTENS LÄN</t>
        </is>
      </c>
      <c r="E831" t="inlineStr">
        <is>
          <t>SKELLEFTEÅ</t>
        </is>
      </c>
      <c r="F831" t="inlineStr">
        <is>
          <t>Holmen skog AB</t>
        </is>
      </c>
      <c r="G831" t="n">
        <v>2.4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56718-2020</t>
        </is>
      </c>
      <c r="B832" s="1" t="n">
        <v>44137</v>
      </c>
      <c r="C832" s="1" t="n">
        <v>45192</v>
      </c>
      <c r="D832" t="inlineStr">
        <is>
          <t>VÄSTERBOTTENS LÄN</t>
        </is>
      </c>
      <c r="E832" t="inlineStr">
        <is>
          <t>SKELLEFTEÅ</t>
        </is>
      </c>
      <c r="G832" t="n">
        <v>0.8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56720-2020</t>
        </is>
      </c>
      <c r="B833" s="1" t="n">
        <v>44137</v>
      </c>
      <c r="C833" s="1" t="n">
        <v>45192</v>
      </c>
      <c r="D833" t="inlineStr">
        <is>
          <t>VÄSTERBOTTENS LÄN</t>
        </is>
      </c>
      <c r="E833" t="inlineStr">
        <is>
          <t>SKELLEFTEÅ</t>
        </is>
      </c>
      <c r="G833" t="n">
        <v>0.4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56945-2020</t>
        </is>
      </c>
      <c r="B834" s="1" t="n">
        <v>44138</v>
      </c>
      <c r="C834" s="1" t="n">
        <v>45192</v>
      </c>
      <c r="D834" t="inlineStr">
        <is>
          <t>VÄSTERBOTTENS LÄN</t>
        </is>
      </c>
      <c r="E834" t="inlineStr">
        <is>
          <t>SKELLEFTEÅ</t>
        </is>
      </c>
      <c r="G834" t="n">
        <v>0.7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57620-2020</t>
        </is>
      </c>
      <c r="B835" s="1" t="n">
        <v>44140</v>
      </c>
      <c r="C835" s="1" t="n">
        <v>45192</v>
      </c>
      <c r="D835" t="inlineStr">
        <is>
          <t>VÄSTERBOTTENS LÄN</t>
        </is>
      </c>
      <c r="E835" t="inlineStr">
        <is>
          <t>SKELLEFTEÅ</t>
        </is>
      </c>
      <c r="G835" t="n">
        <v>1.4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58427-2020</t>
        </is>
      </c>
      <c r="B836" s="1" t="n">
        <v>44141</v>
      </c>
      <c r="C836" s="1" t="n">
        <v>45192</v>
      </c>
      <c r="D836" t="inlineStr">
        <is>
          <t>VÄSTERBOTTENS LÄN</t>
        </is>
      </c>
      <c r="E836" t="inlineStr">
        <is>
          <t>SKELLEFTEÅ</t>
        </is>
      </c>
      <c r="G836" t="n">
        <v>5.5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58520-2020</t>
        </is>
      </c>
      <c r="B837" s="1" t="n">
        <v>44144</v>
      </c>
      <c r="C837" s="1" t="n">
        <v>45192</v>
      </c>
      <c r="D837" t="inlineStr">
        <is>
          <t>VÄSTERBOTTENS LÄN</t>
        </is>
      </c>
      <c r="E837" t="inlineStr">
        <is>
          <t>SKELLEFTEÅ</t>
        </is>
      </c>
      <c r="G837" t="n">
        <v>0.8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58769-2020</t>
        </is>
      </c>
      <c r="B838" s="1" t="n">
        <v>44145</v>
      </c>
      <c r="C838" s="1" t="n">
        <v>45192</v>
      </c>
      <c r="D838" t="inlineStr">
        <is>
          <t>VÄSTERBOTTENS LÄN</t>
        </is>
      </c>
      <c r="E838" t="inlineStr">
        <is>
          <t>SKELLEFTEÅ</t>
        </is>
      </c>
      <c r="G838" t="n">
        <v>4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58544-2020</t>
        </is>
      </c>
      <c r="B839" s="1" t="n">
        <v>44145</v>
      </c>
      <c r="C839" s="1" t="n">
        <v>45192</v>
      </c>
      <c r="D839" t="inlineStr">
        <is>
          <t>VÄSTERBOTTENS LÄN</t>
        </is>
      </c>
      <c r="E839" t="inlineStr">
        <is>
          <t>SKELLEFTEÅ</t>
        </is>
      </c>
      <c r="F839" t="inlineStr">
        <is>
          <t>Holmen skog AB</t>
        </is>
      </c>
      <c r="G839" t="n">
        <v>1.8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58861-2020</t>
        </is>
      </c>
      <c r="B840" s="1" t="n">
        <v>44146</v>
      </c>
      <c r="C840" s="1" t="n">
        <v>45192</v>
      </c>
      <c r="D840" t="inlineStr">
        <is>
          <t>VÄSTERBOTTENS LÄN</t>
        </is>
      </c>
      <c r="E840" t="inlineStr">
        <is>
          <t>SKELLEFTEÅ</t>
        </is>
      </c>
      <c r="G840" t="n">
        <v>1.6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59408-2020</t>
        </is>
      </c>
      <c r="B841" s="1" t="n">
        <v>44147</v>
      </c>
      <c r="C841" s="1" t="n">
        <v>45192</v>
      </c>
      <c r="D841" t="inlineStr">
        <is>
          <t>VÄSTERBOTTENS LÄN</t>
        </is>
      </c>
      <c r="E841" t="inlineStr">
        <is>
          <t>SKELLEFTEÅ</t>
        </is>
      </c>
      <c r="G841" t="n">
        <v>2.1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59406-2020</t>
        </is>
      </c>
      <c r="B842" s="1" t="n">
        <v>44147</v>
      </c>
      <c r="C842" s="1" t="n">
        <v>45192</v>
      </c>
      <c r="D842" t="inlineStr">
        <is>
          <t>VÄSTERBOTTENS LÄN</t>
        </is>
      </c>
      <c r="E842" t="inlineStr">
        <is>
          <t>SKELLEFTEÅ</t>
        </is>
      </c>
      <c r="G842" t="n">
        <v>1.6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59518-2020</t>
        </is>
      </c>
      <c r="B843" s="1" t="n">
        <v>44148</v>
      </c>
      <c r="C843" s="1" t="n">
        <v>45192</v>
      </c>
      <c r="D843" t="inlineStr">
        <is>
          <t>VÄSTERBOTTENS LÄN</t>
        </is>
      </c>
      <c r="E843" t="inlineStr">
        <is>
          <t>SKELLEFTEÅ</t>
        </is>
      </c>
      <c r="F843" t="inlineStr">
        <is>
          <t>Holmen skog AB</t>
        </is>
      </c>
      <c r="G843" t="n">
        <v>4.5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59870-2020</t>
        </is>
      </c>
      <c r="B844" s="1" t="n">
        <v>44151</v>
      </c>
      <c r="C844" s="1" t="n">
        <v>45192</v>
      </c>
      <c r="D844" t="inlineStr">
        <is>
          <t>VÄSTERBOTTENS LÄN</t>
        </is>
      </c>
      <c r="E844" t="inlineStr">
        <is>
          <t>SKELLEFTEÅ</t>
        </is>
      </c>
      <c r="F844" t="inlineStr">
        <is>
          <t>Kommuner</t>
        </is>
      </c>
      <c r="G844" t="n">
        <v>5.7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60152-2020</t>
        </is>
      </c>
      <c r="B845" s="1" t="n">
        <v>44151</v>
      </c>
      <c r="C845" s="1" t="n">
        <v>45192</v>
      </c>
      <c r="D845" t="inlineStr">
        <is>
          <t>VÄSTERBOTTENS LÄN</t>
        </is>
      </c>
      <c r="E845" t="inlineStr">
        <is>
          <t>SKELLEFTEÅ</t>
        </is>
      </c>
      <c r="G845" t="n">
        <v>1.2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60489-2020</t>
        </is>
      </c>
      <c r="B846" s="1" t="n">
        <v>44152</v>
      </c>
      <c r="C846" s="1" t="n">
        <v>45192</v>
      </c>
      <c r="D846" t="inlineStr">
        <is>
          <t>VÄSTERBOTTENS LÄN</t>
        </is>
      </c>
      <c r="E846" t="inlineStr">
        <is>
          <t>SKELLEFTEÅ</t>
        </is>
      </c>
      <c r="G846" t="n">
        <v>0.6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61260-2020</t>
        </is>
      </c>
      <c r="B847" s="1" t="n">
        <v>44153</v>
      </c>
      <c r="C847" s="1" t="n">
        <v>45192</v>
      </c>
      <c r="D847" t="inlineStr">
        <is>
          <t>VÄSTERBOTTENS LÄN</t>
        </is>
      </c>
      <c r="E847" t="inlineStr">
        <is>
          <t>SKELLEFTEÅ</t>
        </is>
      </c>
      <c r="G847" t="n">
        <v>16.1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61937-2020</t>
        </is>
      </c>
      <c r="B848" s="1" t="n">
        <v>44155</v>
      </c>
      <c r="C848" s="1" t="n">
        <v>45192</v>
      </c>
      <c r="D848" t="inlineStr">
        <is>
          <t>VÄSTERBOTTENS LÄN</t>
        </is>
      </c>
      <c r="E848" t="inlineStr">
        <is>
          <t>SKELLEFTEÅ</t>
        </is>
      </c>
      <c r="G848" t="n">
        <v>1.4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61958-2020</t>
        </is>
      </c>
      <c r="B849" s="1" t="n">
        <v>44155</v>
      </c>
      <c r="C849" s="1" t="n">
        <v>45192</v>
      </c>
      <c r="D849" t="inlineStr">
        <is>
          <t>VÄSTERBOTTENS LÄN</t>
        </is>
      </c>
      <c r="E849" t="inlineStr">
        <is>
          <t>SKELLEFTEÅ</t>
        </is>
      </c>
      <c r="G849" t="n">
        <v>2.2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62158-2020</t>
        </is>
      </c>
      <c r="B850" s="1" t="n">
        <v>44159</v>
      </c>
      <c r="C850" s="1" t="n">
        <v>45192</v>
      </c>
      <c r="D850" t="inlineStr">
        <is>
          <t>VÄSTERBOTTENS LÄN</t>
        </is>
      </c>
      <c r="E850" t="inlineStr">
        <is>
          <t>SKELLEFTEÅ</t>
        </is>
      </c>
      <c r="F850" t="inlineStr">
        <is>
          <t>Sveaskog</t>
        </is>
      </c>
      <c r="G850" t="n">
        <v>14.7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62467-2020</t>
        </is>
      </c>
      <c r="B851" s="1" t="n">
        <v>44160</v>
      </c>
      <c r="C851" s="1" t="n">
        <v>45192</v>
      </c>
      <c r="D851" t="inlineStr">
        <is>
          <t>VÄSTERBOTTENS LÄN</t>
        </is>
      </c>
      <c r="E851" t="inlineStr">
        <is>
          <t>SKELLEFTEÅ</t>
        </is>
      </c>
      <c r="F851" t="inlineStr">
        <is>
          <t>Sveaskog</t>
        </is>
      </c>
      <c r="G851" t="n">
        <v>3.6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62763-2020</t>
        </is>
      </c>
      <c r="B852" s="1" t="n">
        <v>44160</v>
      </c>
      <c r="C852" s="1" t="n">
        <v>45192</v>
      </c>
      <c r="D852" t="inlineStr">
        <is>
          <t>VÄSTERBOTTENS LÄN</t>
        </is>
      </c>
      <c r="E852" t="inlineStr">
        <is>
          <t>SKELLEFTEÅ</t>
        </is>
      </c>
      <c r="G852" t="n">
        <v>1.1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62466-2020</t>
        </is>
      </c>
      <c r="B853" s="1" t="n">
        <v>44160</v>
      </c>
      <c r="C853" s="1" t="n">
        <v>45192</v>
      </c>
      <c r="D853" t="inlineStr">
        <is>
          <t>VÄSTERBOTTENS LÄN</t>
        </is>
      </c>
      <c r="E853" t="inlineStr">
        <is>
          <t>SKELLEFTEÅ</t>
        </is>
      </c>
      <c r="F853" t="inlineStr">
        <is>
          <t>Sveaskog</t>
        </is>
      </c>
      <c r="G853" t="n">
        <v>11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62592-2020</t>
        </is>
      </c>
      <c r="B854" s="1" t="n">
        <v>44161</v>
      </c>
      <c r="C854" s="1" t="n">
        <v>45192</v>
      </c>
      <c r="D854" t="inlineStr">
        <is>
          <t>VÄSTERBOTTENS LÄN</t>
        </is>
      </c>
      <c r="E854" t="inlineStr">
        <is>
          <t>SKELLEFTEÅ</t>
        </is>
      </c>
      <c r="G854" t="n">
        <v>0.7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63241-2020</t>
        </is>
      </c>
      <c r="B855" s="1" t="n">
        <v>44163</v>
      </c>
      <c r="C855" s="1" t="n">
        <v>45192</v>
      </c>
      <c r="D855" t="inlineStr">
        <is>
          <t>VÄSTERBOTTENS LÄN</t>
        </is>
      </c>
      <c r="E855" t="inlineStr">
        <is>
          <t>SKELLEFTEÅ</t>
        </is>
      </c>
      <c r="F855" t="inlineStr">
        <is>
          <t>Sveaskog</t>
        </is>
      </c>
      <c r="G855" t="n">
        <v>4.5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63839-2020</t>
        </is>
      </c>
      <c r="B856" s="1" t="n">
        <v>44165</v>
      </c>
      <c r="C856" s="1" t="n">
        <v>45192</v>
      </c>
      <c r="D856" t="inlineStr">
        <is>
          <t>VÄSTERBOTTENS LÄN</t>
        </is>
      </c>
      <c r="E856" t="inlineStr">
        <is>
          <t>SKELLEFTEÅ</t>
        </is>
      </c>
      <c r="G856" t="n">
        <v>1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64650-2020</t>
        </is>
      </c>
      <c r="B857" s="1" t="n">
        <v>44166</v>
      </c>
      <c r="C857" s="1" t="n">
        <v>45192</v>
      </c>
      <c r="D857" t="inlineStr">
        <is>
          <t>VÄSTERBOTTENS LÄN</t>
        </is>
      </c>
      <c r="E857" t="inlineStr">
        <is>
          <t>SKELLEFTEÅ</t>
        </is>
      </c>
      <c r="G857" t="n">
        <v>0.7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64198-2020</t>
        </is>
      </c>
      <c r="B858" s="1" t="n">
        <v>44167</v>
      </c>
      <c r="C858" s="1" t="n">
        <v>45192</v>
      </c>
      <c r="D858" t="inlineStr">
        <is>
          <t>VÄSTERBOTTENS LÄN</t>
        </is>
      </c>
      <c r="E858" t="inlineStr">
        <is>
          <t>SKELLEFTEÅ</t>
        </is>
      </c>
      <c r="F858" t="inlineStr">
        <is>
          <t>SCA</t>
        </is>
      </c>
      <c r="G858" t="n">
        <v>5.9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64977-2020</t>
        </is>
      </c>
      <c r="B859" s="1" t="n">
        <v>44167</v>
      </c>
      <c r="C859" s="1" t="n">
        <v>45192</v>
      </c>
      <c r="D859" t="inlineStr">
        <is>
          <t>VÄSTERBOTTENS LÄN</t>
        </is>
      </c>
      <c r="E859" t="inlineStr">
        <is>
          <t>SKELLEFTEÅ</t>
        </is>
      </c>
      <c r="G859" t="n">
        <v>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65096-2020</t>
        </is>
      </c>
      <c r="B860" s="1" t="n">
        <v>44167</v>
      </c>
      <c r="C860" s="1" t="n">
        <v>45192</v>
      </c>
      <c r="D860" t="inlineStr">
        <is>
          <t>VÄSTERBOTTENS LÄN</t>
        </is>
      </c>
      <c r="E860" t="inlineStr">
        <is>
          <t>SKELLEFTEÅ</t>
        </is>
      </c>
      <c r="G860" t="n">
        <v>3.2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65053-2020</t>
        </is>
      </c>
      <c r="B861" s="1" t="n">
        <v>44167</v>
      </c>
      <c r="C861" s="1" t="n">
        <v>45192</v>
      </c>
      <c r="D861" t="inlineStr">
        <is>
          <t>VÄSTERBOTTENS LÄN</t>
        </is>
      </c>
      <c r="E861" t="inlineStr">
        <is>
          <t>SKELLEFTEÅ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65103-2020</t>
        </is>
      </c>
      <c r="B862" s="1" t="n">
        <v>44167</v>
      </c>
      <c r="C862" s="1" t="n">
        <v>45192</v>
      </c>
      <c r="D862" t="inlineStr">
        <is>
          <t>VÄSTERBOTTENS LÄN</t>
        </is>
      </c>
      <c r="E862" t="inlineStr">
        <is>
          <t>SKELLEFTEÅ</t>
        </is>
      </c>
      <c r="G862" t="n">
        <v>0.6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64296-2020</t>
        </is>
      </c>
      <c r="B863" s="1" t="n">
        <v>44168</v>
      </c>
      <c r="C863" s="1" t="n">
        <v>45192</v>
      </c>
      <c r="D863" t="inlineStr">
        <is>
          <t>VÄSTERBOTTENS LÄN</t>
        </is>
      </c>
      <c r="E863" t="inlineStr">
        <is>
          <t>SKELLEFTEÅ</t>
        </is>
      </c>
      <c r="F863" t="inlineStr">
        <is>
          <t>Sveaskog</t>
        </is>
      </c>
      <c r="G863" t="n">
        <v>4.4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64481-2020</t>
        </is>
      </c>
      <c r="B864" s="1" t="n">
        <v>44168</v>
      </c>
      <c r="C864" s="1" t="n">
        <v>45192</v>
      </c>
      <c r="D864" t="inlineStr">
        <is>
          <t>VÄSTERBOTTENS LÄN</t>
        </is>
      </c>
      <c r="E864" t="inlineStr">
        <is>
          <t>SKELLEFTEÅ</t>
        </is>
      </c>
      <c r="G864" t="n">
        <v>0.6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64507-2020</t>
        </is>
      </c>
      <c r="B865" s="1" t="n">
        <v>44168</v>
      </c>
      <c r="C865" s="1" t="n">
        <v>45192</v>
      </c>
      <c r="D865" t="inlineStr">
        <is>
          <t>VÄSTERBOTTENS LÄN</t>
        </is>
      </c>
      <c r="E865" t="inlineStr">
        <is>
          <t>SKELLEFTEÅ</t>
        </is>
      </c>
      <c r="G865" t="n">
        <v>0.6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64485-2020</t>
        </is>
      </c>
      <c r="B866" s="1" t="n">
        <v>44168</v>
      </c>
      <c r="C866" s="1" t="n">
        <v>45192</v>
      </c>
      <c r="D866" t="inlineStr">
        <is>
          <t>VÄSTERBOTTENS LÄN</t>
        </is>
      </c>
      <c r="E866" t="inlineStr">
        <is>
          <t>SKELLEFTEÅ</t>
        </is>
      </c>
      <c r="G866" t="n">
        <v>35.4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65486-2020</t>
        </is>
      </c>
      <c r="B867" s="1" t="n">
        <v>44172</v>
      </c>
      <c r="C867" s="1" t="n">
        <v>45192</v>
      </c>
      <c r="D867" t="inlineStr">
        <is>
          <t>VÄSTERBOTTENS LÄN</t>
        </is>
      </c>
      <c r="E867" t="inlineStr">
        <is>
          <t>SKELLEFTEÅ</t>
        </is>
      </c>
      <c r="G867" t="n">
        <v>2.8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65254-2020</t>
        </is>
      </c>
      <c r="B868" s="1" t="n">
        <v>44172</v>
      </c>
      <c r="C868" s="1" t="n">
        <v>45192</v>
      </c>
      <c r="D868" t="inlineStr">
        <is>
          <t>VÄSTERBOTTENS LÄN</t>
        </is>
      </c>
      <c r="E868" t="inlineStr">
        <is>
          <t>SKELLEFTEÅ</t>
        </is>
      </c>
      <c r="G868" t="n">
        <v>2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65582-2020</t>
        </is>
      </c>
      <c r="B869" s="1" t="n">
        <v>44172</v>
      </c>
      <c r="C869" s="1" t="n">
        <v>45192</v>
      </c>
      <c r="D869" t="inlineStr">
        <is>
          <t>VÄSTERBOTTENS LÄN</t>
        </is>
      </c>
      <c r="E869" t="inlineStr">
        <is>
          <t>SKELLEFTEÅ</t>
        </is>
      </c>
      <c r="G869" t="n">
        <v>1.2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65384-2020</t>
        </is>
      </c>
      <c r="B870" s="1" t="n">
        <v>44173</v>
      </c>
      <c r="C870" s="1" t="n">
        <v>45192</v>
      </c>
      <c r="D870" t="inlineStr">
        <is>
          <t>VÄSTERBOTTENS LÄN</t>
        </is>
      </c>
      <c r="E870" t="inlineStr">
        <is>
          <t>SKELLEFTEÅ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65567-2020</t>
        </is>
      </c>
      <c r="B871" s="1" t="n">
        <v>44173</v>
      </c>
      <c r="C871" s="1" t="n">
        <v>45192</v>
      </c>
      <c r="D871" t="inlineStr">
        <is>
          <t>VÄSTERBOTTENS LÄN</t>
        </is>
      </c>
      <c r="E871" t="inlineStr">
        <is>
          <t>SKELLEFTEÅ</t>
        </is>
      </c>
      <c r="F871" t="inlineStr">
        <is>
          <t>Sveaskog</t>
        </is>
      </c>
      <c r="G871" t="n">
        <v>17.7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65382-2020</t>
        </is>
      </c>
      <c r="B872" s="1" t="n">
        <v>44173</v>
      </c>
      <c r="C872" s="1" t="n">
        <v>45192</v>
      </c>
      <c r="D872" t="inlineStr">
        <is>
          <t>VÄSTERBOTTENS LÄN</t>
        </is>
      </c>
      <c r="E872" t="inlineStr">
        <is>
          <t>SKELLEFTEÅ</t>
        </is>
      </c>
      <c r="G872" t="n">
        <v>1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66061-2020</t>
        </is>
      </c>
      <c r="B873" s="1" t="n">
        <v>44173</v>
      </c>
      <c r="C873" s="1" t="n">
        <v>45192</v>
      </c>
      <c r="D873" t="inlineStr">
        <is>
          <t>VÄSTERBOTTENS LÄN</t>
        </is>
      </c>
      <c r="E873" t="inlineStr">
        <is>
          <t>SKELLEFTEÅ</t>
        </is>
      </c>
      <c r="G873" t="n">
        <v>5.8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65379-2020</t>
        </is>
      </c>
      <c r="B874" s="1" t="n">
        <v>44173</v>
      </c>
      <c r="C874" s="1" t="n">
        <v>45192</v>
      </c>
      <c r="D874" t="inlineStr">
        <is>
          <t>VÄSTERBOTTENS LÄN</t>
        </is>
      </c>
      <c r="E874" t="inlineStr">
        <is>
          <t>SKELLEFTEÅ</t>
        </is>
      </c>
      <c r="G874" t="n">
        <v>0.6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66480-2020</t>
        </is>
      </c>
      <c r="B875" s="1" t="n">
        <v>44177</v>
      </c>
      <c r="C875" s="1" t="n">
        <v>45192</v>
      </c>
      <c r="D875" t="inlineStr">
        <is>
          <t>VÄSTERBOTTENS LÄN</t>
        </is>
      </c>
      <c r="E875" t="inlineStr">
        <is>
          <t>SKELLEFTEÅ</t>
        </is>
      </c>
      <c r="G875" t="n">
        <v>5.2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66820-2020</t>
        </is>
      </c>
      <c r="B876" s="1" t="n">
        <v>44179</v>
      </c>
      <c r="C876" s="1" t="n">
        <v>45192</v>
      </c>
      <c r="D876" t="inlineStr">
        <is>
          <t>VÄSTERBOTTENS LÄN</t>
        </is>
      </c>
      <c r="E876" t="inlineStr">
        <is>
          <t>SKELLEFTEÅ</t>
        </is>
      </c>
      <c r="G876" t="n">
        <v>1.2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67624-2020</t>
        </is>
      </c>
      <c r="B877" s="1" t="n">
        <v>44181</v>
      </c>
      <c r="C877" s="1" t="n">
        <v>45192</v>
      </c>
      <c r="D877" t="inlineStr">
        <is>
          <t>VÄSTERBOTTENS LÄN</t>
        </is>
      </c>
      <c r="E877" t="inlineStr">
        <is>
          <t>SKELLEFTEÅ</t>
        </is>
      </c>
      <c r="F877" t="inlineStr">
        <is>
          <t>Sveaskog</t>
        </is>
      </c>
      <c r="G877" t="n">
        <v>21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67297-2020</t>
        </is>
      </c>
      <c r="B878" s="1" t="n">
        <v>44181</v>
      </c>
      <c r="C878" s="1" t="n">
        <v>45192</v>
      </c>
      <c r="D878" t="inlineStr">
        <is>
          <t>VÄSTERBOTTENS LÄN</t>
        </is>
      </c>
      <c r="E878" t="inlineStr">
        <is>
          <t>SKELLEFTEÅ</t>
        </is>
      </c>
      <c r="G878" t="n">
        <v>6.8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67678-2020</t>
        </is>
      </c>
      <c r="B879" s="1" t="n">
        <v>44182</v>
      </c>
      <c r="C879" s="1" t="n">
        <v>45192</v>
      </c>
      <c r="D879" t="inlineStr">
        <is>
          <t>VÄSTERBOTTENS LÄN</t>
        </is>
      </c>
      <c r="E879" t="inlineStr">
        <is>
          <t>SKELLEFTEÅ</t>
        </is>
      </c>
      <c r="G879" t="n">
        <v>2.3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67976-2020</t>
        </is>
      </c>
      <c r="B880" s="1" t="n">
        <v>44182</v>
      </c>
      <c r="C880" s="1" t="n">
        <v>45192</v>
      </c>
      <c r="D880" t="inlineStr">
        <is>
          <t>VÄSTERBOTTENS LÄN</t>
        </is>
      </c>
      <c r="E880" t="inlineStr">
        <is>
          <t>SKELLEFTEÅ</t>
        </is>
      </c>
      <c r="F880" t="inlineStr">
        <is>
          <t>Holmen skog AB</t>
        </is>
      </c>
      <c r="G880" t="n">
        <v>2.3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68104-2020</t>
        </is>
      </c>
      <c r="B881" s="1" t="n">
        <v>44183</v>
      </c>
      <c r="C881" s="1" t="n">
        <v>45192</v>
      </c>
      <c r="D881" t="inlineStr">
        <is>
          <t>VÄSTERBOTTENS LÄN</t>
        </is>
      </c>
      <c r="E881" t="inlineStr">
        <is>
          <t>SKELLEFTEÅ</t>
        </is>
      </c>
      <c r="F881" t="inlineStr">
        <is>
          <t>Sveaskog</t>
        </is>
      </c>
      <c r="G881" t="n">
        <v>4.7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68203-2020</t>
        </is>
      </c>
      <c r="B882" s="1" t="n">
        <v>44183</v>
      </c>
      <c r="C882" s="1" t="n">
        <v>45192</v>
      </c>
      <c r="D882" t="inlineStr">
        <is>
          <t>VÄSTERBOTTENS LÄN</t>
        </is>
      </c>
      <c r="E882" t="inlineStr">
        <is>
          <t>SKELLEFTEÅ</t>
        </is>
      </c>
      <c r="F882" t="inlineStr">
        <is>
          <t>Sveaskog</t>
        </is>
      </c>
      <c r="G882" t="n">
        <v>12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68116-2020</t>
        </is>
      </c>
      <c r="B883" s="1" t="n">
        <v>44183</v>
      </c>
      <c r="C883" s="1" t="n">
        <v>45192</v>
      </c>
      <c r="D883" t="inlineStr">
        <is>
          <t>VÄSTERBOTTENS LÄN</t>
        </is>
      </c>
      <c r="E883" t="inlineStr">
        <is>
          <t>SKELLEFTEÅ</t>
        </is>
      </c>
      <c r="F883" t="inlineStr">
        <is>
          <t>Sveaskog</t>
        </is>
      </c>
      <c r="G883" t="n">
        <v>5.5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68055-2020</t>
        </is>
      </c>
      <c r="B884" s="1" t="n">
        <v>44183</v>
      </c>
      <c r="C884" s="1" t="n">
        <v>45192</v>
      </c>
      <c r="D884" t="inlineStr">
        <is>
          <t>VÄSTERBOTTENS LÄN</t>
        </is>
      </c>
      <c r="E884" t="inlineStr">
        <is>
          <t>SKELLEFTEÅ</t>
        </is>
      </c>
      <c r="F884" t="inlineStr">
        <is>
          <t>Sveaskog</t>
        </is>
      </c>
      <c r="G884" t="n">
        <v>1.9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68169-2020</t>
        </is>
      </c>
      <c r="B885" s="1" t="n">
        <v>44183</v>
      </c>
      <c r="C885" s="1" t="n">
        <v>45192</v>
      </c>
      <c r="D885" t="inlineStr">
        <is>
          <t>VÄSTERBOTTENS LÄN</t>
        </is>
      </c>
      <c r="E885" t="inlineStr">
        <is>
          <t>SKELLEFTEÅ</t>
        </is>
      </c>
      <c r="F885" t="inlineStr">
        <is>
          <t>Sveaskog</t>
        </is>
      </c>
      <c r="G885" t="n">
        <v>7.6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68564-2020</t>
        </is>
      </c>
      <c r="B886" s="1" t="n">
        <v>44186</v>
      </c>
      <c r="C886" s="1" t="n">
        <v>45192</v>
      </c>
      <c r="D886" t="inlineStr">
        <is>
          <t>VÄSTERBOTTENS LÄN</t>
        </is>
      </c>
      <c r="E886" t="inlineStr">
        <is>
          <t>SKELLEFTEÅ</t>
        </is>
      </c>
      <c r="G886" t="n">
        <v>11.4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69585-2020</t>
        </is>
      </c>
      <c r="B887" s="1" t="n">
        <v>44195</v>
      </c>
      <c r="C887" s="1" t="n">
        <v>45192</v>
      </c>
      <c r="D887" t="inlineStr">
        <is>
          <t>VÄSTERBOTTENS LÄN</t>
        </is>
      </c>
      <c r="E887" t="inlineStr">
        <is>
          <t>SKELLEFTEÅ</t>
        </is>
      </c>
      <c r="G887" t="n">
        <v>4.5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69583-2020</t>
        </is>
      </c>
      <c r="B888" s="1" t="n">
        <v>44195</v>
      </c>
      <c r="C888" s="1" t="n">
        <v>45192</v>
      </c>
      <c r="D888" t="inlineStr">
        <is>
          <t>VÄSTERBOTTENS LÄN</t>
        </is>
      </c>
      <c r="E888" t="inlineStr">
        <is>
          <t>SKELLEFTEÅ</t>
        </is>
      </c>
      <c r="G888" t="n">
        <v>2.1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69581-2020</t>
        </is>
      </c>
      <c r="B889" s="1" t="n">
        <v>44195</v>
      </c>
      <c r="C889" s="1" t="n">
        <v>45192</v>
      </c>
      <c r="D889" t="inlineStr">
        <is>
          <t>VÄSTERBOTTENS LÄN</t>
        </is>
      </c>
      <c r="E889" t="inlineStr">
        <is>
          <t>SKELLEFTEÅ</t>
        </is>
      </c>
      <c r="G889" t="n">
        <v>2.7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353-2021</t>
        </is>
      </c>
      <c r="B890" s="1" t="n">
        <v>44201</v>
      </c>
      <c r="C890" s="1" t="n">
        <v>45192</v>
      </c>
      <c r="D890" t="inlineStr">
        <is>
          <t>VÄSTERBOTTENS LÄN</t>
        </is>
      </c>
      <c r="E890" t="inlineStr">
        <is>
          <t>SKELLEFTEÅ</t>
        </is>
      </c>
      <c r="G890" t="n">
        <v>37.7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1149-2021</t>
        </is>
      </c>
      <c r="B891" s="1" t="n">
        <v>44207</v>
      </c>
      <c r="C891" s="1" t="n">
        <v>45192</v>
      </c>
      <c r="D891" t="inlineStr">
        <is>
          <t>VÄSTERBOTTENS LÄN</t>
        </is>
      </c>
      <c r="E891" t="inlineStr">
        <is>
          <t>SKELLEFTEÅ</t>
        </is>
      </c>
      <c r="G891" t="n">
        <v>3.1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1140-2021</t>
        </is>
      </c>
      <c r="B892" s="1" t="n">
        <v>44207</v>
      </c>
      <c r="C892" s="1" t="n">
        <v>45192</v>
      </c>
      <c r="D892" t="inlineStr">
        <is>
          <t>VÄSTERBOTTENS LÄN</t>
        </is>
      </c>
      <c r="E892" t="inlineStr">
        <is>
          <t>SKELLEFTEÅ</t>
        </is>
      </c>
      <c r="G892" t="n">
        <v>8.699999999999999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1076-2021</t>
        </is>
      </c>
      <c r="B893" s="1" t="n">
        <v>44207</v>
      </c>
      <c r="C893" s="1" t="n">
        <v>45192</v>
      </c>
      <c r="D893" t="inlineStr">
        <is>
          <t>VÄSTERBOTTENS LÄN</t>
        </is>
      </c>
      <c r="E893" t="inlineStr">
        <is>
          <t>SKELLEFTEÅ</t>
        </is>
      </c>
      <c r="F893" t="inlineStr">
        <is>
          <t>Holmen skog AB</t>
        </is>
      </c>
      <c r="G893" t="n">
        <v>3.4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1891-2021</t>
        </is>
      </c>
      <c r="B894" s="1" t="n">
        <v>44210</v>
      </c>
      <c r="C894" s="1" t="n">
        <v>45192</v>
      </c>
      <c r="D894" t="inlineStr">
        <is>
          <t>VÄSTERBOTTENS LÄN</t>
        </is>
      </c>
      <c r="E894" t="inlineStr">
        <is>
          <t>SKELLEFTEÅ</t>
        </is>
      </c>
      <c r="G894" t="n">
        <v>0.6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2575-2021</t>
        </is>
      </c>
      <c r="B895" s="1" t="n">
        <v>44214</v>
      </c>
      <c r="C895" s="1" t="n">
        <v>45192</v>
      </c>
      <c r="D895" t="inlineStr">
        <is>
          <t>VÄSTERBOTTENS LÄN</t>
        </is>
      </c>
      <c r="E895" t="inlineStr">
        <is>
          <t>SKELLEFTEÅ</t>
        </is>
      </c>
      <c r="G895" t="n">
        <v>1.6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3031-2021</t>
        </is>
      </c>
      <c r="B896" s="1" t="n">
        <v>44216</v>
      </c>
      <c r="C896" s="1" t="n">
        <v>45192</v>
      </c>
      <c r="D896" t="inlineStr">
        <is>
          <t>VÄSTERBOTTENS LÄN</t>
        </is>
      </c>
      <c r="E896" t="inlineStr">
        <is>
          <t>SKELLEFTEÅ</t>
        </is>
      </c>
      <c r="G896" t="n">
        <v>1.1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3844-2021</t>
        </is>
      </c>
      <c r="B897" s="1" t="n">
        <v>44216</v>
      </c>
      <c r="C897" s="1" t="n">
        <v>45192</v>
      </c>
      <c r="D897" t="inlineStr">
        <is>
          <t>VÄSTERBOTTENS LÄN</t>
        </is>
      </c>
      <c r="E897" t="inlineStr">
        <is>
          <t>SKELLEFTEÅ</t>
        </is>
      </c>
      <c r="G897" t="n">
        <v>3.7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3951-2021</t>
        </is>
      </c>
      <c r="B898" s="1" t="n">
        <v>44217</v>
      </c>
      <c r="C898" s="1" t="n">
        <v>45192</v>
      </c>
      <c r="D898" t="inlineStr">
        <is>
          <t>VÄSTERBOTTENS LÄN</t>
        </is>
      </c>
      <c r="E898" t="inlineStr">
        <is>
          <t>SKELLEFTEÅ</t>
        </is>
      </c>
      <c r="G898" t="n">
        <v>1.9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4202-2021</t>
        </is>
      </c>
      <c r="B899" s="1" t="n">
        <v>44218</v>
      </c>
      <c r="C899" s="1" t="n">
        <v>45192</v>
      </c>
      <c r="D899" t="inlineStr">
        <is>
          <t>VÄSTERBOTTENS LÄN</t>
        </is>
      </c>
      <c r="E899" t="inlineStr">
        <is>
          <t>SKELLEFTEÅ</t>
        </is>
      </c>
      <c r="G899" t="n">
        <v>2.2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3575-2021</t>
        </is>
      </c>
      <c r="B900" s="1" t="n">
        <v>44218</v>
      </c>
      <c r="C900" s="1" t="n">
        <v>45192</v>
      </c>
      <c r="D900" t="inlineStr">
        <is>
          <t>VÄSTERBOTTENS LÄN</t>
        </is>
      </c>
      <c r="E900" t="inlineStr">
        <is>
          <t>SKELLEFTEÅ</t>
        </is>
      </c>
      <c r="G900" t="n">
        <v>1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3934-2021</t>
        </is>
      </c>
      <c r="B901" s="1" t="n">
        <v>44221</v>
      </c>
      <c r="C901" s="1" t="n">
        <v>45192</v>
      </c>
      <c r="D901" t="inlineStr">
        <is>
          <t>VÄSTERBOTTENS LÄN</t>
        </is>
      </c>
      <c r="E901" t="inlineStr">
        <is>
          <t>SKELLEFTEÅ</t>
        </is>
      </c>
      <c r="G901" t="n">
        <v>2.5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4299-2021</t>
        </is>
      </c>
      <c r="B902" s="1" t="n">
        <v>44223</v>
      </c>
      <c r="C902" s="1" t="n">
        <v>45192</v>
      </c>
      <c r="D902" t="inlineStr">
        <is>
          <t>VÄSTERBOTTENS LÄN</t>
        </is>
      </c>
      <c r="E902" t="inlineStr">
        <is>
          <t>SKELLEFTEÅ</t>
        </is>
      </c>
      <c r="G902" t="n">
        <v>1.1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5095-2021</t>
        </is>
      </c>
      <c r="B903" s="1" t="n">
        <v>44224</v>
      </c>
      <c r="C903" s="1" t="n">
        <v>45192</v>
      </c>
      <c r="D903" t="inlineStr">
        <is>
          <t>VÄSTERBOTTENS LÄN</t>
        </is>
      </c>
      <c r="E903" t="inlineStr">
        <is>
          <t>SKELLEFTEÅ</t>
        </is>
      </c>
      <c r="G903" t="n">
        <v>5.6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5143-2021</t>
        </is>
      </c>
      <c r="B904" s="1" t="n">
        <v>44228</v>
      </c>
      <c r="C904" s="1" t="n">
        <v>45192</v>
      </c>
      <c r="D904" t="inlineStr">
        <is>
          <t>VÄSTERBOTTENS LÄN</t>
        </is>
      </c>
      <c r="E904" t="inlineStr">
        <is>
          <t>SKELLEFTEÅ</t>
        </is>
      </c>
      <c r="G904" t="n">
        <v>5.3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5603-2021</t>
        </is>
      </c>
      <c r="B905" s="1" t="n">
        <v>44230</v>
      </c>
      <c r="C905" s="1" t="n">
        <v>45192</v>
      </c>
      <c r="D905" t="inlineStr">
        <is>
          <t>VÄSTERBOTTENS LÄN</t>
        </is>
      </c>
      <c r="E905" t="inlineStr">
        <is>
          <t>SKELLEFTEÅ</t>
        </is>
      </c>
      <c r="G905" t="n">
        <v>2.6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6356-2021</t>
        </is>
      </c>
      <c r="B906" s="1" t="n">
        <v>44235</v>
      </c>
      <c r="C906" s="1" t="n">
        <v>45192</v>
      </c>
      <c r="D906" t="inlineStr">
        <is>
          <t>VÄSTERBOTTENS LÄN</t>
        </is>
      </c>
      <c r="E906" t="inlineStr">
        <is>
          <t>SKELLEFTEÅ</t>
        </is>
      </c>
      <c r="G906" t="n">
        <v>1.9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6557-2021</t>
        </is>
      </c>
      <c r="B907" s="1" t="n">
        <v>44236</v>
      </c>
      <c r="C907" s="1" t="n">
        <v>45192</v>
      </c>
      <c r="D907" t="inlineStr">
        <is>
          <t>VÄSTERBOTTENS LÄN</t>
        </is>
      </c>
      <c r="E907" t="inlineStr">
        <is>
          <t>SKELLEFTEÅ</t>
        </is>
      </c>
      <c r="G907" t="n">
        <v>6.4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6635-2021</t>
        </is>
      </c>
      <c r="B908" s="1" t="n">
        <v>44236</v>
      </c>
      <c r="C908" s="1" t="n">
        <v>45192</v>
      </c>
      <c r="D908" t="inlineStr">
        <is>
          <t>VÄSTERBOTTENS LÄN</t>
        </is>
      </c>
      <c r="E908" t="inlineStr">
        <is>
          <t>SKELLEFTEÅ</t>
        </is>
      </c>
      <c r="G908" t="n">
        <v>3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7034-2021</t>
        </is>
      </c>
      <c r="B909" s="1" t="n">
        <v>44237</v>
      </c>
      <c r="C909" s="1" t="n">
        <v>45192</v>
      </c>
      <c r="D909" t="inlineStr">
        <is>
          <t>VÄSTERBOTTENS LÄN</t>
        </is>
      </c>
      <c r="E909" t="inlineStr">
        <is>
          <t>SKELLEFTEÅ</t>
        </is>
      </c>
      <c r="G909" t="n">
        <v>10.1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7038-2021</t>
        </is>
      </c>
      <c r="B910" s="1" t="n">
        <v>44237</v>
      </c>
      <c r="C910" s="1" t="n">
        <v>45192</v>
      </c>
      <c r="D910" t="inlineStr">
        <is>
          <t>VÄSTERBOTTENS LÄN</t>
        </is>
      </c>
      <c r="E910" t="inlineStr">
        <is>
          <t>SKELLEFTEÅ</t>
        </is>
      </c>
      <c r="G910" t="n">
        <v>1.1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7607-2021</t>
        </is>
      </c>
      <c r="B911" s="1" t="n">
        <v>44242</v>
      </c>
      <c r="C911" s="1" t="n">
        <v>45192</v>
      </c>
      <c r="D911" t="inlineStr">
        <is>
          <t>VÄSTERBOTTENS LÄN</t>
        </is>
      </c>
      <c r="E911" t="inlineStr">
        <is>
          <t>SKELLEFTEÅ</t>
        </is>
      </c>
      <c r="G911" t="n">
        <v>2.3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7950-2021</t>
        </is>
      </c>
      <c r="B912" s="1" t="n">
        <v>44242</v>
      </c>
      <c r="C912" s="1" t="n">
        <v>45192</v>
      </c>
      <c r="D912" t="inlineStr">
        <is>
          <t>VÄSTERBOTTENS LÄN</t>
        </is>
      </c>
      <c r="E912" t="inlineStr">
        <is>
          <t>SKELLEFTEÅ</t>
        </is>
      </c>
      <c r="G912" t="n">
        <v>1.7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7823-2021</t>
        </is>
      </c>
      <c r="B913" s="1" t="n">
        <v>44242</v>
      </c>
      <c r="C913" s="1" t="n">
        <v>45192</v>
      </c>
      <c r="D913" t="inlineStr">
        <is>
          <t>VÄSTERBOTTENS LÄN</t>
        </is>
      </c>
      <c r="E913" t="inlineStr">
        <is>
          <t>SKELLEFTEÅ</t>
        </is>
      </c>
      <c r="G913" t="n">
        <v>1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8648-2021</t>
        </is>
      </c>
      <c r="B914" s="1" t="n">
        <v>44245</v>
      </c>
      <c r="C914" s="1" t="n">
        <v>45192</v>
      </c>
      <c r="D914" t="inlineStr">
        <is>
          <t>VÄSTERBOTTENS LÄN</t>
        </is>
      </c>
      <c r="E914" t="inlineStr">
        <is>
          <t>SKELLEFTEÅ</t>
        </is>
      </c>
      <c r="F914" t="inlineStr">
        <is>
          <t>SCA</t>
        </is>
      </c>
      <c r="G914" t="n">
        <v>1.7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8911-2021</t>
        </is>
      </c>
      <c r="B915" s="1" t="n">
        <v>44245</v>
      </c>
      <c r="C915" s="1" t="n">
        <v>45192</v>
      </c>
      <c r="D915" t="inlineStr">
        <is>
          <t>VÄSTERBOTTENS LÄN</t>
        </is>
      </c>
      <c r="E915" t="inlineStr">
        <is>
          <t>SKELLEFTEÅ</t>
        </is>
      </c>
      <c r="G915" t="n">
        <v>4.5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8652-2021</t>
        </is>
      </c>
      <c r="B916" s="1" t="n">
        <v>44245</v>
      </c>
      <c r="C916" s="1" t="n">
        <v>45192</v>
      </c>
      <c r="D916" t="inlineStr">
        <is>
          <t>VÄSTERBOTTENS LÄN</t>
        </is>
      </c>
      <c r="E916" t="inlineStr">
        <is>
          <t>SKELLEFTEÅ</t>
        </is>
      </c>
      <c r="F916" t="inlineStr">
        <is>
          <t>SCA</t>
        </is>
      </c>
      <c r="G916" t="n">
        <v>0.6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8644-2021</t>
        </is>
      </c>
      <c r="B917" s="1" t="n">
        <v>44245</v>
      </c>
      <c r="C917" s="1" t="n">
        <v>45192</v>
      </c>
      <c r="D917" t="inlineStr">
        <is>
          <t>VÄSTERBOTTENS LÄN</t>
        </is>
      </c>
      <c r="E917" t="inlineStr">
        <is>
          <t>SKELLEFTEÅ</t>
        </is>
      </c>
      <c r="F917" t="inlineStr">
        <is>
          <t>SCA</t>
        </is>
      </c>
      <c r="G917" t="n">
        <v>3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8846-2021</t>
        </is>
      </c>
      <c r="B918" s="1" t="n">
        <v>44246</v>
      </c>
      <c r="C918" s="1" t="n">
        <v>45192</v>
      </c>
      <c r="D918" t="inlineStr">
        <is>
          <t>VÄSTERBOTTENS LÄN</t>
        </is>
      </c>
      <c r="E918" t="inlineStr">
        <is>
          <t>SKELLEFTEÅ</t>
        </is>
      </c>
      <c r="F918" t="inlineStr">
        <is>
          <t>SCA</t>
        </is>
      </c>
      <c r="G918" t="n">
        <v>4.5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9081-2021</t>
        </is>
      </c>
      <c r="B919" s="1" t="n">
        <v>44249</v>
      </c>
      <c r="C919" s="1" t="n">
        <v>45192</v>
      </c>
      <c r="D919" t="inlineStr">
        <is>
          <t>VÄSTERBOTTENS LÄN</t>
        </is>
      </c>
      <c r="E919" t="inlineStr">
        <is>
          <t>SKELLEFTEÅ</t>
        </is>
      </c>
      <c r="G919" t="n">
        <v>16.2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9192-2021</t>
        </is>
      </c>
      <c r="B920" s="1" t="n">
        <v>44249</v>
      </c>
      <c r="C920" s="1" t="n">
        <v>45192</v>
      </c>
      <c r="D920" t="inlineStr">
        <is>
          <t>VÄSTERBOTTENS LÄN</t>
        </is>
      </c>
      <c r="E920" t="inlineStr">
        <is>
          <t>SKELLEFTEÅ</t>
        </is>
      </c>
      <c r="G920" t="n">
        <v>2.1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9035-2021</t>
        </is>
      </c>
      <c r="B921" s="1" t="n">
        <v>44249</v>
      </c>
      <c r="C921" s="1" t="n">
        <v>45192</v>
      </c>
      <c r="D921" t="inlineStr">
        <is>
          <t>VÄSTERBOTTENS LÄN</t>
        </is>
      </c>
      <c r="E921" t="inlineStr">
        <is>
          <t>SKELLEFTEÅ</t>
        </is>
      </c>
      <c r="G921" t="n">
        <v>6.7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9051-2021</t>
        </is>
      </c>
      <c r="B922" s="1" t="n">
        <v>44249</v>
      </c>
      <c r="C922" s="1" t="n">
        <v>45192</v>
      </c>
      <c r="D922" t="inlineStr">
        <is>
          <t>VÄSTERBOTTENS LÄN</t>
        </is>
      </c>
      <c r="E922" t="inlineStr">
        <is>
          <t>SKELLEFTEÅ</t>
        </is>
      </c>
      <c r="G922" t="n">
        <v>5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9090-2021</t>
        </is>
      </c>
      <c r="B923" s="1" t="n">
        <v>44249</v>
      </c>
      <c r="C923" s="1" t="n">
        <v>45192</v>
      </c>
      <c r="D923" t="inlineStr">
        <is>
          <t>VÄSTERBOTTENS LÄN</t>
        </is>
      </c>
      <c r="E923" t="inlineStr">
        <is>
          <t>SKELLEFTEÅ</t>
        </is>
      </c>
      <c r="G923" t="n">
        <v>10.8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9045-2021</t>
        </is>
      </c>
      <c r="B924" s="1" t="n">
        <v>44249</v>
      </c>
      <c r="C924" s="1" t="n">
        <v>45192</v>
      </c>
      <c r="D924" t="inlineStr">
        <is>
          <t>VÄSTERBOTTENS LÄN</t>
        </is>
      </c>
      <c r="E924" t="inlineStr">
        <is>
          <t>SKELLEFTEÅ</t>
        </is>
      </c>
      <c r="G924" t="n">
        <v>3.8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9059-2021</t>
        </is>
      </c>
      <c r="B925" s="1" t="n">
        <v>44249</v>
      </c>
      <c r="C925" s="1" t="n">
        <v>45192</v>
      </c>
      <c r="D925" t="inlineStr">
        <is>
          <t>VÄSTERBOTTENS LÄN</t>
        </is>
      </c>
      <c r="E925" t="inlineStr">
        <is>
          <t>SKELLEFTEÅ</t>
        </is>
      </c>
      <c r="G925" t="n">
        <v>6.1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10051-2021</t>
        </is>
      </c>
      <c r="B926" s="1" t="n">
        <v>44256</v>
      </c>
      <c r="C926" s="1" t="n">
        <v>45192</v>
      </c>
      <c r="D926" t="inlineStr">
        <is>
          <t>VÄSTERBOTTENS LÄN</t>
        </is>
      </c>
      <c r="E926" t="inlineStr">
        <is>
          <t>SKELLEFTEÅ</t>
        </is>
      </c>
      <c r="G926" t="n">
        <v>1.6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10471-2021</t>
        </is>
      </c>
      <c r="B927" s="1" t="n">
        <v>44257</v>
      </c>
      <c r="C927" s="1" t="n">
        <v>45192</v>
      </c>
      <c r="D927" t="inlineStr">
        <is>
          <t>VÄSTERBOTTENS LÄN</t>
        </is>
      </c>
      <c r="E927" t="inlineStr">
        <is>
          <t>SKELLEFTEÅ</t>
        </is>
      </c>
      <c r="G927" t="n">
        <v>1.7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11087-2021</t>
        </is>
      </c>
      <c r="B928" s="1" t="n">
        <v>44259</v>
      </c>
      <c r="C928" s="1" t="n">
        <v>45192</v>
      </c>
      <c r="D928" t="inlineStr">
        <is>
          <t>VÄSTERBOTTENS LÄN</t>
        </is>
      </c>
      <c r="E928" t="inlineStr">
        <is>
          <t>SKELLEFTEÅ</t>
        </is>
      </c>
      <c r="G928" t="n">
        <v>4.6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11102-2021</t>
        </is>
      </c>
      <c r="B929" s="1" t="n">
        <v>44259</v>
      </c>
      <c r="C929" s="1" t="n">
        <v>45192</v>
      </c>
      <c r="D929" t="inlineStr">
        <is>
          <t>VÄSTERBOTTENS LÄN</t>
        </is>
      </c>
      <c r="E929" t="inlineStr">
        <is>
          <t>SKELLEFTEÅ</t>
        </is>
      </c>
      <c r="G929" t="n">
        <v>2.1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11409-2021</t>
        </is>
      </c>
      <c r="B930" s="1" t="n">
        <v>44263</v>
      </c>
      <c r="C930" s="1" t="n">
        <v>45192</v>
      </c>
      <c r="D930" t="inlineStr">
        <is>
          <t>VÄSTERBOTTENS LÄN</t>
        </is>
      </c>
      <c r="E930" t="inlineStr">
        <is>
          <t>SKELLEFTEÅ</t>
        </is>
      </c>
      <c r="G930" t="n">
        <v>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11454-2021</t>
        </is>
      </c>
      <c r="B931" s="1" t="n">
        <v>44264</v>
      </c>
      <c r="C931" s="1" t="n">
        <v>45192</v>
      </c>
      <c r="D931" t="inlineStr">
        <is>
          <t>VÄSTERBOTTENS LÄN</t>
        </is>
      </c>
      <c r="E931" t="inlineStr">
        <is>
          <t>SKELLEFTEÅ</t>
        </is>
      </c>
      <c r="G931" t="n">
        <v>14.6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12928-2021</t>
        </is>
      </c>
      <c r="B932" s="1" t="n">
        <v>44270</v>
      </c>
      <c r="C932" s="1" t="n">
        <v>45192</v>
      </c>
      <c r="D932" t="inlineStr">
        <is>
          <t>VÄSTERBOTTENS LÄN</t>
        </is>
      </c>
      <c r="E932" t="inlineStr">
        <is>
          <t>SKELLEFTEÅ</t>
        </is>
      </c>
      <c r="G932" t="n">
        <v>17.8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13086-2021</t>
        </is>
      </c>
      <c r="B933" s="1" t="n">
        <v>44271</v>
      </c>
      <c r="C933" s="1" t="n">
        <v>45192</v>
      </c>
      <c r="D933" t="inlineStr">
        <is>
          <t>VÄSTERBOTTENS LÄN</t>
        </is>
      </c>
      <c r="E933" t="inlineStr">
        <is>
          <t>SKELLEFTEÅ</t>
        </is>
      </c>
      <c r="G933" t="n">
        <v>1.5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13729-2021</t>
        </is>
      </c>
      <c r="B934" s="1" t="n">
        <v>44274</v>
      </c>
      <c r="C934" s="1" t="n">
        <v>45192</v>
      </c>
      <c r="D934" t="inlineStr">
        <is>
          <t>VÄSTERBOTTENS LÄN</t>
        </is>
      </c>
      <c r="E934" t="inlineStr">
        <is>
          <t>SKELLEFTEÅ</t>
        </is>
      </c>
      <c r="G934" t="n">
        <v>7.6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14865-2021</t>
        </is>
      </c>
      <c r="B935" s="1" t="n">
        <v>44280</v>
      </c>
      <c r="C935" s="1" t="n">
        <v>45192</v>
      </c>
      <c r="D935" t="inlineStr">
        <is>
          <t>VÄSTERBOTTENS LÄN</t>
        </is>
      </c>
      <c r="E935" t="inlineStr">
        <is>
          <t>SKELLEFTEÅ</t>
        </is>
      </c>
      <c r="F935" t="inlineStr">
        <is>
          <t>SCA</t>
        </is>
      </c>
      <c r="G935" t="n">
        <v>6.6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14850-2021</t>
        </is>
      </c>
      <c r="B936" s="1" t="n">
        <v>44280</v>
      </c>
      <c r="C936" s="1" t="n">
        <v>45192</v>
      </c>
      <c r="D936" t="inlineStr">
        <is>
          <t>VÄSTERBOTTENS LÄN</t>
        </is>
      </c>
      <c r="E936" t="inlineStr">
        <is>
          <t>SKELLEFTEÅ</t>
        </is>
      </c>
      <c r="F936" t="inlineStr">
        <is>
          <t>SCA</t>
        </is>
      </c>
      <c r="G936" t="n">
        <v>3.5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14857-2021</t>
        </is>
      </c>
      <c r="B937" s="1" t="n">
        <v>44280</v>
      </c>
      <c r="C937" s="1" t="n">
        <v>45192</v>
      </c>
      <c r="D937" t="inlineStr">
        <is>
          <t>VÄSTERBOTTENS LÄN</t>
        </is>
      </c>
      <c r="E937" t="inlineStr">
        <is>
          <t>SKELLEFTEÅ</t>
        </is>
      </c>
      <c r="F937" t="inlineStr">
        <is>
          <t>SCA</t>
        </is>
      </c>
      <c r="G937" t="n">
        <v>3.7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15108-2021</t>
        </is>
      </c>
      <c r="B938" s="1" t="n">
        <v>44281</v>
      </c>
      <c r="C938" s="1" t="n">
        <v>45192</v>
      </c>
      <c r="D938" t="inlineStr">
        <is>
          <t>VÄSTERBOTTENS LÄN</t>
        </is>
      </c>
      <c r="E938" t="inlineStr">
        <is>
          <t>SKELLEFTEÅ</t>
        </is>
      </c>
      <c r="F938" t="inlineStr">
        <is>
          <t>SCA</t>
        </is>
      </c>
      <c r="G938" t="n">
        <v>1.2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15459-2021</t>
        </is>
      </c>
      <c r="B939" s="1" t="n">
        <v>44284</v>
      </c>
      <c r="C939" s="1" t="n">
        <v>45192</v>
      </c>
      <c r="D939" t="inlineStr">
        <is>
          <t>VÄSTERBOTTENS LÄN</t>
        </is>
      </c>
      <c r="E939" t="inlineStr">
        <is>
          <t>SKELLEFTEÅ</t>
        </is>
      </c>
      <c r="G939" t="n">
        <v>2.5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18101-2021</t>
        </is>
      </c>
      <c r="B940" s="1" t="n">
        <v>44302</v>
      </c>
      <c r="C940" s="1" t="n">
        <v>45192</v>
      </c>
      <c r="D940" t="inlineStr">
        <is>
          <t>VÄSTERBOTTENS LÄN</t>
        </is>
      </c>
      <c r="E940" t="inlineStr">
        <is>
          <t>SKELLEFTEÅ</t>
        </is>
      </c>
      <c r="G940" t="n">
        <v>1.9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18104-2021</t>
        </is>
      </c>
      <c r="B941" s="1" t="n">
        <v>44302</v>
      </c>
      <c r="C941" s="1" t="n">
        <v>45192</v>
      </c>
      <c r="D941" t="inlineStr">
        <is>
          <t>VÄSTERBOTTENS LÄN</t>
        </is>
      </c>
      <c r="E941" t="inlineStr">
        <is>
          <t>SKELLEFTEÅ</t>
        </is>
      </c>
      <c r="G941" t="n">
        <v>3.8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18183-2021</t>
        </is>
      </c>
      <c r="B942" s="1" t="n">
        <v>44302</v>
      </c>
      <c r="C942" s="1" t="n">
        <v>45192</v>
      </c>
      <c r="D942" t="inlineStr">
        <is>
          <t>VÄSTERBOTTENS LÄN</t>
        </is>
      </c>
      <c r="E942" t="inlineStr">
        <is>
          <t>SKELLEFTEÅ</t>
        </is>
      </c>
      <c r="G942" t="n">
        <v>7.4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18182-2021</t>
        </is>
      </c>
      <c r="B943" s="1" t="n">
        <v>44302</v>
      </c>
      <c r="C943" s="1" t="n">
        <v>45192</v>
      </c>
      <c r="D943" t="inlineStr">
        <is>
          <t>VÄSTERBOTTENS LÄN</t>
        </is>
      </c>
      <c r="E943" t="inlineStr">
        <is>
          <t>SKELLEFTEÅ</t>
        </is>
      </c>
      <c r="G943" t="n">
        <v>1.2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18353-2021</t>
        </is>
      </c>
      <c r="B944" s="1" t="n">
        <v>44305</v>
      </c>
      <c r="C944" s="1" t="n">
        <v>45192</v>
      </c>
      <c r="D944" t="inlineStr">
        <is>
          <t>VÄSTERBOTTENS LÄN</t>
        </is>
      </c>
      <c r="E944" t="inlineStr">
        <is>
          <t>SKELLEFTEÅ</t>
        </is>
      </c>
      <c r="G944" t="n">
        <v>7.2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19538-2021</t>
        </is>
      </c>
      <c r="B945" s="1" t="n">
        <v>44309</v>
      </c>
      <c r="C945" s="1" t="n">
        <v>45192</v>
      </c>
      <c r="D945" t="inlineStr">
        <is>
          <t>VÄSTERBOTTENS LÄN</t>
        </is>
      </c>
      <c r="E945" t="inlineStr">
        <is>
          <t>SKELLEFTEÅ</t>
        </is>
      </c>
      <c r="G945" t="n">
        <v>2.3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19679-2021</t>
        </is>
      </c>
      <c r="B946" s="1" t="n">
        <v>44312</v>
      </c>
      <c r="C946" s="1" t="n">
        <v>45192</v>
      </c>
      <c r="D946" t="inlineStr">
        <is>
          <t>VÄSTERBOTTENS LÄN</t>
        </is>
      </c>
      <c r="E946" t="inlineStr">
        <is>
          <t>SKELLEFTEÅ</t>
        </is>
      </c>
      <c r="F946" t="inlineStr">
        <is>
          <t>Holmen skog AB</t>
        </is>
      </c>
      <c r="G946" t="n">
        <v>2.4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19748-2021</t>
        </is>
      </c>
      <c r="B947" s="1" t="n">
        <v>44312</v>
      </c>
      <c r="C947" s="1" t="n">
        <v>45192</v>
      </c>
      <c r="D947" t="inlineStr">
        <is>
          <t>VÄSTERBOTTENS LÄN</t>
        </is>
      </c>
      <c r="E947" t="inlineStr">
        <is>
          <t>SKELLEFTEÅ</t>
        </is>
      </c>
      <c r="G947" t="n">
        <v>0.9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20046-2021</t>
        </is>
      </c>
      <c r="B948" s="1" t="n">
        <v>44313</v>
      </c>
      <c r="C948" s="1" t="n">
        <v>45192</v>
      </c>
      <c r="D948" t="inlineStr">
        <is>
          <t>VÄSTERBOTTENS LÄN</t>
        </is>
      </c>
      <c r="E948" t="inlineStr">
        <is>
          <t>SKELLEFTEÅ</t>
        </is>
      </c>
      <c r="G948" t="n">
        <v>3.1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20051-2021</t>
        </is>
      </c>
      <c r="B949" s="1" t="n">
        <v>44313</v>
      </c>
      <c r="C949" s="1" t="n">
        <v>45192</v>
      </c>
      <c r="D949" t="inlineStr">
        <is>
          <t>VÄSTERBOTTENS LÄN</t>
        </is>
      </c>
      <c r="E949" t="inlineStr">
        <is>
          <t>SKELLEFTEÅ</t>
        </is>
      </c>
      <c r="G949" t="n">
        <v>5.5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20381-2021</t>
        </is>
      </c>
      <c r="B950" s="1" t="n">
        <v>44314</v>
      </c>
      <c r="C950" s="1" t="n">
        <v>45192</v>
      </c>
      <c r="D950" t="inlineStr">
        <is>
          <t>VÄSTERBOTTENS LÄN</t>
        </is>
      </c>
      <c r="E950" t="inlineStr">
        <is>
          <t>SKELLEFTEÅ</t>
        </is>
      </c>
      <c r="G950" t="n">
        <v>2.1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24606-2021</t>
        </is>
      </c>
      <c r="B951" s="1" t="n">
        <v>44319</v>
      </c>
      <c r="C951" s="1" t="n">
        <v>45192</v>
      </c>
      <c r="D951" t="inlineStr">
        <is>
          <t>VÄSTERBOTTENS LÄN</t>
        </is>
      </c>
      <c r="E951" t="inlineStr">
        <is>
          <t>SKELLEFTEÅ</t>
        </is>
      </c>
      <c r="G951" t="n">
        <v>2.4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20856-2021</t>
        </is>
      </c>
      <c r="B952" s="1" t="n">
        <v>44319</v>
      </c>
      <c r="C952" s="1" t="n">
        <v>45192</v>
      </c>
      <c r="D952" t="inlineStr">
        <is>
          <t>VÄSTERBOTTENS LÄN</t>
        </is>
      </c>
      <c r="E952" t="inlineStr">
        <is>
          <t>SKELLEFTEÅ</t>
        </is>
      </c>
      <c r="G952" t="n">
        <v>0.6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22067-2021</t>
        </is>
      </c>
      <c r="B953" s="1" t="n">
        <v>44322</v>
      </c>
      <c r="C953" s="1" t="n">
        <v>45192</v>
      </c>
      <c r="D953" t="inlineStr">
        <is>
          <t>VÄSTERBOTTENS LÄN</t>
        </is>
      </c>
      <c r="E953" t="inlineStr">
        <is>
          <t>SKELLEFTEÅ</t>
        </is>
      </c>
      <c r="G953" t="n">
        <v>10.7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22568-2021</t>
        </is>
      </c>
      <c r="B954" s="1" t="n">
        <v>44322</v>
      </c>
      <c r="C954" s="1" t="n">
        <v>45192</v>
      </c>
      <c r="D954" t="inlineStr">
        <is>
          <t>VÄSTERBOTTENS LÄN</t>
        </is>
      </c>
      <c r="E954" t="inlineStr">
        <is>
          <t>SKELLEFTEÅ</t>
        </is>
      </c>
      <c r="G954" t="n">
        <v>1.4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22626-2021</t>
        </is>
      </c>
      <c r="B955" s="1" t="n">
        <v>44326</v>
      </c>
      <c r="C955" s="1" t="n">
        <v>45192</v>
      </c>
      <c r="D955" t="inlineStr">
        <is>
          <t>VÄSTERBOTTENS LÄN</t>
        </is>
      </c>
      <c r="E955" t="inlineStr">
        <is>
          <t>SKELLEFTEÅ</t>
        </is>
      </c>
      <c r="G955" t="n">
        <v>8.4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23408-2021</t>
        </is>
      </c>
      <c r="B956" s="1" t="n">
        <v>44333</v>
      </c>
      <c r="C956" s="1" t="n">
        <v>45192</v>
      </c>
      <c r="D956" t="inlineStr">
        <is>
          <t>VÄSTERBOTTENS LÄN</t>
        </is>
      </c>
      <c r="E956" t="inlineStr">
        <is>
          <t>SKELLEFTEÅ</t>
        </is>
      </c>
      <c r="F956" t="inlineStr">
        <is>
          <t>Holmen skog AB</t>
        </is>
      </c>
      <c r="G956" t="n">
        <v>4.2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23801-2021</t>
        </is>
      </c>
      <c r="B957" s="1" t="n">
        <v>44334</v>
      </c>
      <c r="C957" s="1" t="n">
        <v>45192</v>
      </c>
      <c r="D957" t="inlineStr">
        <is>
          <t>VÄSTERBOTTENS LÄN</t>
        </is>
      </c>
      <c r="E957" t="inlineStr">
        <is>
          <t>SKELLEFTEÅ</t>
        </is>
      </c>
      <c r="G957" t="n">
        <v>2.8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23885-2021</t>
        </is>
      </c>
      <c r="B958" s="1" t="n">
        <v>44335</v>
      </c>
      <c r="C958" s="1" t="n">
        <v>45192</v>
      </c>
      <c r="D958" t="inlineStr">
        <is>
          <t>VÄSTERBOTTENS LÄN</t>
        </is>
      </c>
      <c r="E958" t="inlineStr">
        <is>
          <t>SKELLEFTEÅ</t>
        </is>
      </c>
      <c r="F958" t="inlineStr">
        <is>
          <t>Holmen skog AB</t>
        </is>
      </c>
      <c r="G958" t="n">
        <v>1.4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24653-2021</t>
        </is>
      </c>
      <c r="B959" s="1" t="n">
        <v>44340</v>
      </c>
      <c r="C959" s="1" t="n">
        <v>45192</v>
      </c>
      <c r="D959" t="inlineStr">
        <is>
          <t>VÄSTERBOTTENS LÄN</t>
        </is>
      </c>
      <c r="E959" t="inlineStr">
        <is>
          <t>SKELLEFTEÅ</t>
        </is>
      </c>
      <c r="G959" t="n">
        <v>6.7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25512-2021</t>
        </is>
      </c>
      <c r="B960" s="1" t="n">
        <v>44342</v>
      </c>
      <c r="C960" s="1" t="n">
        <v>45192</v>
      </c>
      <c r="D960" t="inlineStr">
        <is>
          <t>VÄSTERBOTTENS LÄN</t>
        </is>
      </c>
      <c r="E960" t="inlineStr">
        <is>
          <t>SKELLEFTEÅ</t>
        </is>
      </c>
      <c r="F960" t="inlineStr">
        <is>
          <t>SCA</t>
        </is>
      </c>
      <c r="G960" t="n">
        <v>6.4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25491-2021</t>
        </is>
      </c>
      <c r="B961" s="1" t="n">
        <v>44342</v>
      </c>
      <c r="C961" s="1" t="n">
        <v>45192</v>
      </c>
      <c r="D961" t="inlineStr">
        <is>
          <t>VÄSTERBOTTENS LÄN</t>
        </is>
      </c>
      <c r="E961" t="inlineStr">
        <is>
          <t>SKELLEFTEÅ</t>
        </is>
      </c>
      <c r="G961" t="n">
        <v>2.9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26473-2021</t>
        </is>
      </c>
      <c r="B962" s="1" t="n">
        <v>44348</v>
      </c>
      <c r="C962" s="1" t="n">
        <v>45192</v>
      </c>
      <c r="D962" t="inlineStr">
        <is>
          <t>VÄSTERBOTTENS LÄN</t>
        </is>
      </c>
      <c r="E962" t="inlineStr">
        <is>
          <t>SKELLEFTEÅ</t>
        </is>
      </c>
      <c r="G962" t="n">
        <v>0.3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26599-2021</t>
        </is>
      </c>
      <c r="B963" s="1" t="n">
        <v>44348</v>
      </c>
      <c r="C963" s="1" t="n">
        <v>45192</v>
      </c>
      <c r="D963" t="inlineStr">
        <is>
          <t>VÄSTERBOTTENS LÄN</t>
        </is>
      </c>
      <c r="E963" t="inlineStr">
        <is>
          <t>SKELLEFTEÅ</t>
        </is>
      </c>
      <c r="G963" t="n">
        <v>1.4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27444-2021</t>
        </is>
      </c>
      <c r="B964" s="1" t="n">
        <v>44351</v>
      </c>
      <c r="C964" s="1" t="n">
        <v>45192</v>
      </c>
      <c r="D964" t="inlineStr">
        <is>
          <t>VÄSTERBOTTENS LÄN</t>
        </is>
      </c>
      <c r="E964" t="inlineStr">
        <is>
          <t>SKELLEFTEÅ</t>
        </is>
      </c>
      <c r="G964" t="n">
        <v>0.9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28191-2021</t>
        </is>
      </c>
      <c r="B965" s="1" t="n">
        <v>44355</v>
      </c>
      <c r="C965" s="1" t="n">
        <v>45192</v>
      </c>
      <c r="D965" t="inlineStr">
        <is>
          <t>VÄSTERBOTTENS LÄN</t>
        </is>
      </c>
      <c r="E965" t="inlineStr">
        <is>
          <t>SKELLEFTEÅ</t>
        </is>
      </c>
      <c r="G965" t="n">
        <v>7.6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28244-2021</t>
        </is>
      </c>
      <c r="B966" s="1" t="n">
        <v>44355</v>
      </c>
      <c r="C966" s="1" t="n">
        <v>45192</v>
      </c>
      <c r="D966" t="inlineStr">
        <is>
          <t>VÄSTERBOTTENS LÄN</t>
        </is>
      </c>
      <c r="E966" t="inlineStr">
        <is>
          <t>SKELLEFTEÅ</t>
        </is>
      </c>
      <c r="F966" t="inlineStr">
        <is>
          <t>Holmen skog AB</t>
        </is>
      </c>
      <c r="G966" t="n">
        <v>1.5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28121-2021</t>
        </is>
      </c>
      <c r="B967" s="1" t="n">
        <v>44355</v>
      </c>
      <c r="C967" s="1" t="n">
        <v>45192</v>
      </c>
      <c r="D967" t="inlineStr">
        <is>
          <t>VÄSTERBOTTENS LÄN</t>
        </is>
      </c>
      <c r="E967" t="inlineStr">
        <is>
          <t>SKELLEFTEÅ</t>
        </is>
      </c>
      <c r="G967" t="n">
        <v>1.8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28525-2021</t>
        </is>
      </c>
      <c r="B968" s="1" t="n">
        <v>44356</v>
      </c>
      <c r="C968" s="1" t="n">
        <v>45192</v>
      </c>
      <c r="D968" t="inlineStr">
        <is>
          <t>VÄSTERBOTTENS LÄN</t>
        </is>
      </c>
      <c r="E968" t="inlineStr">
        <is>
          <t>SKELLEFTEÅ</t>
        </is>
      </c>
      <c r="F968" t="inlineStr">
        <is>
          <t>Kyrkan</t>
        </is>
      </c>
      <c r="G968" t="n">
        <v>2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28666-2021</t>
        </is>
      </c>
      <c r="B969" s="1" t="n">
        <v>44357</v>
      </c>
      <c r="C969" s="1" t="n">
        <v>45192</v>
      </c>
      <c r="D969" t="inlineStr">
        <is>
          <t>VÄSTERBOTTENS LÄN</t>
        </is>
      </c>
      <c r="E969" t="inlineStr">
        <is>
          <t>SKELLEFTEÅ</t>
        </is>
      </c>
      <c r="G969" t="n">
        <v>1.5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29115-2021</t>
        </is>
      </c>
      <c r="B970" s="1" t="n">
        <v>44358</v>
      </c>
      <c r="C970" s="1" t="n">
        <v>45192</v>
      </c>
      <c r="D970" t="inlineStr">
        <is>
          <t>VÄSTERBOTTENS LÄN</t>
        </is>
      </c>
      <c r="E970" t="inlineStr">
        <is>
          <t>SKELLEFTEÅ</t>
        </is>
      </c>
      <c r="G970" t="n">
        <v>4.4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29276-2021</t>
        </is>
      </c>
      <c r="B971" s="1" t="n">
        <v>44361</v>
      </c>
      <c r="C971" s="1" t="n">
        <v>45192</v>
      </c>
      <c r="D971" t="inlineStr">
        <is>
          <t>VÄSTERBOTTENS LÄN</t>
        </is>
      </c>
      <c r="E971" t="inlineStr">
        <is>
          <t>SKELLEFTEÅ</t>
        </is>
      </c>
      <c r="G971" t="n">
        <v>2.1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29319-2021</t>
        </is>
      </c>
      <c r="B972" s="1" t="n">
        <v>44361</v>
      </c>
      <c r="C972" s="1" t="n">
        <v>45192</v>
      </c>
      <c r="D972" t="inlineStr">
        <is>
          <t>VÄSTERBOTTENS LÄN</t>
        </is>
      </c>
      <c r="E972" t="inlineStr">
        <is>
          <t>SKELLEFTEÅ</t>
        </is>
      </c>
      <c r="G972" t="n">
        <v>3.5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29649-2021</t>
        </is>
      </c>
      <c r="B973" s="1" t="n">
        <v>44362</v>
      </c>
      <c r="C973" s="1" t="n">
        <v>45192</v>
      </c>
      <c r="D973" t="inlineStr">
        <is>
          <t>VÄSTERBOTTENS LÄN</t>
        </is>
      </c>
      <c r="E973" t="inlineStr">
        <is>
          <t>SKELLEFTEÅ</t>
        </is>
      </c>
      <c r="G973" t="n">
        <v>1.7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29731-2021</t>
        </is>
      </c>
      <c r="B974" s="1" t="n">
        <v>44362</v>
      </c>
      <c r="C974" s="1" t="n">
        <v>45192</v>
      </c>
      <c r="D974" t="inlineStr">
        <is>
          <t>VÄSTERBOTTENS LÄN</t>
        </is>
      </c>
      <c r="E974" t="inlineStr">
        <is>
          <t>SKELLEFTEÅ</t>
        </is>
      </c>
      <c r="F974" t="inlineStr">
        <is>
          <t>Holmen skog AB</t>
        </is>
      </c>
      <c r="G974" t="n">
        <v>15.1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30086-2021</t>
        </is>
      </c>
      <c r="B975" s="1" t="n">
        <v>44363</v>
      </c>
      <c r="C975" s="1" t="n">
        <v>45192</v>
      </c>
      <c r="D975" t="inlineStr">
        <is>
          <t>VÄSTERBOTTENS LÄN</t>
        </is>
      </c>
      <c r="E975" t="inlineStr">
        <is>
          <t>SKELLEFTEÅ</t>
        </is>
      </c>
      <c r="G975" t="n">
        <v>1.8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30194-2021</t>
        </is>
      </c>
      <c r="B976" s="1" t="n">
        <v>44363</v>
      </c>
      <c r="C976" s="1" t="n">
        <v>45192</v>
      </c>
      <c r="D976" t="inlineStr">
        <is>
          <t>VÄSTERBOTTENS LÄN</t>
        </is>
      </c>
      <c r="E976" t="inlineStr">
        <is>
          <t>SKELLEFTEÅ</t>
        </is>
      </c>
      <c r="G976" t="n">
        <v>0.6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30332-2021</t>
        </is>
      </c>
      <c r="B977" s="1" t="n">
        <v>44364</v>
      </c>
      <c r="C977" s="1" t="n">
        <v>45192</v>
      </c>
      <c r="D977" t="inlineStr">
        <is>
          <t>VÄSTERBOTTENS LÄN</t>
        </is>
      </c>
      <c r="E977" t="inlineStr">
        <is>
          <t>SKELLEFTEÅ</t>
        </is>
      </c>
      <c r="G977" t="n">
        <v>1.6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30449-2021</t>
        </is>
      </c>
      <c r="B978" s="1" t="n">
        <v>44364</v>
      </c>
      <c r="C978" s="1" t="n">
        <v>45192</v>
      </c>
      <c r="D978" t="inlineStr">
        <is>
          <t>VÄSTERBOTTENS LÄN</t>
        </is>
      </c>
      <c r="E978" t="inlineStr">
        <is>
          <t>SKELLEFTEÅ</t>
        </is>
      </c>
      <c r="G978" t="n">
        <v>2.6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30704-2021</t>
        </is>
      </c>
      <c r="B979" s="1" t="n">
        <v>44365</v>
      </c>
      <c r="C979" s="1" t="n">
        <v>45192</v>
      </c>
      <c r="D979" t="inlineStr">
        <is>
          <t>VÄSTERBOTTENS LÄN</t>
        </is>
      </c>
      <c r="E979" t="inlineStr">
        <is>
          <t>SKELLEFTEÅ</t>
        </is>
      </c>
      <c r="G979" t="n">
        <v>20.2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30744-2021</t>
        </is>
      </c>
      <c r="B980" s="1" t="n">
        <v>44365</v>
      </c>
      <c r="C980" s="1" t="n">
        <v>45192</v>
      </c>
      <c r="D980" t="inlineStr">
        <is>
          <t>VÄSTERBOTTENS LÄN</t>
        </is>
      </c>
      <c r="E980" t="inlineStr">
        <is>
          <t>SKELLEFTEÅ</t>
        </is>
      </c>
      <c r="G980" t="n">
        <v>38.3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31185-2021</t>
        </is>
      </c>
      <c r="B981" s="1" t="n">
        <v>44367</v>
      </c>
      <c r="C981" s="1" t="n">
        <v>45192</v>
      </c>
      <c r="D981" t="inlineStr">
        <is>
          <t>VÄSTERBOTTENS LÄN</t>
        </is>
      </c>
      <c r="E981" t="inlineStr">
        <is>
          <t>SKELLEFTEÅ</t>
        </is>
      </c>
      <c r="G981" t="n">
        <v>1.6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31186-2021</t>
        </is>
      </c>
      <c r="B982" s="1" t="n">
        <v>44368</v>
      </c>
      <c r="C982" s="1" t="n">
        <v>45192</v>
      </c>
      <c r="D982" t="inlineStr">
        <is>
          <t>VÄSTERBOTTENS LÄN</t>
        </is>
      </c>
      <c r="E982" t="inlineStr">
        <is>
          <t>SKELLEFTEÅ</t>
        </is>
      </c>
      <c r="G982" t="n">
        <v>2.7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31419-2021</t>
        </is>
      </c>
      <c r="B983" s="1" t="n">
        <v>44368</v>
      </c>
      <c r="C983" s="1" t="n">
        <v>45192</v>
      </c>
      <c r="D983" t="inlineStr">
        <is>
          <t>VÄSTERBOTTENS LÄN</t>
        </is>
      </c>
      <c r="E983" t="inlineStr">
        <is>
          <t>SKELLEFTEÅ</t>
        </is>
      </c>
      <c r="G983" t="n">
        <v>29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31251-2021</t>
        </is>
      </c>
      <c r="B984" s="1" t="n">
        <v>44368</v>
      </c>
      <c r="C984" s="1" t="n">
        <v>45192</v>
      </c>
      <c r="D984" t="inlineStr">
        <is>
          <t>VÄSTERBOTTENS LÄN</t>
        </is>
      </c>
      <c r="E984" t="inlineStr">
        <is>
          <t>SKELLEFTEÅ</t>
        </is>
      </c>
      <c r="G984" t="n">
        <v>0.5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31181-2021</t>
        </is>
      </c>
      <c r="B985" s="1" t="n">
        <v>44368</v>
      </c>
      <c r="C985" s="1" t="n">
        <v>45192</v>
      </c>
      <c r="D985" t="inlineStr">
        <is>
          <t>VÄSTERBOTTENS LÄN</t>
        </is>
      </c>
      <c r="E985" t="inlineStr">
        <is>
          <t>SKELLEFTEÅ</t>
        </is>
      </c>
      <c r="G985" t="n">
        <v>6.3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31197-2021</t>
        </is>
      </c>
      <c r="B986" s="1" t="n">
        <v>44368</v>
      </c>
      <c r="C986" s="1" t="n">
        <v>45192</v>
      </c>
      <c r="D986" t="inlineStr">
        <is>
          <t>VÄSTERBOTTENS LÄN</t>
        </is>
      </c>
      <c r="E986" t="inlineStr">
        <is>
          <t>SKELLEFTEÅ</t>
        </is>
      </c>
      <c r="G986" t="n">
        <v>2.2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31766-2021</t>
        </is>
      </c>
      <c r="B987" s="1" t="n">
        <v>44369</v>
      </c>
      <c r="C987" s="1" t="n">
        <v>45192</v>
      </c>
      <c r="D987" t="inlineStr">
        <is>
          <t>VÄSTERBOTTENS LÄN</t>
        </is>
      </c>
      <c r="E987" t="inlineStr">
        <is>
          <t>SKELLEFTEÅ</t>
        </is>
      </c>
      <c r="G987" t="n">
        <v>1.2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32438-2021</t>
        </is>
      </c>
      <c r="B988" s="1" t="n">
        <v>44371</v>
      </c>
      <c r="C988" s="1" t="n">
        <v>45192</v>
      </c>
      <c r="D988" t="inlineStr">
        <is>
          <t>VÄSTERBOTTENS LÄN</t>
        </is>
      </c>
      <c r="E988" t="inlineStr">
        <is>
          <t>SKELLEFTEÅ</t>
        </is>
      </c>
      <c r="G988" t="n">
        <v>4.7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32439-2021</t>
        </is>
      </c>
      <c r="B989" s="1" t="n">
        <v>44371</v>
      </c>
      <c r="C989" s="1" t="n">
        <v>45192</v>
      </c>
      <c r="D989" t="inlineStr">
        <is>
          <t>VÄSTERBOTTENS LÄN</t>
        </is>
      </c>
      <c r="E989" t="inlineStr">
        <is>
          <t>SKELLEFTEÅ</t>
        </is>
      </c>
      <c r="G989" t="n">
        <v>2.5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32616-2021</t>
        </is>
      </c>
      <c r="B990" s="1" t="n">
        <v>44371</v>
      </c>
      <c r="C990" s="1" t="n">
        <v>45192</v>
      </c>
      <c r="D990" t="inlineStr">
        <is>
          <t>VÄSTERBOTTENS LÄN</t>
        </is>
      </c>
      <c r="E990" t="inlineStr">
        <is>
          <t>SKELLEFTEÅ</t>
        </is>
      </c>
      <c r="G990" t="n">
        <v>2.4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32585-2021</t>
        </is>
      </c>
      <c r="B991" s="1" t="n">
        <v>44375</v>
      </c>
      <c r="C991" s="1" t="n">
        <v>45192</v>
      </c>
      <c r="D991" t="inlineStr">
        <is>
          <t>VÄSTERBOTTENS LÄN</t>
        </is>
      </c>
      <c r="E991" t="inlineStr">
        <is>
          <t>SKELLEFTEÅ</t>
        </is>
      </c>
      <c r="F991" t="inlineStr">
        <is>
          <t>Holmen skog AB</t>
        </is>
      </c>
      <c r="G991" t="n">
        <v>4.6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32917-2021</t>
        </is>
      </c>
      <c r="B992" s="1" t="n">
        <v>44375</v>
      </c>
      <c r="C992" s="1" t="n">
        <v>45192</v>
      </c>
      <c r="D992" t="inlineStr">
        <is>
          <t>VÄSTERBOTTENS LÄN</t>
        </is>
      </c>
      <c r="E992" t="inlineStr">
        <is>
          <t>SKELLEFTEÅ</t>
        </is>
      </c>
      <c r="F992" t="inlineStr">
        <is>
          <t>SCA</t>
        </is>
      </c>
      <c r="G992" t="n">
        <v>3.4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32964-2021</t>
        </is>
      </c>
      <c r="B993" s="1" t="n">
        <v>44376</v>
      </c>
      <c r="C993" s="1" t="n">
        <v>45192</v>
      </c>
      <c r="D993" t="inlineStr">
        <is>
          <t>VÄSTERBOTTENS LÄN</t>
        </is>
      </c>
      <c r="E993" t="inlineStr">
        <is>
          <t>SKELLEFTEÅ</t>
        </is>
      </c>
      <c r="G993" t="n">
        <v>16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33236-2021</t>
        </is>
      </c>
      <c r="B994" s="1" t="n">
        <v>44376</v>
      </c>
      <c r="C994" s="1" t="n">
        <v>45192</v>
      </c>
      <c r="D994" t="inlineStr">
        <is>
          <t>VÄSTERBOTTENS LÄN</t>
        </is>
      </c>
      <c r="E994" t="inlineStr">
        <is>
          <t>SKELLEFTEÅ</t>
        </is>
      </c>
      <c r="G994" t="n">
        <v>5.4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33473-2021</t>
        </is>
      </c>
      <c r="B995" s="1" t="n">
        <v>44377</v>
      </c>
      <c r="C995" s="1" t="n">
        <v>45192</v>
      </c>
      <c r="D995" t="inlineStr">
        <is>
          <t>VÄSTERBOTTENS LÄN</t>
        </is>
      </c>
      <c r="E995" t="inlineStr">
        <is>
          <t>SKELLEFTEÅ</t>
        </is>
      </c>
      <c r="G995" t="n">
        <v>5.3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33284-2021</t>
        </is>
      </c>
      <c r="B996" s="1" t="n">
        <v>44377</v>
      </c>
      <c r="C996" s="1" t="n">
        <v>45192</v>
      </c>
      <c r="D996" t="inlineStr">
        <is>
          <t>VÄSTERBOTTENS LÄN</t>
        </is>
      </c>
      <c r="E996" t="inlineStr">
        <is>
          <t>SKELLEFTEÅ</t>
        </is>
      </c>
      <c r="G996" t="n">
        <v>3.6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33687-2021</t>
        </is>
      </c>
      <c r="B997" s="1" t="n">
        <v>44378</v>
      </c>
      <c r="C997" s="1" t="n">
        <v>45192</v>
      </c>
      <c r="D997" t="inlineStr">
        <is>
          <t>VÄSTERBOTTENS LÄN</t>
        </is>
      </c>
      <c r="E997" t="inlineStr">
        <is>
          <t>SKELLEFTEÅ</t>
        </is>
      </c>
      <c r="G997" t="n">
        <v>0.1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33841-2021</t>
        </is>
      </c>
      <c r="B998" s="1" t="n">
        <v>44378</v>
      </c>
      <c r="C998" s="1" t="n">
        <v>45192</v>
      </c>
      <c r="D998" t="inlineStr">
        <is>
          <t>VÄSTERBOTTENS LÄN</t>
        </is>
      </c>
      <c r="E998" t="inlineStr">
        <is>
          <t>SKELLEFTEÅ</t>
        </is>
      </c>
      <c r="G998" t="n">
        <v>1.3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33661-2021</t>
        </is>
      </c>
      <c r="B999" s="1" t="n">
        <v>44378</v>
      </c>
      <c r="C999" s="1" t="n">
        <v>45192</v>
      </c>
      <c r="D999" t="inlineStr">
        <is>
          <t>VÄSTERBOTTENS LÄN</t>
        </is>
      </c>
      <c r="E999" t="inlineStr">
        <is>
          <t>SKELLEFTEÅ</t>
        </is>
      </c>
      <c r="G999" t="n">
        <v>0.9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34111-2021</t>
        </is>
      </c>
      <c r="B1000" s="1" t="n">
        <v>44379</v>
      </c>
      <c r="C1000" s="1" t="n">
        <v>45192</v>
      </c>
      <c r="D1000" t="inlineStr">
        <is>
          <t>VÄSTERBOTTENS LÄN</t>
        </is>
      </c>
      <c r="E1000" t="inlineStr">
        <is>
          <t>SKELLEFTEÅ</t>
        </is>
      </c>
      <c r="G1000" t="n">
        <v>0.9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34773-2021</t>
        </is>
      </c>
      <c r="B1001" s="1" t="n">
        <v>44382</v>
      </c>
      <c r="C1001" s="1" t="n">
        <v>45192</v>
      </c>
      <c r="D1001" t="inlineStr">
        <is>
          <t>VÄSTERBOTTENS LÄN</t>
        </is>
      </c>
      <c r="E1001" t="inlineStr">
        <is>
          <t>SKELLEFTEÅ</t>
        </is>
      </c>
      <c r="G1001" t="n">
        <v>0.7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34633-2021</t>
        </is>
      </c>
      <c r="B1002" s="1" t="n">
        <v>44382</v>
      </c>
      <c r="C1002" s="1" t="n">
        <v>45192</v>
      </c>
      <c r="D1002" t="inlineStr">
        <is>
          <t>VÄSTERBOTTENS LÄN</t>
        </is>
      </c>
      <c r="E1002" t="inlineStr">
        <is>
          <t>SKELLEFTEÅ</t>
        </is>
      </c>
      <c r="G1002" t="n">
        <v>4.2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35087-2021</t>
        </is>
      </c>
      <c r="B1003" s="1" t="n">
        <v>44383</v>
      </c>
      <c r="C1003" s="1" t="n">
        <v>45192</v>
      </c>
      <c r="D1003" t="inlineStr">
        <is>
          <t>VÄSTERBOTTENS LÄN</t>
        </is>
      </c>
      <c r="E1003" t="inlineStr">
        <is>
          <t>SKELLEFTEÅ</t>
        </is>
      </c>
      <c r="G1003" t="n">
        <v>7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35442-2021</t>
        </is>
      </c>
      <c r="B1004" s="1" t="n">
        <v>44384</v>
      </c>
      <c r="C1004" s="1" t="n">
        <v>45192</v>
      </c>
      <c r="D1004" t="inlineStr">
        <is>
          <t>VÄSTERBOTTENS LÄN</t>
        </is>
      </c>
      <c r="E1004" t="inlineStr">
        <is>
          <t>SKELLEFTEÅ</t>
        </is>
      </c>
      <c r="G1004" t="n">
        <v>1.6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35078-2021</t>
        </is>
      </c>
      <c r="B1005" s="1" t="n">
        <v>44384</v>
      </c>
      <c r="C1005" s="1" t="n">
        <v>45192</v>
      </c>
      <c r="D1005" t="inlineStr">
        <is>
          <t>VÄSTERBOTTENS LÄN</t>
        </is>
      </c>
      <c r="E1005" t="inlineStr">
        <is>
          <t>SKELLEFTEÅ</t>
        </is>
      </c>
      <c r="G1005" t="n">
        <v>3.2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35435-2021</t>
        </is>
      </c>
      <c r="B1006" s="1" t="n">
        <v>44385</v>
      </c>
      <c r="C1006" s="1" t="n">
        <v>45192</v>
      </c>
      <c r="D1006" t="inlineStr">
        <is>
          <t>VÄSTERBOTTENS LÄN</t>
        </is>
      </c>
      <c r="E1006" t="inlineStr">
        <is>
          <t>SKELLEFTEÅ</t>
        </is>
      </c>
      <c r="F1006" t="inlineStr">
        <is>
          <t>Holmen skog AB</t>
        </is>
      </c>
      <c r="G1006" t="n">
        <v>1.7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35733-2021</t>
        </is>
      </c>
      <c r="B1007" s="1" t="n">
        <v>44385</v>
      </c>
      <c r="C1007" s="1" t="n">
        <v>45192</v>
      </c>
      <c r="D1007" t="inlineStr">
        <is>
          <t>VÄSTERBOTTENS LÄN</t>
        </is>
      </c>
      <c r="E1007" t="inlineStr">
        <is>
          <t>SKELLEFTEÅ</t>
        </is>
      </c>
      <c r="G1007" t="n">
        <v>0.9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35650-2021</t>
        </is>
      </c>
      <c r="B1008" s="1" t="n">
        <v>44386</v>
      </c>
      <c r="C1008" s="1" t="n">
        <v>45192</v>
      </c>
      <c r="D1008" t="inlineStr">
        <is>
          <t>VÄSTERBOTTENS LÄN</t>
        </is>
      </c>
      <c r="E1008" t="inlineStr">
        <is>
          <t>SKELLEFTEÅ</t>
        </is>
      </c>
      <c r="F1008" t="inlineStr">
        <is>
          <t>Holmen skog AB</t>
        </is>
      </c>
      <c r="G1008" t="n">
        <v>5.5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36086-2021</t>
        </is>
      </c>
      <c r="B1009" s="1" t="n">
        <v>44386</v>
      </c>
      <c r="C1009" s="1" t="n">
        <v>45192</v>
      </c>
      <c r="D1009" t="inlineStr">
        <is>
          <t>VÄSTERBOTTENS LÄN</t>
        </is>
      </c>
      <c r="E1009" t="inlineStr">
        <is>
          <t>SKELLEFTEÅ</t>
        </is>
      </c>
      <c r="G1009" t="n">
        <v>2.9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36564-2021</t>
        </is>
      </c>
      <c r="B1010" s="1" t="n">
        <v>44391</v>
      </c>
      <c r="C1010" s="1" t="n">
        <v>45192</v>
      </c>
      <c r="D1010" t="inlineStr">
        <is>
          <t>VÄSTERBOTTENS LÄN</t>
        </is>
      </c>
      <c r="E1010" t="inlineStr">
        <is>
          <t>SKELLEFTEÅ</t>
        </is>
      </c>
      <c r="G1010" t="n">
        <v>0.7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36588-2021</t>
        </is>
      </c>
      <c r="B1011" s="1" t="n">
        <v>44391</v>
      </c>
      <c r="C1011" s="1" t="n">
        <v>45192</v>
      </c>
      <c r="D1011" t="inlineStr">
        <is>
          <t>VÄSTERBOTTENS LÄN</t>
        </is>
      </c>
      <c r="E1011" t="inlineStr">
        <is>
          <t>SKELLEFTEÅ</t>
        </is>
      </c>
      <c r="G1011" t="n">
        <v>0.8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36609-2021</t>
        </is>
      </c>
      <c r="B1012" s="1" t="n">
        <v>44391</v>
      </c>
      <c r="C1012" s="1" t="n">
        <v>45192</v>
      </c>
      <c r="D1012" t="inlineStr">
        <is>
          <t>VÄSTERBOTTENS LÄN</t>
        </is>
      </c>
      <c r="E1012" t="inlineStr">
        <is>
          <t>SKELLEFTEÅ</t>
        </is>
      </c>
      <c r="G1012" t="n">
        <v>10.6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36603-2021</t>
        </is>
      </c>
      <c r="B1013" s="1" t="n">
        <v>44391</v>
      </c>
      <c r="C1013" s="1" t="n">
        <v>45192</v>
      </c>
      <c r="D1013" t="inlineStr">
        <is>
          <t>VÄSTERBOTTENS LÄN</t>
        </is>
      </c>
      <c r="E1013" t="inlineStr">
        <is>
          <t>SKELLEFTEÅ</t>
        </is>
      </c>
      <c r="G1013" t="n">
        <v>2.7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37211-2021</t>
        </is>
      </c>
      <c r="B1014" s="1" t="n">
        <v>44396</v>
      </c>
      <c r="C1014" s="1" t="n">
        <v>45192</v>
      </c>
      <c r="D1014" t="inlineStr">
        <is>
          <t>VÄSTERBOTTENS LÄN</t>
        </is>
      </c>
      <c r="E1014" t="inlineStr">
        <is>
          <t>SKELLEFTEÅ</t>
        </is>
      </c>
      <c r="G1014" t="n">
        <v>0.9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37210-2021</t>
        </is>
      </c>
      <c r="B1015" s="1" t="n">
        <v>44396</v>
      </c>
      <c r="C1015" s="1" t="n">
        <v>45192</v>
      </c>
      <c r="D1015" t="inlineStr">
        <is>
          <t>VÄSTERBOTTENS LÄN</t>
        </is>
      </c>
      <c r="E1015" t="inlineStr">
        <is>
          <t>SKELLEFTEÅ</t>
        </is>
      </c>
      <c r="G1015" t="n">
        <v>0.9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37208-2021</t>
        </is>
      </c>
      <c r="B1016" s="1" t="n">
        <v>44396</v>
      </c>
      <c r="C1016" s="1" t="n">
        <v>45192</v>
      </c>
      <c r="D1016" t="inlineStr">
        <is>
          <t>VÄSTERBOTTENS LÄN</t>
        </is>
      </c>
      <c r="E1016" t="inlineStr">
        <is>
          <t>SKELLEFTEÅ</t>
        </is>
      </c>
      <c r="G1016" t="n">
        <v>2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37498-2021</t>
        </is>
      </c>
      <c r="B1017" s="1" t="n">
        <v>44399</v>
      </c>
      <c r="C1017" s="1" t="n">
        <v>45192</v>
      </c>
      <c r="D1017" t="inlineStr">
        <is>
          <t>VÄSTERBOTTENS LÄN</t>
        </is>
      </c>
      <c r="E1017" t="inlineStr">
        <is>
          <t>SKELLEFTEÅ</t>
        </is>
      </c>
      <c r="G1017" t="n">
        <v>12.8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37792-2021</t>
        </is>
      </c>
      <c r="B1018" s="1" t="n">
        <v>44401</v>
      </c>
      <c r="C1018" s="1" t="n">
        <v>45192</v>
      </c>
      <c r="D1018" t="inlineStr">
        <is>
          <t>VÄSTERBOTTENS LÄN</t>
        </is>
      </c>
      <c r="E1018" t="inlineStr">
        <is>
          <t>SKELLEFTEÅ</t>
        </is>
      </c>
      <c r="G1018" t="n">
        <v>2.5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37938-2021</t>
        </is>
      </c>
      <c r="B1019" s="1" t="n">
        <v>44403</v>
      </c>
      <c r="C1019" s="1" t="n">
        <v>45192</v>
      </c>
      <c r="D1019" t="inlineStr">
        <is>
          <t>VÄSTERBOTTENS LÄN</t>
        </is>
      </c>
      <c r="E1019" t="inlineStr">
        <is>
          <t>SKELLEFTEÅ</t>
        </is>
      </c>
      <c r="G1019" t="n">
        <v>3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37937-2021</t>
        </is>
      </c>
      <c r="B1020" s="1" t="n">
        <v>44403</v>
      </c>
      <c r="C1020" s="1" t="n">
        <v>45192</v>
      </c>
      <c r="D1020" t="inlineStr">
        <is>
          <t>VÄSTERBOTTENS LÄN</t>
        </is>
      </c>
      <c r="E1020" t="inlineStr">
        <is>
          <t>SKELLEFTEÅ</t>
        </is>
      </c>
      <c r="G1020" t="n">
        <v>8.300000000000001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38026-2021</t>
        </is>
      </c>
      <c r="B1021" s="1" t="n">
        <v>44404</v>
      </c>
      <c r="C1021" s="1" t="n">
        <v>45192</v>
      </c>
      <c r="D1021" t="inlineStr">
        <is>
          <t>VÄSTERBOTTENS LÄN</t>
        </is>
      </c>
      <c r="E1021" t="inlineStr">
        <is>
          <t>SKELLEFTEÅ</t>
        </is>
      </c>
      <c r="F1021" t="inlineStr">
        <is>
          <t>Holmen skog AB</t>
        </is>
      </c>
      <c r="G1021" t="n">
        <v>7.8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38260-2021</t>
        </is>
      </c>
      <c r="B1022" s="1" t="n">
        <v>44405</v>
      </c>
      <c r="C1022" s="1" t="n">
        <v>45192</v>
      </c>
      <c r="D1022" t="inlineStr">
        <is>
          <t>VÄSTERBOTTENS LÄN</t>
        </is>
      </c>
      <c r="E1022" t="inlineStr">
        <is>
          <t>SKELLEFTEÅ</t>
        </is>
      </c>
      <c r="G1022" t="n">
        <v>8.5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39035-2021</t>
        </is>
      </c>
      <c r="B1023" s="1" t="n">
        <v>44411</v>
      </c>
      <c r="C1023" s="1" t="n">
        <v>45192</v>
      </c>
      <c r="D1023" t="inlineStr">
        <is>
          <t>VÄSTERBOTTENS LÄN</t>
        </is>
      </c>
      <c r="E1023" t="inlineStr">
        <is>
          <t>SKELLEFTEÅ</t>
        </is>
      </c>
      <c r="G1023" t="n">
        <v>1.9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39185-2021</t>
        </is>
      </c>
      <c r="B1024" s="1" t="n">
        <v>44413</v>
      </c>
      <c r="C1024" s="1" t="n">
        <v>45192</v>
      </c>
      <c r="D1024" t="inlineStr">
        <is>
          <t>VÄSTERBOTTENS LÄN</t>
        </is>
      </c>
      <c r="E1024" t="inlineStr">
        <is>
          <t>SKELLEFTEÅ</t>
        </is>
      </c>
      <c r="G1024" t="n">
        <v>2.6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39226-2021</t>
        </is>
      </c>
      <c r="B1025" s="1" t="n">
        <v>44413</v>
      </c>
      <c r="C1025" s="1" t="n">
        <v>45192</v>
      </c>
      <c r="D1025" t="inlineStr">
        <is>
          <t>VÄSTERBOTTENS LÄN</t>
        </is>
      </c>
      <c r="E1025" t="inlineStr">
        <is>
          <t>SKELLEFTEÅ</t>
        </is>
      </c>
      <c r="F1025" t="inlineStr">
        <is>
          <t>Holmen skog AB</t>
        </is>
      </c>
      <c r="G1025" t="n">
        <v>1.3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39590-2021</t>
        </is>
      </c>
      <c r="B1026" s="1" t="n">
        <v>44413</v>
      </c>
      <c r="C1026" s="1" t="n">
        <v>45192</v>
      </c>
      <c r="D1026" t="inlineStr">
        <is>
          <t>VÄSTERBOTTENS LÄN</t>
        </is>
      </c>
      <c r="E1026" t="inlineStr">
        <is>
          <t>SKELLEFTEÅ</t>
        </is>
      </c>
      <c r="G1026" t="n">
        <v>3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39589-2021</t>
        </is>
      </c>
      <c r="B1027" s="1" t="n">
        <v>44413</v>
      </c>
      <c r="C1027" s="1" t="n">
        <v>45192</v>
      </c>
      <c r="D1027" t="inlineStr">
        <is>
          <t>VÄSTERBOTTENS LÄN</t>
        </is>
      </c>
      <c r="E1027" t="inlineStr">
        <is>
          <t>SKELLEFTEÅ</t>
        </is>
      </c>
      <c r="G1027" t="n">
        <v>0.9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39623-2021</t>
        </is>
      </c>
      <c r="B1028" s="1" t="n">
        <v>44413</v>
      </c>
      <c r="C1028" s="1" t="n">
        <v>45192</v>
      </c>
      <c r="D1028" t="inlineStr">
        <is>
          <t>VÄSTERBOTTENS LÄN</t>
        </is>
      </c>
      <c r="E1028" t="inlineStr">
        <is>
          <t>SKELLEFTEÅ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39553-2021</t>
        </is>
      </c>
      <c r="B1029" s="1" t="n">
        <v>44416</v>
      </c>
      <c r="C1029" s="1" t="n">
        <v>45192</v>
      </c>
      <c r="D1029" t="inlineStr">
        <is>
          <t>VÄSTERBOTTENS LÄN</t>
        </is>
      </c>
      <c r="E1029" t="inlineStr">
        <is>
          <t>SKELLEFTEÅ</t>
        </is>
      </c>
      <c r="G1029" t="n">
        <v>1.3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39827-2021</t>
        </is>
      </c>
      <c r="B1030" s="1" t="n">
        <v>44417</v>
      </c>
      <c r="C1030" s="1" t="n">
        <v>45192</v>
      </c>
      <c r="D1030" t="inlineStr">
        <is>
          <t>VÄSTERBOTTENS LÄN</t>
        </is>
      </c>
      <c r="E1030" t="inlineStr">
        <is>
          <t>SKELLEFTEÅ</t>
        </is>
      </c>
      <c r="G1030" t="n">
        <v>3.8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40683-2021</t>
        </is>
      </c>
      <c r="B1031" s="1" t="n">
        <v>44420</v>
      </c>
      <c r="C1031" s="1" t="n">
        <v>45192</v>
      </c>
      <c r="D1031" t="inlineStr">
        <is>
          <t>VÄSTERBOTTENS LÄN</t>
        </is>
      </c>
      <c r="E1031" t="inlineStr">
        <is>
          <t>SKELLEFTEÅ</t>
        </is>
      </c>
      <c r="G1031" t="n">
        <v>37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41508-2021</t>
        </is>
      </c>
      <c r="B1032" s="1" t="n">
        <v>44424</v>
      </c>
      <c r="C1032" s="1" t="n">
        <v>45192</v>
      </c>
      <c r="D1032" t="inlineStr">
        <is>
          <t>VÄSTERBOTTENS LÄN</t>
        </is>
      </c>
      <c r="E1032" t="inlineStr">
        <is>
          <t>SKELLEFTEÅ</t>
        </is>
      </c>
      <c r="F1032" t="inlineStr">
        <is>
          <t>SCA</t>
        </is>
      </c>
      <c r="G1032" t="n">
        <v>9.800000000000001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42323-2021</t>
        </is>
      </c>
      <c r="B1033" s="1" t="n">
        <v>44426</v>
      </c>
      <c r="C1033" s="1" t="n">
        <v>45192</v>
      </c>
      <c r="D1033" t="inlineStr">
        <is>
          <t>VÄSTERBOTTENS LÄN</t>
        </is>
      </c>
      <c r="E1033" t="inlineStr">
        <is>
          <t>SKELLEFTEÅ</t>
        </is>
      </c>
      <c r="G1033" t="n">
        <v>1.2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42367-2021</t>
        </is>
      </c>
      <c r="B1034" s="1" t="n">
        <v>44427</v>
      </c>
      <c r="C1034" s="1" t="n">
        <v>45192</v>
      </c>
      <c r="D1034" t="inlineStr">
        <is>
          <t>VÄSTERBOTTENS LÄN</t>
        </is>
      </c>
      <c r="E1034" t="inlineStr">
        <is>
          <t>SKELLEFTEÅ</t>
        </is>
      </c>
      <c r="G1034" t="n">
        <v>3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42557-2021</t>
        </is>
      </c>
      <c r="B1035" s="1" t="n">
        <v>44428</v>
      </c>
      <c r="C1035" s="1" t="n">
        <v>45192</v>
      </c>
      <c r="D1035" t="inlineStr">
        <is>
          <t>VÄSTERBOTTENS LÄN</t>
        </is>
      </c>
      <c r="E1035" t="inlineStr">
        <is>
          <t>SKELLEFTEÅ</t>
        </is>
      </c>
      <c r="G1035" t="n">
        <v>1.6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43252-2021</t>
        </is>
      </c>
      <c r="B1036" s="1" t="n">
        <v>44432</v>
      </c>
      <c r="C1036" s="1" t="n">
        <v>45192</v>
      </c>
      <c r="D1036" t="inlineStr">
        <is>
          <t>VÄSTERBOTTENS LÄN</t>
        </is>
      </c>
      <c r="E1036" t="inlineStr">
        <is>
          <t>SKELLEFTEÅ</t>
        </is>
      </c>
      <c r="G1036" t="n">
        <v>2.3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43863-2021</t>
        </is>
      </c>
      <c r="B1037" s="1" t="n">
        <v>44433</v>
      </c>
      <c r="C1037" s="1" t="n">
        <v>45192</v>
      </c>
      <c r="D1037" t="inlineStr">
        <is>
          <t>VÄSTERBOTTENS LÄN</t>
        </is>
      </c>
      <c r="E1037" t="inlineStr">
        <is>
          <t>SKELLEFTEÅ</t>
        </is>
      </c>
      <c r="G1037" t="n">
        <v>1.6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44090-2021</t>
        </is>
      </c>
      <c r="B1038" s="1" t="n">
        <v>44434</v>
      </c>
      <c r="C1038" s="1" t="n">
        <v>45192</v>
      </c>
      <c r="D1038" t="inlineStr">
        <is>
          <t>VÄSTERBOTTENS LÄN</t>
        </is>
      </c>
      <c r="E1038" t="inlineStr">
        <is>
          <t>SKELLEFTEÅ</t>
        </is>
      </c>
      <c r="G1038" t="n">
        <v>1.3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45036-2021</t>
        </is>
      </c>
      <c r="B1039" s="1" t="n">
        <v>44438</v>
      </c>
      <c r="C1039" s="1" t="n">
        <v>45192</v>
      </c>
      <c r="D1039" t="inlineStr">
        <is>
          <t>VÄSTERBOTTENS LÄN</t>
        </is>
      </c>
      <c r="E1039" t="inlineStr">
        <is>
          <t>SKELLEFTEÅ</t>
        </is>
      </c>
      <c r="G1039" t="n">
        <v>5.1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45043-2021</t>
        </is>
      </c>
      <c r="B1040" s="1" t="n">
        <v>44438</v>
      </c>
      <c r="C1040" s="1" t="n">
        <v>45192</v>
      </c>
      <c r="D1040" t="inlineStr">
        <is>
          <t>VÄSTERBOTTENS LÄN</t>
        </is>
      </c>
      <c r="E1040" t="inlineStr">
        <is>
          <t>SKELLEFTEÅ</t>
        </is>
      </c>
      <c r="G1040" t="n">
        <v>1.6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45389-2021</t>
        </is>
      </c>
      <c r="B1041" s="1" t="n">
        <v>44440</v>
      </c>
      <c r="C1041" s="1" t="n">
        <v>45192</v>
      </c>
      <c r="D1041" t="inlineStr">
        <is>
          <t>VÄSTERBOTTENS LÄN</t>
        </is>
      </c>
      <c r="E1041" t="inlineStr">
        <is>
          <t>SKELLEFTEÅ</t>
        </is>
      </c>
      <c r="G1041" t="n">
        <v>0.3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46178-2021</t>
        </is>
      </c>
      <c r="B1042" s="1" t="n">
        <v>44441</v>
      </c>
      <c r="C1042" s="1" t="n">
        <v>45192</v>
      </c>
      <c r="D1042" t="inlineStr">
        <is>
          <t>VÄSTERBOTTENS LÄN</t>
        </is>
      </c>
      <c r="E1042" t="inlineStr">
        <is>
          <t>SKELLEFTEÅ</t>
        </is>
      </c>
      <c r="G1042" t="n">
        <v>1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46006-2021</t>
        </is>
      </c>
      <c r="B1043" s="1" t="n">
        <v>44441</v>
      </c>
      <c r="C1043" s="1" t="n">
        <v>45192</v>
      </c>
      <c r="D1043" t="inlineStr">
        <is>
          <t>VÄSTERBOTTENS LÄN</t>
        </is>
      </c>
      <c r="E1043" t="inlineStr">
        <is>
          <t>SKELLEFTEÅ</t>
        </is>
      </c>
      <c r="G1043" t="n">
        <v>6.1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46619-2021</t>
        </is>
      </c>
      <c r="B1044" s="1" t="n">
        <v>44442</v>
      </c>
      <c r="C1044" s="1" t="n">
        <v>45192</v>
      </c>
      <c r="D1044" t="inlineStr">
        <is>
          <t>VÄSTERBOTTENS LÄN</t>
        </is>
      </c>
      <c r="E1044" t="inlineStr">
        <is>
          <t>SKELLEFTEÅ</t>
        </is>
      </c>
      <c r="G1044" t="n">
        <v>0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46628-2021</t>
        </is>
      </c>
      <c r="B1045" s="1" t="n">
        <v>44445</v>
      </c>
      <c r="C1045" s="1" t="n">
        <v>45192</v>
      </c>
      <c r="D1045" t="inlineStr">
        <is>
          <t>VÄSTERBOTTENS LÄN</t>
        </is>
      </c>
      <c r="E1045" t="inlineStr">
        <is>
          <t>SKELLEFTEÅ</t>
        </is>
      </c>
      <c r="G1045" t="n">
        <v>1.7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47039-2021</t>
        </is>
      </c>
      <c r="B1046" s="1" t="n">
        <v>44446</v>
      </c>
      <c r="C1046" s="1" t="n">
        <v>45192</v>
      </c>
      <c r="D1046" t="inlineStr">
        <is>
          <t>VÄSTERBOTTENS LÄN</t>
        </is>
      </c>
      <c r="E1046" t="inlineStr">
        <is>
          <t>SKELLEFTEÅ</t>
        </is>
      </c>
      <c r="G1046" t="n">
        <v>0.6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47610-2021</t>
        </is>
      </c>
      <c r="B1047" s="1" t="n">
        <v>44448</v>
      </c>
      <c r="C1047" s="1" t="n">
        <v>45192</v>
      </c>
      <c r="D1047" t="inlineStr">
        <is>
          <t>VÄSTERBOTTENS LÄN</t>
        </is>
      </c>
      <c r="E1047" t="inlineStr">
        <is>
          <t>SKELLEFTEÅ</t>
        </is>
      </c>
      <c r="G1047" t="n">
        <v>7.9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47974-2021</t>
        </is>
      </c>
      <c r="B1048" s="1" t="n">
        <v>44448</v>
      </c>
      <c r="C1048" s="1" t="n">
        <v>45192</v>
      </c>
      <c r="D1048" t="inlineStr">
        <is>
          <t>VÄSTERBOTTENS LÄN</t>
        </is>
      </c>
      <c r="E1048" t="inlineStr">
        <is>
          <t>SKELLEFTEÅ</t>
        </is>
      </c>
      <c r="G1048" t="n">
        <v>5.9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48015-2021</t>
        </is>
      </c>
      <c r="B1049" s="1" t="n">
        <v>44449</v>
      </c>
      <c r="C1049" s="1" t="n">
        <v>45192</v>
      </c>
      <c r="D1049" t="inlineStr">
        <is>
          <t>VÄSTERBOTTENS LÄN</t>
        </is>
      </c>
      <c r="E1049" t="inlineStr">
        <is>
          <t>SKELLEFTEÅ</t>
        </is>
      </c>
      <c r="G1049" t="n">
        <v>7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48538-2021</t>
        </is>
      </c>
      <c r="B1050" s="1" t="n">
        <v>44451</v>
      </c>
      <c r="C1050" s="1" t="n">
        <v>45192</v>
      </c>
      <c r="D1050" t="inlineStr">
        <is>
          <t>VÄSTERBOTTENS LÄN</t>
        </is>
      </c>
      <c r="E1050" t="inlineStr">
        <is>
          <t>SKELLEFTEÅ</t>
        </is>
      </c>
      <c r="G1050" t="n">
        <v>1.3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50603-2021</t>
        </is>
      </c>
      <c r="B1051" s="1" t="n">
        <v>44459</v>
      </c>
      <c r="C1051" s="1" t="n">
        <v>45192</v>
      </c>
      <c r="D1051" t="inlineStr">
        <is>
          <t>VÄSTERBOTTENS LÄN</t>
        </is>
      </c>
      <c r="E1051" t="inlineStr">
        <is>
          <t>SKELLEFTEÅ</t>
        </is>
      </c>
      <c r="G1051" t="n">
        <v>7.2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50772-2021</t>
        </is>
      </c>
      <c r="B1052" s="1" t="n">
        <v>44460</v>
      </c>
      <c r="C1052" s="1" t="n">
        <v>45192</v>
      </c>
      <c r="D1052" t="inlineStr">
        <is>
          <t>VÄSTERBOTTENS LÄN</t>
        </is>
      </c>
      <c r="E1052" t="inlineStr">
        <is>
          <t>SKELLEFTEÅ</t>
        </is>
      </c>
      <c r="F1052" t="inlineStr">
        <is>
          <t>Sveaskog</t>
        </is>
      </c>
      <c r="G1052" t="n">
        <v>1.1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 ht="15" customHeight="1">
      <c r="A1053" t="inlineStr">
        <is>
          <t>A 51789-2021</t>
        </is>
      </c>
      <c r="B1053" s="1" t="n">
        <v>44461</v>
      </c>
      <c r="C1053" s="1" t="n">
        <v>45192</v>
      </c>
      <c r="D1053" t="inlineStr">
        <is>
          <t>VÄSTERBOTTENS LÄN</t>
        </is>
      </c>
      <c r="E1053" t="inlineStr">
        <is>
          <t>SKELLEFTEÅ</t>
        </is>
      </c>
      <c r="G1053" t="n">
        <v>1.2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  <row r="1054" ht="15" customHeight="1">
      <c r="A1054" t="inlineStr">
        <is>
          <t>A 51734-2021</t>
        </is>
      </c>
      <c r="B1054" s="1" t="n">
        <v>44461</v>
      </c>
      <c r="C1054" s="1" t="n">
        <v>45192</v>
      </c>
      <c r="D1054" t="inlineStr">
        <is>
          <t>VÄSTERBOTTENS LÄN</t>
        </is>
      </c>
      <c r="E1054" t="inlineStr">
        <is>
          <t>SKELLEFTEÅ</t>
        </is>
      </c>
      <c r="G1054" t="n">
        <v>3.5</v>
      </c>
      <c r="H1054" t="n">
        <v>0</v>
      </c>
      <c r="I1054" t="n">
        <v>0</v>
      </c>
      <c r="J1054" t="n">
        <v>0</v>
      </c>
      <c r="K1054" t="n">
        <v>0</v>
      </c>
      <c r="L1054" t="n">
        <v>0</v>
      </c>
      <c r="M1054" t="n">
        <v>0</v>
      </c>
      <c r="N1054" t="n">
        <v>0</v>
      </c>
      <c r="O1054" t="n">
        <v>0</v>
      </c>
      <c r="P1054" t="n">
        <v>0</v>
      </c>
      <c r="Q1054" t="n">
        <v>0</v>
      </c>
      <c r="R1054" s="2" t="inlineStr"/>
    </row>
    <row r="1055" ht="15" customHeight="1">
      <c r="A1055" t="inlineStr">
        <is>
          <t>A 51544-2021</t>
        </is>
      </c>
      <c r="B1055" s="1" t="n">
        <v>44462</v>
      </c>
      <c r="C1055" s="1" t="n">
        <v>45192</v>
      </c>
      <c r="D1055" t="inlineStr">
        <is>
          <t>VÄSTERBOTTENS LÄN</t>
        </is>
      </c>
      <c r="E1055" t="inlineStr">
        <is>
          <t>SKELLEFTEÅ</t>
        </is>
      </c>
      <c r="F1055" t="inlineStr">
        <is>
          <t>Holmen skog AB</t>
        </is>
      </c>
      <c r="G1055" t="n">
        <v>7</v>
      </c>
      <c r="H1055" t="n">
        <v>0</v>
      </c>
      <c r="I1055" t="n">
        <v>0</v>
      </c>
      <c r="J1055" t="n">
        <v>0</v>
      </c>
      <c r="K1055" t="n">
        <v>0</v>
      </c>
      <c r="L1055" t="n">
        <v>0</v>
      </c>
      <c r="M1055" t="n">
        <v>0</v>
      </c>
      <c r="N1055" t="n">
        <v>0</v>
      </c>
      <c r="O1055" t="n">
        <v>0</v>
      </c>
      <c r="P1055" t="n">
        <v>0</v>
      </c>
      <c r="Q1055" t="n">
        <v>0</v>
      </c>
      <c r="R1055" s="2" t="inlineStr"/>
    </row>
    <row r="1056" ht="15" customHeight="1">
      <c r="A1056" t="inlineStr">
        <is>
          <t>A 51587-2021</t>
        </is>
      </c>
      <c r="B1056" s="1" t="n">
        <v>44462</v>
      </c>
      <c r="C1056" s="1" t="n">
        <v>45192</v>
      </c>
      <c r="D1056" t="inlineStr">
        <is>
          <t>VÄSTERBOTTENS LÄN</t>
        </is>
      </c>
      <c r="E1056" t="inlineStr">
        <is>
          <t>SKELLEFTEÅ</t>
        </is>
      </c>
      <c r="F1056" t="inlineStr">
        <is>
          <t>Holmen skog AB</t>
        </is>
      </c>
      <c r="G1056" t="n">
        <v>7.3</v>
      </c>
      <c r="H1056" t="n">
        <v>0</v>
      </c>
      <c r="I1056" t="n">
        <v>0</v>
      </c>
      <c r="J1056" t="n">
        <v>0</v>
      </c>
      <c r="K1056" t="n">
        <v>0</v>
      </c>
      <c r="L1056" t="n">
        <v>0</v>
      </c>
      <c r="M1056" t="n">
        <v>0</v>
      </c>
      <c r="N1056" t="n">
        <v>0</v>
      </c>
      <c r="O1056" t="n">
        <v>0</v>
      </c>
      <c r="P1056" t="n">
        <v>0</v>
      </c>
      <c r="Q1056" t="n">
        <v>0</v>
      </c>
      <c r="R1056" s="2" t="inlineStr"/>
    </row>
    <row r="1057" ht="15" customHeight="1">
      <c r="A1057" t="inlineStr">
        <is>
          <t>A 52069-2021</t>
        </is>
      </c>
      <c r="B1057" s="1" t="n">
        <v>44462</v>
      </c>
      <c r="C1057" s="1" t="n">
        <v>45192</v>
      </c>
      <c r="D1057" t="inlineStr">
        <is>
          <t>VÄSTERBOTTENS LÄN</t>
        </is>
      </c>
      <c r="E1057" t="inlineStr">
        <is>
          <t>SKELLEFTEÅ</t>
        </is>
      </c>
      <c r="G1057" t="n">
        <v>1.8</v>
      </c>
      <c r="H1057" t="n">
        <v>0</v>
      </c>
      <c r="I1057" t="n">
        <v>0</v>
      </c>
      <c r="J1057" t="n">
        <v>0</v>
      </c>
      <c r="K1057" t="n">
        <v>0</v>
      </c>
      <c r="L1057" t="n">
        <v>0</v>
      </c>
      <c r="M1057" t="n">
        <v>0</v>
      </c>
      <c r="N1057" t="n">
        <v>0</v>
      </c>
      <c r="O1057" t="n">
        <v>0</v>
      </c>
      <c r="P1057" t="n">
        <v>0</v>
      </c>
      <c r="Q1057" t="n">
        <v>0</v>
      </c>
      <c r="R1057" s="2" t="inlineStr"/>
    </row>
    <row r="1058" ht="15" customHeight="1">
      <c r="A1058" t="inlineStr">
        <is>
          <t>A 51476-2021</t>
        </is>
      </c>
      <c r="B1058" s="1" t="n">
        <v>44462</v>
      </c>
      <c r="C1058" s="1" t="n">
        <v>45192</v>
      </c>
      <c r="D1058" t="inlineStr">
        <is>
          <t>VÄSTERBOTTENS LÄN</t>
        </is>
      </c>
      <c r="E1058" t="inlineStr">
        <is>
          <t>SKELLEFTEÅ</t>
        </is>
      </c>
      <c r="G1058" t="n">
        <v>0.9</v>
      </c>
      <c r="H1058" t="n">
        <v>0</v>
      </c>
      <c r="I1058" t="n">
        <v>0</v>
      </c>
      <c r="J1058" t="n">
        <v>0</v>
      </c>
      <c r="K1058" t="n">
        <v>0</v>
      </c>
      <c r="L1058" t="n">
        <v>0</v>
      </c>
      <c r="M1058" t="n">
        <v>0</v>
      </c>
      <c r="N1058" t="n">
        <v>0</v>
      </c>
      <c r="O1058" t="n">
        <v>0</v>
      </c>
      <c r="P1058" t="n">
        <v>0</v>
      </c>
      <c r="Q1058" t="n">
        <v>0</v>
      </c>
      <c r="R1058" s="2" t="inlineStr"/>
    </row>
    <row r="1059" ht="15" customHeight="1">
      <c r="A1059" t="inlineStr">
        <is>
          <t>A 52080-2021</t>
        </is>
      </c>
      <c r="B1059" s="1" t="n">
        <v>44463</v>
      </c>
      <c r="C1059" s="1" t="n">
        <v>45192</v>
      </c>
      <c r="D1059" t="inlineStr">
        <is>
          <t>VÄSTERBOTTENS LÄN</t>
        </is>
      </c>
      <c r="E1059" t="inlineStr">
        <is>
          <t>SKELLEFTEÅ</t>
        </is>
      </c>
      <c r="G1059" t="n">
        <v>1</v>
      </c>
      <c r="H1059" t="n">
        <v>0</v>
      </c>
      <c r="I1059" t="n">
        <v>0</v>
      </c>
      <c r="J1059" t="n">
        <v>0</v>
      </c>
      <c r="K1059" t="n">
        <v>0</v>
      </c>
      <c r="L1059" t="n">
        <v>0</v>
      </c>
      <c r="M1059" t="n">
        <v>0</v>
      </c>
      <c r="N1059" t="n">
        <v>0</v>
      </c>
      <c r="O1059" t="n">
        <v>0</v>
      </c>
      <c r="P1059" t="n">
        <v>0</v>
      </c>
      <c r="Q1059" t="n">
        <v>0</v>
      </c>
      <c r="R1059" s="2" t="inlineStr"/>
    </row>
    <row r="1060" ht="15" customHeight="1">
      <c r="A1060" t="inlineStr">
        <is>
          <t>A 52086-2021</t>
        </is>
      </c>
      <c r="B1060" s="1" t="n">
        <v>44463</v>
      </c>
      <c r="C1060" s="1" t="n">
        <v>45192</v>
      </c>
      <c r="D1060" t="inlineStr">
        <is>
          <t>VÄSTERBOTTENS LÄN</t>
        </is>
      </c>
      <c r="E1060" t="inlineStr">
        <is>
          <t>SKELLEFTEÅ</t>
        </is>
      </c>
      <c r="G1060" t="n">
        <v>1.5</v>
      </c>
      <c r="H1060" t="n">
        <v>0</v>
      </c>
      <c r="I1060" t="n">
        <v>0</v>
      </c>
      <c r="J1060" t="n">
        <v>0</v>
      </c>
      <c r="K1060" t="n">
        <v>0</v>
      </c>
      <c r="L1060" t="n">
        <v>0</v>
      </c>
      <c r="M1060" t="n">
        <v>0</v>
      </c>
      <c r="N1060" t="n">
        <v>0</v>
      </c>
      <c r="O1060" t="n">
        <v>0</v>
      </c>
      <c r="P1060" t="n">
        <v>0</v>
      </c>
      <c r="Q1060" t="n">
        <v>0</v>
      </c>
      <c r="R1060" s="2" t="inlineStr"/>
    </row>
    <row r="1061" ht="15" customHeight="1">
      <c r="A1061" t="inlineStr">
        <is>
          <t>A 52462-2021</t>
        </is>
      </c>
      <c r="B1061" s="1" t="n">
        <v>44463</v>
      </c>
      <c r="C1061" s="1" t="n">
        <v>45192</v>
      </c>
      <c r="D1061" t="inlineStr">
        <is>
          <t>VÄSTERBOTTENS LÄN</t>
        </is>
      </c>
      <c r="E1061" t="inlineStr">
        <is>
          <t>SKELLEFTEÅ</t>
        </is>
      </c>
      <c r="G1061" t="n">
        <v>3</v>
      </c>
      <c r="H1061" t="n">
        <v>0</v>
      </c>
      <c r="I1061" t="n">
        <v>0</v>
      </c>
      <c r="J1061" t="n">
        <v>0</v>
      </c>
      <c r="K1061" t="n">
        <v>0</v>
      </c>
      <c r="L1061" t="n">
        <v>0</v>
      </c>
      <c r="M1061" t="n">
        <v>0</v>
      </c>
      <c r="N1061" t="n">
        <v>0</v>
      </c>
      <c r="O1061" t="n">
        <v>0</v>
      </c>
      <c r="P1061" t="n">
        <v>0</v>
      </c>
      <c r="Q1061" t="n">
        <v>0</v>
      </c>
      <c r="R1061" s="2" t="inlineStr"/>
    </row>
    <row r="1062" ht="15" customHeight="1">
      <c r="A1062" t="inlineStr">
        <is>
          <t>A 52453-2021</t>
        </is>
      </c>
      <c r="B1062" s="1" t="n">
        <v>44463</v>
      </c>
      <c r="C1062" s="1" t="n">
        <v>45192</v>
      </c>
      <c r="D1062" t="inlineStr">
        <is>
          <t>VÄSTERBOTTENS LÄN</t>
        </is>
      </c>
      <c r="E1062" t="inlineStr">
        <is>
          <t>SKELLEFTEÅ</t>
        </is>
      </c>
      <c r="G1062" t="n">
        <v>1.6</v>
      </c>
      <c r="H1062" t="n">
        <v>0</v>
      </c>
      <c r="I1062" t="n">
        <v>0</v>
      </c>
      <c r="J1062" t="n">
        <v>0</v>
      </c>
      <c r="K1062" t="n">
        <v>0</v>
      </c>
      <c r="L1062" t="n">
        <v>0</v>
      </c>
      <c r="M1062" t="n">
        <v>0</v>
      </c>
      <c r="N1062" t="n">
        <v>0</v>
      </c>
      <c r="O1062" t="n">
        <v>0</v>
      </c>
      <c r="P1062" t="n">
        <v>0</v>
      </c>
      <c r="Q1062" t="n">
        <v>0</v>
      </c>
      <c r="R1062" s="2" t="inlineStr"/>
    </row>
    <row r="1063" ht="15" customHeight="1">
      <c r="A1063" t="inlineStr">
        <is>
          <t>A 54193-2021</t>
        </is>
      </c>
      <c r="B1063" s="1" t="n">
        <v>44470</v>
      </c>
      <c r="C1063" s="1" t="n">
        <v>45192</v>
      </c>
      <c r="D1063" t="inlineStr">
        <is>
          <t>VÄSTERBOTTENS LÄN</t>
        </is>
      </c>
      <c r="E1063" t="inlineStr">
        <is>
          <t>SKELLEFTEÅ</t>
        </is>
      </c>
      <c r="G1063" t="n">
        <v>26</v>
      </c>
      <c r="H1063" t="n">
        <v>0</v>
      </c>
      <c r="I1063" t="n">
        <v>0</v>
      </c>
      <c r="J1063" t="n">
        <v>0</v>
      </c>
      <c r="K1063" t="n">
        <v>0</v>
      </c>
      <c r="L1063" t="n">
        <v>0</v>
      </c>
      <c r="M1063" t="n">
        <v>0</v>
      </c>
      <c r="N1063" t="n">
        <v>0</v>
      </c>
      <c r="O1063" t="n">
        <v>0</v>
      </c>
      <c r="P1063" t="n">
        <v>0</v>
      </c>
      <c r="Q1063" t="n">
        <v>0</v>
      </c>
      <c r="R1063" s="2" t="inlineStr"/>
    </row>
    <row r="1064" ht="15" customHeight="1">
      <c r="A1064" t="inlineStr">
        <is>
          <t>A 54288-2021</t>
        </is>
      </c>
      <c r="B1064" s="1" t="n">
        <v>44471</v>
      </c>
      <c r="C1064" s="1" t="n">
        <v>45192</v>
      </c>
      <c r="D1064" t="inlineStr">
        <is>
          <t>VÄSTERBOTTENS LÄN</t>
        </is>
      </c>
      <c r="E1064" t="inlineStr">
        <is>
          <t>SKELLEFTEÅ</t>
        </is>
      </c>
      <c r="G1064" t="n">
        <v>1.9</v>
      </c>
      <c r="H1064" t="n">
        <v>0</v>
      </c>
      <c r="I1064" t="n">
        <v>0</v>
      </c>
      <c r="J1064" t="n">
        <v>0</v>
      </c>
      <c r="K1064" t="n">
        <v>0</v>
      </c>
      <c r="L1064" t="n">
        <v>0</v>
      </c>
      <c r="M1064" t="n">
        <v>0</v>
      </c>
      <c r="N1064" t="n">
        <v>0</v>
      </c>
      <c r="O1064" t="n">
        <v>0</v>
      </c>
      <c r="P1064" t="n">
        <v>0</v>
      </c>
      <c r="Q1064" t="n">
        <v>0</v>
      </c>
      <c r="R1064" s="2" t="inlineStr"/>
    </row>
    <row r="1065" ht="15" customHeight="1">
      <c r="A1065" t="inlineStr">
        <is>
          <t>A 54287-2021</t>
        </is>
      </c>
      <c r="B1065" s="1" t="n">
        <v>44471</v>
      </c>
      <c r="C1065" s="1" t="n">
        <v>45192</v>
      </c>
      <c r="D1065" t="inlineStr">
        <is>
          <t>VÄSTERBOTTENS LÄN</t>
        </is>
      </c>
      <c r="E1065" t="inlineStr">
        <is>
          <t>SKELLEFTEÅ</t>
        </is>
      </c>
      <c r="G1065" t="n">
        <v>2.1</v>
      </c>
      <c r="H1065" t="n">
        <v>0</v>
      </c>
      <c r="I1065" t="n">
        <v>0</v>
      </c>
      <c r="J1065" t="n">
        <v>0</v>
      </c>
      <c r="K1065" t="n">
        <v>0</v>
      </c>
      <c r="L1065" t="n">
        <v>0</v>
      </c>
      <c r="M1065" t="n">
        <v>0</v>
      </c>
      <c r="N1065" t="n">
        <v>0</v>
      </c>
      <c r="O1065" t="n">
        <v>0</v>
      </c>
      <c r="P1065" t="n">
        <v>0</v>
      </c>
      <c r="Q1065" t="n">
        <v>0</v>
      </c>
      <c r="R1065" s="2" t="inlineStr"/>
    </row>
    <row r="1066" ht="15" customHeight="1">
      <c r="A1066" t="inlineStr">
        <is>
          <t>A 54863-2021</t>
        </is>
      </c>
      <c r="B1066" s="1" t="n">
        <v>44473</v>
      </c>
      <c r="C1066" s="1" t="n">
        <v>45192</v>
      </c>
      <c r="D1066" t="inlineStr">
        <is>
          <t>VÄSTERBOTTENS LÄN</t>
        </is>
      </c>
      <c r="E1066" t="inlineStr">
        <is>
          <t>SKELLEFTEÅ</t>
        </is>
      </c>
      <c r="G1066" t="n">
        <v>0.6</v>
      </c>
      <c r="H1066" t="n">
        <v>0</v>
      </c>
      <c r="I1066" t="n">
        <v>0</v>
      </c>
      <c r="J1066" t="n">
        <v>0</v>
      </c>
      <c r="K1066" t="n">
        <v>0</v>
      </c>
      <c r="L1066" t="n">
        <v>0</v>
      </c>
      <c r="M1066" t="n">
        <v>0</v>
      </c>
      <c r="N1066" t="n">
        <v>0</v>
      </c>
      <c r="O1066" t="n">
        <v>0</v>
      </c>
      <c r="P1066" t="n">
        <v>0</v>
      </c>
      <c r="Q1066" t="n">
        <v>0</v>
      </c>
      <c r="R1066" s="2" t="inlineStr"/>
    </row>
    <row r="1067" ht="15" customHeight="1">
      <c r="A1067" t="inlineStr">
        <is>
          <t>A 54384-2021</t>
        </is>
      </c>
      <c r="B1067" s="1" t="n">
        <v>44473</v>
      </c>
      <c r="C1067" s="1" t="n">
        <v>45192</v>
      </c>
      <c r="D1067" t="inlineStr">
        <is>
          <t>VÄSTERBOTTENS LÄN</t>
        </is>
      </c>
      <c r="E1067" t="inlineStr">
        <is>
          <t>SKELLEFTEÅ</t>
        </is>
      </c>
      <c r="G1067" t="n">
        <v>3.5</v>
      </c>
      <c r="H1067" t="n">
        <v>0</v>
      </c>
      <c r="I1067" t="n">
        <v>0</v>
      </c>
      <c r="J1067" t="n">
        <v>0</v>
      </c>
      <c r="K1067" t="n">
        <v>0</v>
      </c>
      <c r="L1067" t="n">
        <v>0</v>
      </c>
      <c r="M1067" t="n">
        <v>0</v>
      </c>
      <c r="N1067" t="n">
        <v>0</v>
      </c>
      <c r="O1067" t="n">
        <v>0</v>
      </c>
      <c r="P1067" t="n">
        <v>0</v>
      </c>
      <c r="Q1067" t="n">
        <v>0</v>
      </c>
      <c r="R1067" s="2" t="inlineStr"/>
    </row>
    <row r="1068" ht="15" customHeight="1">
      <c r="A1068" t="inlineStr">
        <is>
          <t>A 54850-2021</t>
        </is>
      </c>
      <c r="B1068" s="1" t="n">
        <v>44473</v>
      </c>
      <c r="C1068" s="1" t="n">
        <v>45192</v>
      </c>
      <c r="D1068" t="inlineStr">
        <is>
          <t>VÄSTERBOTTENS LÄN</t>
        </is>
      </c>
      <c r="E1068" t="inlineStr">
        <is>
          <t>SKELLEFTEÅ</t>
        </is>
      </c>
      <c r="G1068" t="n">
        <v>18.4</v>
      </c>
      <c r="H1068" t="n">
        <v>0</v>
      </c>
      <c r="I1068" t="n">
        <v>0</v>
      </c>
      <c r="J1068" t="n">
        <v>0</v>
      </c>
      <c r="K1068" t="n">
        <v>0</v>
      </c>
      <c r="L1068" t="n">
        <v>0</v>
      </c>
      <c r="M1068" t="n">
        <v>0</v>
      </c>
      <c r="N1068" t="n">
        <v>0</v>
      </c>
      <c r="O1068" t="n">
        <v>0</v>
      </c>
      <c r="P1068" t="n">
        <v>0</v>
      </c>
      <c r="Q1068" t="n">
        <v>0</v>
      </c>
      <c r="R1068" s="2" t="inlineStr"/>
    </row>
    <row r="1069" ht="15" customHeight="1">
      <c r="A1069" t="inlineStr">
        <is>
          <t>A 55067-2021</t>
        </is>
      </c>
      <c r="B1069" s="1" t="n">
        <v>44474</v>
      </c>
      <c r="C1069" s="1" t="n">
        <v>45192</v>
      </c>
      <c r="D1069" t="inlineStr">
        <is>
          <t>VÄSTERBOTTENS LÄN</t>
        </is>
      </c>
      <c r="E1069" t="inlineStr">
        <is>
          <t>SKELLEFTEÅ</t>
        </is>
      </c>
      <c r="G1069" t="n">
        <v>1.8</v>
      </c>
      <c r="H1069" t="n">
        <v>0</v>
      </c>
      <c r="I1069" t="n">
        <v>0</v>
      </c>
      <c r="J1069" t="n">
        <v>0</v>
      </c>
      <c r="K1069" t="n">
        <v>0</v>
      </c>
      <c r="L1069" t="n">
        <v>0</v>
      </c>
      <c r="M1069" t="n">
        <v>0</v>
      </c>
      <c r="N1069" t="n">
        <v>0</v>
      </c>
      <c r="O1069" t="n">
        <v>0</v>
      </c>
      <c r="P1069" t="n">
        <v>0</v>
      </c>
      <c r="Q1069" t="n">
        <v>0</v>
      </c>
      <c r="R1069" s="2" t="inlineStr"/>
    </row>
    <row r="1070" ht="15" customHeight="1">
      <c r="A1070" t="inlineStr">
        <is>
          <t>A 55206-2021</t>
        </is>
      </c>
      <c r="B1070" s="1" t="n">
        <v>44475</v>
      </c>
      <c r="C1070" s="1" t="n">
        <v>45192</v>
      </c>
      <c r="D1070" t="inlineStr">
        <is>
          <t>VÄSTERBOTTENS LÄN</t>
        </is>
      </c>
      <c r="E1070" t="inlineStr">
        <is>
          <t>SKELLEFTEÅ</t>
        </is>
      </c>
      <c r="G1070" t="n">
        <v>0.8</v>
      </c>
      <c r="H1070" t="n">
        <v>0</v>
      </c>
      <c r="I1070" t="n">
        <v>0</v>
      </c>
      <c r="J1070" t="n">
        <v>0</v>
      </c>
      <c r="K1070" t="n">
        <v>0</v>
      </c>
      <c r="L1070" t="n">
        <v>0</v>
      </c>
      <c r="M1070" t="n">
        <v>0</v>
      </c>
      <c r="N1070" t="n">
        <v>0</v>
      </c>
      <c r="O1070" t="n">
        <v>0</v>
      </c>
      <c r="P1070" t="n">
        <v>0</v>
      </c>
      <c r="Q1070" t="n">
        <v>0</v>
      </c>
      <c r="R1070" s="2" t="inlineStr"/>
    </row>
    <row r="1071" ht="15" customHeight="1">
      <c r="A1071" t="inlineStr">
        <is>
          <t>A 55471-2021</t>
        </is>
      </c>
      <c r="B1071" s="1" t="n">
        <v>44475</v>
      </c>
      <c r="C1071" s="1" t="n">
        <v>45192</v>
      </c>
      <c r="D1071" t="inlineStr">
        <is>
          <t>VÄSTERBOTTENS LÄN</t>
        </is>
      </c>
      <c r="E1071" t="inlineStr">
        <is>
          <t>SKELLEFTEÅ</t>
        </is>
      </c>
      <c r="G1071" t="n">
        <v>1.1</v>
      </c>
      <c r="H1071" t="n">
        <v>0</v>
      </c>
      <c r="I1071" t="n">
        <v>0</v>
      </c>
      <c r="J1071" t="n">
        <v>0</v>
      </c>
      <c r="K1071" t="n">
        <v>0</v>
      </c>
      <c r="L1071" t="n">
        <v>0</v>
      </c>
      <c r="M1071" t="n">
        <v>0</v>
      </c>
      <c r="N1071" t="n">
        <v>0</v>
      </c>
      <c r="O1071" t="n">
        <v>0</v>
      </c>
      <c r="P1071" t="n">
        <v>0</v>
      </c>
      <c r="Q1071" t="n">
        <v>0</v>
      </c>
      <c r="R1071" s="2" t="inlineStr"/>
    </row>
    <row r="1072" ht="15" customHeight="1">
      <c r="A1072" t="inlineStr">
        <is>
          <t>A 56134-2021</t>
        </is>
      </c>
      <c r="B1072" s="1" t="n">
        <v>44477</v>
      </c>
      <c r="C1072" s="1" t="n">
        <v>45192</v>
      </c>
      <c r="D1072" t="inlineStr">
        <is>
          <t>VÄSTERBOTTENS LÄN</t>
        </is>
      </c>
      <c r="E1072" t="inlineStr">
        <is>
          <t>SKELLEFTEÅ</t>
        </is>
      </c>
      <c r="F1072" t="inlineStr">
        <is>
          <t>Holmen skog AB</t>
        </is>
      </c>
      <c r="G1072" t="n">
        <v>2.7</v>
      </c>
      <c r="H1072" t="n">
        <v>0</v>
      </c>
      <c r="I1072" t="n">
        <v>0</v>
      </c>
      <c r="J1072" t="n">
        <v>0</v>
      </c>
      <c r="K1072" t="n">
        <v>0</v>
      </c>
      <c r="L1072" t="n">
        <v>0</v>
      </c>
      <c r="M1072" t="n">
        <v>0</v>
      </c>
      <c r="N1072" t="n">
        <v>0</v>
      </c>
      <c r="O1072" t="n">
        <v>0</v>
      </c>
      <c r="P1072" t="n">
        <v>0</v>
      </c>
      <c r="Q1072" t="n">
        <v>0</v>
      </c>
      <c r="R1072" s="2" t="inlineStr"/>
    </row>
    <row r="1073" ht="15" customHeight="1">
      <c r="A1073" t="inlineStr">
        <is>
          <t>A 56001-2021</t>
        </is>
      </c>
      <c r="B1073" s="1" t="n">
        <v>44477</v>
      </c>
      <c r="C1073" s="1" t="n">
        <v>45192</v>
      </c>
      <c r="D1073" t="inlineStr">
        <is>
          <t>VÄSTERBOTTENS LÄN</t>
        </is>
      </c>
      <c r="E1073" t="inlineStr">
        <is>
          <t>SKELLEFTEÅ</t>
        </is>
      </c>
      <c r="G1073" t="n">
        <v>7.6</v>
      </c>
      <c r="H1073" t="n">
        <v>0</v>
      </c>
      <c r="I1073" t="n">
        <v>0</v>
      </c>
      <c r="J1073" t="n">
        <v>0</v>
      </c>
      <c r="K1073" t="n">
        <v>0</v>
      </c>
      <c r="L1073" t="n">
        <v>0</v>
      </c>
      <c r="M1073" t="n">
        <v>0</v>
      </c>
      <c r="N1073" t="n">
        <v>0</v>
      </c>
      <c r="O1073" t="n">
        <v>0</v>
      </c>
      <c r="P1073" t="n">
        <v>0</v>
      </c>
      <c r="Q1073" t="n">
        <v>0</v>
      </c>
      <c r="R1073" s="2" t="inlineStr"/>
    </row>
    <row r="1074" ht="15" customHeight="1">
      <c r="A1074" t="inlineStr">
        <is>
          <t>A 56084-2021</t>
        </is>
      </c>
      <c r="B1074" s="1" t="n">
        <v>44477</v>
      </c>
      <c r="C1074" s="1" t="n">
        <v>45192</v>
      </c>
      <c r="D1074" t="inlineStr">
        <is>
          <t>VÄSTERBOTTENS LÄN</t>
        </is>
      </c>
      <c r="E1074" t="inlineStr">
        <is>
          <t>SKELLEFTEÅ</t>
        </is>
      </c>
      <c r="F1074" t="inlineStr">
        <is>
          <t>Holmen skog AB</t>
        </is>
      </c>
      <c r="G1074" t="n">
        <v>1.8</v>
      </c>
      <c r="H1074" t="n">
        <v>0</v>
      </c>
      <c r="I1074" t="n">
        <v>0</v>
      </c>
      <c r="J1074" t="n">
        <v>0</v>
      </c>
      <c r="K1074" t="n">
        <v>0</v>
      </c>
      <c r="L1074" t="n">
        <v>0</v>
      </c>
      <c r="M1074" t="n">
        <v>0</v>
      </c>
      <c r="N1074" t="n">
        <v>0</v>
      </c>
      <c r="O1074" t="n">
        <v>0</v>
      </c>
      <c r="P1074" t="n">
        <v>0</v>
      </c>
      <c r="Q1074" t="n">
        <v>0</v>
      </c>
      <c r="R1074" s="2" t="inlineStr"/>
    </row>
    <row r="1075" ht="15" customHeight="1">
      <c r="A1075" t="inlineStr">
        <is>
          <t>A 56540-2021</t>
        </is>
      </c>
      <c r="B1075" s="1" t="n">
        <v>44480</v>
      </c>
      <c r="C1075" s="1" t="n">
        <v>45192</v>
      </c>
      <c r="D1075" t="inlineStr">
        <is>
          <t>VÄSTERBOTTENS LÄN</t>
        </is>
      </c>
      <c r="E1075" t="inlineStr">
        <is>
          <t>SKELLEFTEÅ</t>
        </is>
      </c>
      <c r="G1075" t="n">
        <v>10.5</v>
      </c>
      <c r="H1075" t="n">
        <v>0</v>
      </c>
      <c r="I1075" t="n">
        <v>0</v>
      </c>
      <c r="J1075" t="n">
        <v>0</v>
      </c>
      <c r="K1075" t="n">
        <v>0</v>
      </c>
      <c r="L1075" t="n">
        <v>0</v>
      </c>
      <c r="M1075" t="n">
        <v>0</v>
      </c>
      <c r="N1075" t="n">
        <v>0</v>
      </c>
      <c r="O1075" t="n">
        <v>0</v>
      </c>
      <c r="P1075" t="n">
        <v>0</v>
      </c>
      <c r="Q1075" t="n">
        <v>0</v>
      </c>
      <c r="R1075" s="2" t="inlineStr"/>
    </row>
    <row r="1076" ht="15" customHeight="1">
      <c r="A1076" t="inlineStr">
        <is>
          <t>A 56536-2021</t>
        </is>
      </c>
      <c r="B1076" s="1" t="n">
        <v>44480</v>
      </c>
      <c r="C1076" s="1" t="n">
        <v>45192</v>
      </c>
      <c r="D1076" t="inlineStr">
        <is>
          <t>VÄSTERBOTTENS LÄN</t>
        </is>
      </c>
      <c r="E1076" t="inlineStr">
        <is>
          <t>SKELLEFTEÅ</t>
        </is>
      </c>
      <c r="F1076" t="inlineStr">
        <is>
          <t>Holmen skog AB</t>
        </is>
      </c>
      <c r="G1076" t="n">
        <v>8</v>
      </c>
      <c r="H1076" t="n">
        <v>0</v>
      </c>
      <c r="I1076" t="n">
        <v>0</v>
      </c>
      <c r="J1076" t="n">
        <v>0</v>
      </c>
      <c r="K1076" t="n">
        <v>0</v>
      </c>
      <c r="L1076" t="n">
        <v>0</v>
      </c>
      <c r="M1076" t="n">
        <v>0</v>
      </c>
      <c r="N1076" t="n">
        <v>0</v>
      </c>
      <c r="O1076" t="n">
        <v>0</v>
      </c>
      <c r="P1076" t="n">
        <v>0</v>
      </c>
      <c r="Q1076" t="n">
        <v>0</v>
      </c>
      <c r="R1076" s="2" t="inlineStr"/>
    </row>
    <row r="1077" ht="15" customHeight="1">
      <c r="A1077" t="inlineStr">
        <is>
          <t>A 57370-2021</t>
        </is>
      </c>
      <c r="B1077" s="1" t="n">
        <v>44483</v>
      </c>
      <c r="C1077" s="1" t="n">
        <v>45192</v>
      </c>
      <c r="D1077" t="inlineStr">
        <is>
          <t>VÄSTERBOTTENS LÄN</t>
        </is>
      </c>
      <c r="E1077" t="inlineStr">
        <is>
          <t>SKELLEFTEÅ</t>
        </is>
      </c>
      <c r="F1077" t="inlineStr">
        <is>
          <t>Holmen skog AB</t>
        </is>
      </c>
      <c r="G1077" t="n">
        <v>2.3</v>
      </c>
      <c r="H1077" t="n">
        <v>0</v>
      </c>
      <c r="I1077" t="n">
        <v>0</v>
      </c>
      <c r="J1077" t="n">
        <v>0</v>
      </c>
      <c r="K1077" t="n">
        <v>0</v>
      </c>
      <c r="L1077" t="n">
        <v>0</v>
      </c>
      <c r="M1077" t="n">
        <v>0</v>
      </c>
      <c r="N1077" t="n">
        <v>0</v>
      </c>
      <c r="O1077" t="n">
        <v>0</v>
      </c>
      <c r="P1077" t="n">
        <v>0</v>
      </c>
      <c r="Q1077" t="n">
        <v>0</v>
      </c>
      <c r="R1077" s="2" t="inlineStr"/>
    </row>
    <row r="1078" ht="15" customHeight="1">
      <c r="A1078" t="inlineStr">
        <is>
          <t>A 57530-2021</t>
        </is>
      </c>
      <c r="B1078" s="1" t="n">
        <v>44483</v>
      </c>
      <c r="C1078" s="1" t="n">
        <v>45192</v>
      </c>
      <c r="D1078" t="inlineStr">
        <is>
          <t>VÄSTERBOTTENS LÄN</t>
        </is>
      </c>
      <c r="E1078" t="inlineStr">
        <is>
          <t>SKELLEFTEÅ</t>
        </is>
      </c>
      <c r="G1078" t="n">
        <v>1.7</v>
      </c>
      <c r="H1078" t="n">
        <v>0</v>
      </c>
      <c r="I1078" t="n">
        <v>0</v>
      </c>
      <c r="J1078" t="n">
        <v>0</v>
      </c>
      <c r="K1078" t="n">
        <v>0</v>
      </c>
      <c r="L1078" t="n">
        <v>0</v>
      </c>
      <c r="M1078" t="n">
        <v>0</v>
      </c>
      <c r="N1078" t="n">
        <v>0</v>
      </c>
      <c r="O1078" t="n">
        <v>0</v>
      </c>
      <c r="P1078" t="n">
        <v>0</v>
      </c>
      <c r="Q1078" t="n">
        <v>0</v>
      </c>
      <c r="R1078" s="2" t="inlineStr"/>
    </row>
    <row r="1079" ht="15" customHeight="1">
      <c r="A1079" t="inlineStr">
        <is>
          <t>A 57978-2021</t>
        </is>
      </c>
      <c r="B1079" s="1" t="n">
        <v>44484</v>
      </c>
      <c r="C1079" s="1" t="n">
        <v>45192</v>
      </c>
      <c r="D1079" t="inlineStr">
        <is>
          <t>VÄSTERBOTTENS LÄN</t>
        </is>
      </c>
      <c r="E1079" t="inlineStr">
        <is>
          <t>SKELLEFTEÅ</t>
        </is>
      </c>
      <c r="G1079" t="n">
        <v>11</v>
      </c>
      <c r="H1079" t="n">
        <v>0</v>
      </c>
      <c r="I1079" t="n">
        <v>0</v>
      </c>
      <c r="J1079" t="n">
        <v>0</v>
      </c>
      <c r="K1079" t="n">
        <v>0</v>
      </c>
      <c r="L1079" t="n">
        <v>0</v>
      </c>
      <c r="M1079" t="n">
        <v>0</v>
      </c>
      <c r="N1079" t="n">
        <v>0</v>
      </c>
      <c r="O1079" t="n">
        <v>0</v>
      </c>
      <c r="P1079" t="n">
        <v>0</v>
      </c>
      <c r="Q1079" t="n">
        <v>0</v>
      </c>
      <c r="R1079" s="2" t="inlineStr"/>
    </row>
    <row r="1080" ht="15" customHeight="1">
      <c r="A1080" t="inlineStr">
        <is>
          <t>A 57966-2021</t>
        </is>
      </c>
      <c r="B1080" s="1" t="n">
        <v>44484</v>
      </c>
      <c r="C1080" s="1" t="n">
        <v>45192</v>
      </c>
      <c r="D1080" t="inlineStr">
        <is>
          <t>VÄSTERBOTTENS LÄN</t>
        </is>
      </c>
      <c r="E1080" t="inlineStr">
        <is>
          <t>SKELLEFTEÅ</t>
        </is>
      </c>
      <c r="F1080" t="inlineStr">
        <is>
          <t>Holmen skog AB</t>
        </is>
      </c>
      <c r="G1080" t="n">
        <v>2.2</v>
      </c>
      <c r="H1080" t="n">
        <v>0</v>
      </c>
      <c r="I1080" t="n">
        <v>0</v>
      </c>
      <c r="J1080" t="n">
        <v>0</v>
      </c>
      <c r="K1080" t="n">
        <v>0</v>
      </c>
      <c r="L1080" t="n">
        <v>0</v>
      </c>
      <c r="M1080" t="n">
        <v>0</v>
      </c>
      <c r="N1080" t="n">
        <v>0</v>
      </c>
      <c r="O1080" t="n">
        <v>0</v>
      </c>
      <c r="P1080" t="n">
        <v>0</v>
      </c>
      <c r="Q1080" t="n">
        <v>0</v>
      </c>
      <c r="R1080" s="2" t="inlineStr"/>
    </row>
    <row r="1081" ht="15" customHeight="1">
      <c r="A1081" t="inlineStr">
        <is>
          <t>A 58808-2021</t>
        </is>
      </c>
      <c r="B1081" s="1" t="n">
        <v>44489</v>
      </c>
      <c r="C1081" s="1" t="n">
        <v>45192</v>
      </c>
      <c r="D1081" t="inlineStr">
        <is>
          <t>VÄSTERBOTTENS LÄN</t>
        </is>
      </c>
      <c r="E1081" t="inlineStr">
        <is>
          <t>SKELLEFTEÅ</t>
        </is>
      </c>
      <c r="F1081" t="inlineStr">
        <is>
          <t>Sveaskog</t>
        </is>
      </c>
      <c r="G1081" t="n">
        <v>15.5</v>
      </c>
      <c r="H1081" t="n">
        <v>0</v>
      </c>
      <c r="I1081" t="n">
        <v>0</v>
      </c>
      <c r="J1081" t="n">
        <v>0</v>
      </c>
      <c r="K1081" t="n">
        <v>0</v>
      </c>
      <c r="L1081" t="n">
        <v>0</v>
      </c>
      <c r="M1081" t="n">
        <v>0</v>
      </c>
      <c r="N1081" t="n">
        <v>0</v>
      </c>
      <c r="O1081" t="n">
        <v>0</v>
      </c>
      <c r="P1081" t="n">
        <v>0</v>
      </c>
      <c r="Q1081" t="n">
        <v>0</v>
      </c>
      <c r="R1081" s="2" t="inlineStr"/>
    </row>
    <row r="1082" ht="15" customHeight="1">
      <c r="A1082" t="inlineStr">
        <is>
          <t>A 59171-2021</t>
        </is>
      </c>
      <c r="B1082" s="1" t="n">
        <v>44489</v>
      </c>
      <c r="C1082" s="1" t="n">
        <v>45192</v>
      </c>
      <c r="D1082" t="inlineStr">
        <is>
          <t>VÄSTERBOTTENS LÄN</t>
        </is>
      </c>
      <c r="E1082" t="inlineStr">
        <is>
          <t>SKELLEFTEÅ</t>
        </is>
      </c>
      <c r="G1082" t="n">
        <v>2.5</v>
      </c>
      <c r="H1082" t="n">
        <v>0</v>
      </c>
      <c r="I1082" t="n">
        <v>0</v>
      </c>
      <c r="J1082" t="n">
        <v>0</v>
      </c>
      <c r="K1082" t="n">
        <v>0</v>
      </c>
      <c r="L1082" t="n">
        <v>0</v>
      </c>
      <c r="M1082" t="n">
        <v>0</v>
      </c>
      <c r="N1082" t="n">
        <v>0</v>
      </c>
      <c r="O1082" t="n">
        <v>0</v>
      </c>
      <c r="P1082" t="n">
        <v>0</v>
      </c>
      <c r="Q1082" t="n">
        <v>0</v>
      </c>
      <c r="R1082" s="2" t="inlineStr"/>
    </row>
    <row r="1083" ht="15" customHeight="1">
      <c r="A1083" t="inlineStr">
        <is>
          <t>A 58811-2021</t>
        </is>
      </c>
      <c r="B1083" s="1" t="n">
        <v>44489</v>
      </c>
      <c r="C1083" s="1" t="n">
        <v>45192</v>
      </c>
      <c r="D1083" t="inlineStr">
        <is>
          <t>VÄSTERBOTTENS LÄN</t>
        </is>
      </c>
      <c r="E1083" t="inlineStr">
        <is>
          <t>SKELLEFTEÅ</t>
        </is>
      </c>
      <c r="F1083" t="inlineStr">
        <is>
          <t>Holmen skog AB</t>
        </is>
      </c>
      <c r="G1083" t="n">
        <v>0.4</v>
      </c>
      <c r="H1083" t="n">
        <v>0</v>
      </c>
      <c r="I1083" t="n">
        <v>0</v>
      </c>
      <c r="J1083" t="n">
        <v>0</v>
      </c>
      <c r="K1083" t="n">
        <v>0</v>
      </c>
      <c r="L1083" t="n">
        <v>0</v>
      </c>
      <c r="M1083" t="n">
        <v>0</v>
      </c>
      <c r="N1083" t="n">
        <v>0</v>
      </c>
      <c r="O1083" t="n">
        <v>0</v>
      </c>
      <c r="P1083" t="n">
        <v>0</v>
      </c>
      <c r="Q1083" t="n">
        <v>0</v>
      </c>
      <c r="R1083" s="2" t="inlineStr"/>
    </row>
    <row r="1084" ht="15" customHeight="1">
      <c r="A1084" t="inlineStr">
        <is>
          <t>A 59180-2021</t>
        </is>
      </c>
      <c r="B1084" s="1" t="n">
        <v>44489</v>
      </c>
      <c r="C1084" s="1" t="n">
        <v>45192</v>
      </c>
      <c r="D1084" t="inlineStr">
        <is>
          <t>VÄSTERBOTTENS LÄN</t>
        </is>
      </c>
      <c r="E1084" t="inlineStr">
        <is>
          <t>SKELLEFTEÅ</t>
        </is>
      </c>
      <c r="G1084" t="n">
        <v>1.4</v>
      </c>
      <c r="H1084" t="n">
        <v>0</v>
      </c>
      <c r="I1084" t="n">
        <v>0</v>
      </c>
      <c r="J1084" t="n">
        <v>0</v>
      </c>
      <c r="K1084" t="n">
        <v>0</v>
      </c>
      <c r="L1084" t="n">
        <v>0</v>
      </c>
      <c r="M1084" t="n">
        <v>0</v>
      </c>
      <c r="N1084" t="n">
        <v>0</v>
      </c>
      <c r="O1084" t="n">
        <v>0</v>
      </c>
      <c r="P1084" t="n">
        <v>0</v>
      </c>
      <c r="Q1084" t="n">
        <v>0</v>
      </c>
      <c r="R1084" s="2" t="inlineStr"/>
    </row>
    <row r="1085" ht="15" customHeight="1">
      <c r="A1085" t="inlineStr">
        <is>
          <t>A 58835-2021</t>
        </is>
      </c>
      <c r="B1085" s="1" t="n">
        <v>44489</v>
      </c>
      <c r="C1085" s="1" t="n">
        <v>45192</v>
      </c>
      <c r="D1085" t="inlineStr">
        <is>
          <t>VÄSTERBOTTENS LÄN</t>
        </is>
      </c>
      <c r="E1085" t="inlineStr">
        <is>
          <t>SKELLEFTEÅ</t>
        </is>
      </c>
      <c r="G1085" t="n">
        <v>10.2</v>
      </c>
      <c r="H1085" t="n">
        <v>0</v>
      </c>
      <c r="I1085" t="n">
        <v>0</v>
      </c>
      <c r="J1085" t="n">
        <v>0</v>
      </c>
      <c r="K1085" t="n">
        <v>0</v>
      </c>
      <c r="L1085" t="n">
        <v>0</v>
      </c>
      <c r="M1085" t="n">
        <v>0</v>
      </c>
      <c r="N1085" t="n">
        <v>0</v>
      </c>
      <c r="O1085" t="n">
        <v>0</v>
      </c>
      <c r="P1085" t="n">
        <v>0</v>
      </c>
      <c r="Q1085" t="n">
        <v>0</v>
      </c>
      <c r="R1085" s="2" t="inlineStr"/>
    </row>
    <row r="1086" ht="15" customHeight="1">
      <c r="A1086" t="inlineStr">
        <is>
          <t>A 58872-2021</t>
        </is>
      </c>
      <c r="B1086" s="1" t="n">
        <v>44489</v>
      </c>
      <c r="C1086" s="1" t="n">
        <v>45192</v>
      </c>
      <c r="D1086" t="inlineStr">
        <is>
          <t>VÄSTERBOTTENS LÄN</t>
        </is>
      </c>
      <c r="E1086" t="inlineStr">
        <is>
          <t>SKELLEFTEÅ</t>
        </is>
      </c>
      <c r="G1086" t="n">
        <v>2.9</v>
      </c>
      <c r="H1086" t="n">
        <v>0</v>
      </c>
      <c r="I1086" t="n">
        <v>0</v>
      </c>
      <c r="J1086" t="n">
        <v>0</v>
      </c>
      <c r="K1086" t="n">
        <v>0</v>
      </c>
      <c r="L1086" t="n">
        <v>0</v>
      </c>
      <c r="M1086" t="n">
        <v>0</v>
      </c>
      <c r="N1086" t="n">
        <v>0</v>
      </c>
      <c r="O1086" t="n">
        <v>0</v>
      </c>
      <c r="P1086" t="n">
        <v>0</v>
      </c>
      <c r="Q1086" t="n">
        <v>0</v>
      </c>
      <c r="R1086" s="2" t="inlineStr"/>
    </row>
    <row r="1087" ht="15" customHeight="1">
      <c r="A1087" t="inlineStr">
        <is>
          <t>A 59851-2021</t>
        </is>
      </c>
      <c r="B1087" s="1" t="n">
        <v>44491</v>
      </c>
      <c r="C1087" s="1" t="n">
        <v>45192</v>
      </c>
      <c r="D1087" t="inlineStr">
        <is>
          <t>VÄSTERBOTTENS LÄN</t>
        </is>
      </c>
      <c r="E1087" t="inlineStr">
        <is>
          <t>SKELLEFTEÅ</t>
        </is>
      </c>
      <c r="G1087" t="n">
        <v>11.6</v>
      </c>
      <c r="H1087" t="n">
        <v>0</v>
      </c>
      <c r="I1087" t="n">
        <v>0</v>
      </c>
      <c r="J1087" t="n">
        <v>0</v>
      </c>
      <c r="K1087" t="n">
        <v>0</v>
      </c>
      <c r="L1087" t="n">
        <v>0</v>
      </c>
      <c r="M1087" t="n">
        <v>0</v>
      </c>
      <c r="N1087" t="n">
        <v>0</v>
      </c>
      <c r="O1087" t="n">
        <v>0</v>
      </c>
      <c r="P1087" t="n">
        <v>0</v>
      </c>
      <c r="Q1087" t="n">
        <v>0</v>
      </c>
      <c r="R1087" s="2" t="inlineStr"/>
    </row>
    <row r="1088" ht="15" customHeight="1">
      <c r="A1088" t="inlineStr">
        <is>
          <t>A 59522-2021</t>
        </is>
      </c>
      <c r="B1088" s="1" t="n">
        <v>44491</v>
      </c>
      <c r="C1088" s="1" t="n">
        <v>45192</v>
      </c>
      <c r="D1088" t="inlineStr">
        <is>
          <t>VÄSTERBOTTENS LÄN</t>
        </is>
      </c>
      <c r="E1088" t="inlineStr">
        <is>
          <t>SKELLEFTEÅ</t>
        </is>
      </c>
      <c r="G1088" t="n">
        <v>5.5</v>
      </c>
      <c r="H1088" t="n">
        <v>0</v>
      </c>
      <c r="I1088" t="n">
        <v>0</v>
      </c>
      <c r="J1088" t="n">
        <v>0</v>
      </c>
      <c r="K1088" t="n">
        <v>0</v>
      </c>
      <c r="L1088" t="n">
        <v>0</v>
      </c>
      <c r="M1088" t="n">
        <v>0</v>
      </c>
      <c r="N1088" t="n">
        <v>0</v>
      </c>
      <c r="O1088" t="n">
        <v>0</v>
      </c>
      <c r="P1088" t="n">
        <v>0</v>
      </c>
      <c r="Q1088" t="n">
        <v>0</v>
      </c>
      <c r="R1088" s="2" t="inlineStr"/>
    </row>
    <row r="1089" ht="15" customHeight="1">
      <c r="A1089" t="inlineStr">
        <is>
          <t>A 59659-2021</t>
        </is>
      </c>
      <c r="B1089" s="1" t="n">
        <v>44491</v>
      </c>
      <c r="C1089" s="1" t="n">
        <v>45192</v>
      </c>
      <c r="D1089" t="inlineStr">
        <is>
          <t>VÄSTERBOTTENS LÄN</t>
        </is>
      </c>
      <c r="E1089" t="inlineStr">
        <is>
          <t>SKELLEFTEÅ</t>
        </is>
      </c>
      <c r="G1089" t="n">
        <v>1.5</v>
      </c>
      <c r="H1089" t="n">
        <v>0</v>
      </c>
      <c r="I1089" t="n">
        <v>0</v>
      </c>
      <c r="J1089" t="n">
        <v>0</v>
      </c>
      <c r="K1089" t="n">
        <v>0</v>
      </c>
      <c r="L1089" t="n">
        <v>0</v>
      </c>
      <c r="M1089" t="n">
        <v>0</v>
      </c>
      <c r="N1089" t="n">
        <v>0</v>
      </c>
      <c r="O1089" t="n">
        <v>0</v>
      </c>
      <c r="P1089" t="n">
        <v>0</v>
      </c>
      <c r="Q1089" t="n">
        <v>0</v>
      </c>
      <c r="R1089" s="2" t="inlineStr"/>
    </row>
    <row r="1090" ht="15" customHeight="1">
      <c r="A1090" t="inlineStr">
        <is>
          <t>A 59372-2021</t>
        </is>
      </c>
      <c r="B1090" s="1" t="n">
        <v>44491</v>
      </c>
      <c r="C1090" s="1" t="n">
        <v>45192</v>
      </c>
      <c r="D1090" t="inlineStr">
        <is>
          <t>VÄSTERBOTTENS LÄN</t>
        </is>
      </c>
      <c r="E1090" t="inlineStr">
        <is>
          <t>SKELLEFTEÅ</t>
        </is>
      </c>
      <c r="G1090" t="n">
        <v>2.2</v>
      </c>
      <c r="H1090" t="n">
        <v>0</v>
      </c>
      <c r="I1090" t="n">
        <v>0</v>
      </c>
      <c r="J1090" t="n">
        <v>0</v>
      </c>
      <c r="K1090" t="n">
        <v>0</v>
      </c>
      <c r="L1090" t="n">
        <v>0</v>
      </c>
      <c r="M1090" t="n">
        <v>0</v>
      </c>
      <c r="N1090" t="n">
        <v>0</v>
      </c>
      <c r="O1090" t="n">
        <v>0</v>
      </c>
      <c r="P1090" t="n">
        <v>0</v>
      </c>
      <c r="Q1090" t="n">
        <v>0</v>
      </c>
      <c r="R1090" s="2" t="inlineStr"/>
    </row>
    <row r="1091" ht="15" customHeight="1">
      <c r="A1091" t="inlineStr">
        <is>
          <t>A 60066-2021</t>
        </is>
      </c>
      <c r="B1091" s="1" t="n">
        <v>44494</v>
      </c>
      <c r="C1091" s="1" t="n">
        <v>45192</v>
      </c>
      <c r="D1091" t="inlineStr">
        <is>
          <t>VÄSTERBOTTENS LÄN</t>
        </is>
      </c>
      <c r="E1091" t="inlineStr">
        <is>
          <t>SKELLEFTEÅ</t>
        </is>
      </c>
      <c r="G1091" t="n">
        <v>2.7</v>
      </c>
      <c r="H1091" t="n">
        <v>0</v>
      </c>
      <c r="I1091" t="n">
        <v>0</v>
      </c>
      <c r="J1091" t="n">
        <v>0</v>
      </c>
      <c r="K1091" t="n">
        <v>0</v>
      </c>
      <c r="L1091" t="n">
        <v>0</v>
      </c>
      <c r="M1091" t="n">
        <v>0</v>
      </c>
      <c r="N1091" t="n">
        <v>0</v>
      </c>
      <c r="O1091" t="n">
        <v>0</v>
      </c>
      <c r="P1091" t="n">
        <v>0</v>
      </c>
      <c r="Q1091" t="n">
        <v>0</v>
      </c>
      <c r="R1091" s="2" t="inlineStr"/>
    </row>
    <row r="1092" ht="15" customHeight="1">
      <c r="A1092" t="inlineStr">
        <is>
          <t>A 60539-2021</t>
        </is>
      </c>
      <c r="B1092" s="1" t="n">
        <v>44495</v>
      </c>
      <c r="C1092" s="1" t="n">
        <v>45192</v>
      </c>
      <c r="D1092" t="inlineStr">
        <is>
          <t>VÄSTERBOTTENS LÄN</t>
        </is>
      </c>
      <c r="E1092" t="inlineStr">
        <is>
          <t>SKELLEFTEÅ</t>
        </is>
      </c>
      <c r="G1092" t="n">
        <v>8</v>
      </c>
      <c r="H1092" t="n">
        <v>0</v>
      </c>
      <c r="I1092" t="n">
        <v>0</v>
      </c>
      <c r="J1092" t="n">
        <v>0</v>
      </c>
      <c r="K1092" t="n">
        <v>0</v>
      </c>
      <c r="L1092" t="n">
        <v>0</v>
      </c>
      <c r="M1092" t="n">
        <v>0</v>
      </c>
      <c r="N1092" t="n">
        <v>0</v>
      </c>
      <c r="O1092" t="n">
        <v>0</v>
      </c>
      <c r="P1092" t="n">
        <v>0</v>
      </c>
      <c r="Q1092" t="n">
        <v>0</v>
      </c>
      <c r="R1092" s="2" t="inlineStr"/>
    </row>
    <row r="1093" ht="15" customHeight="1">
      <c r="A1093" t="inlineStr">
        <is>
          <t>A 60687-2021</t>
        </is>
      </c>
      <c r="B1093" s="1" t="n">
        <v>44496</v>
      </c>
      <c r="C1093" s="1" t="n">
        <v>45192</v>
      </c>
      <c r="D1093" t="inlineStr">
        <is>
          <t>VÄSTERBOTTENS LÄN</t>
        </is>
      </c>
      <c r="E1093" t="inlineStr">
        <is>
          <t>SKELLEFTEÅ</t>
        </is>
      </c>
      <c r="G1093" t="n">
        <v>12.1</v>
      </c>
      <c r="H1093" t="n">
        <v>0</v>
      </c>
      <c r="I1093" t="n">
        <v>0</v>
      </c>
      <c r="J1093" t="n">
        <v>0</v>
      </c>
      <c r="K1093" t="n">
        <v>0</v>
      </c>
      <c r="L1093" t="n">
        <v>0</v>
      </c>
      <c r="M1093" t="n">
        <v>0</v>
      </c>
      <c r="N1093" t="n">
        <v>0</v>
      </c>
      <c r="O1093" t="n">
        <v>0</v>
      </c>
      <c r="P1093" t="n">
        <v>0</v>
      </c>
      <c r="Q1093" t="n">
        <v>0</v>
      </c>
      <c r="R1093" s="2" t="inlineStr"/>
    </row>
    <row r="1094" ht="15" customHeight="1">
      <c r="A1094" t="inlineStr">
        <is>
          <t>A 60758-2021</t>
        </is>
      </c>
      <c r="B1094" s="1" t="n">
        <v>44496</v>
      </c>
      <c r="C1094" s="1" t="n">
        <v>45192</v>
      </c>
      <c r="D1094" t="inlineStr">
        <is>
          <t>VÄSTERBOTTENS LÄN</t>
        </is>
      </c>
      <c r="E1094" t="inlineStr">
        <is>
          <t>SKELLEFTEÅ</t>
        </is>
      </c>
      <c r="G1094" t="n">
        <v>4.7</v>
      </c>
      <c r="H1094" t="n">
        <v>0</v>
      </c>
      <c r="I1094" t="n">
        <v>0</v>
      </c>
      <c r="J1094" t="n">
        <v>0</v>
      </c>
      <c r="K1094" t="n">
        <v>0</v>
      </c>
      <c r="L1094" t="n">
        <v>0</v>
      </c>
      <c r="M1094" t="n">
        <v>0</v>
      </c>
      <c r="N1094" t="n">
        <v>0</v>
      </c>
      <c r="O1094" t="n">
        <v>0</v>
      </c>
      <c r="P1094" t="n">
        <v>0</v>
      </c>
      <c r="Q1094" t="n">
        <v>0</v>
      </c>
      <c r="R1094" s="2" t="inlineStr"/>
    </row>
    <row r="1095" ht="15" customHeight="1">
      <c r="A1095" t="inlineStr">
        <is>
          <t>A 61656-2021</t>
        </is>
      </c>
      <c r="B1095" s="1" t="n">
        <v>44501</v>
      </c>
      <c r="C1095" s="1" t="n">
        <v>45192</v>
      </c>
      <c r="D1095" t="inlineStr">
        <is>
          <t>VÄSTERBOTTENS LÄN</t>
        </is>
      </c>
      <c r="E1095" t="inlineStr">
        <is>
          <t>SKELLEFTEÅ</t>
        </is>
      </c>
      <c r="F1095" t="inlineStr">
        <is>
          <t>Sveaskog</t>
        </is>
      </c>
      <c r="G1095" t="n">
        <v>12</v>
      </c>
      <c r="H1095" t="n">
        <v>0</v>
      </c>
      <c r="I1095" t="n">
        <v>0</v>
      </c>
      <c r="J1095" t="n">
        <v>0</v>
      </c>
      <c r="K1095" t="n">
        <v>0</v>
      </c>
      <c r="L1095" t="n">
        <v>0</v>
      </c>
      <c r="M1095" t="n">
        <v>0</v>
      </c>
      <c r="N1095" t="n">
        <v>0</v>
      </c>
      <c r="O1095" t="n">
        <v>0</v>
      </c>
      <c r="P1095" t="n">
        <v>0</v>
      </c>
      <c r="Q1095" t="n">
        <v>0</v>
      </c>
      <c r="R1095" s="2" t="inlineStr"/>
    </row>
    <row r="1096" ht="15" customHeight="1">
      <c r="A1096" t="inlineStr">
        <is>
          <t>A 61811-2021</t>
        </is>
      </c>
      <c r="B1096" s="1" t="n">
        <v>44501</v>
      </c>
      <c r="C1096" s="1" t="n">
        <v>45192</v>
      </c>
      <c r="D1096" t="inlineStr">
        <is>
          <t>VÄSTERBOTTENS LÄN</t>
        </is>
      </c>
      <c r="E1096" t="inlineStr">
        <is>
          <t>SKELLEFTEÅ</t>
        </is>
      </c>
      <c r="F1096" t="inlineStr">
        <is>
          <t>Sveaskog</t>
        </is>
      </c>
      <c r="G1096" t="n">
        <v>12.8</v>
      </c>
      <c r="H1096" t="n">
        <v>0</v>
      </c>
      <c r="I1096" t="n">
        <v>0</v>
      </c>
      <c r="J1096" t="n">
        <v>0</v>
      </c>
      <c r="K1096" t="n">
        <v>0</v>
      </c>
      <c r="L1096" t="n">
        <v>0</v>
      </c>
      <c r="M1096" t="n">
        <v>0</v>
      </c>
      <c r="N1096" t="n">
        <v>0</v>
      </c>
      <c r="O1096" t="n">
        <v>0</v>
      </c>
      <c r="P1096" t="n">
        <v>0</v>
      </c>
      <c r="Q1096" t="n">
        <v>0</v>
      </c>
      <c r="R1096" s="2" t="inlineStr"/>
    </row>
    <row r="1097" ht="15" customHeight="1">
      <c r="A1097" t="inlineStr">
        <is>
          <t>A 62227-2021</t>
        </is>
      </c>
      <c r="B1097" s="1" t="n">
        <v>44501</v>
      </c>
      <c r="C1097" s="1" t="n">
        <v>45192</v>
      </c>
      <c r="D1097" t="inlineStr">
        <is>
          <t>VÄSTERBOTTENS LÄN</t>
        </is>
      </c>
      <c r="E1097" t="inlineStr">
        <is>
          <t>SKELLEFTEÅ</t>
        </is>
      </c>
      <c r="G1097" t="n">
        <v>3.1</v>
      </c>
      <c r="H1097" t="n">
        <v>0</v>
      </c>
      <c r="I1097" t="n">
        <v>0</v>
      </c>
      <c r="J1097" t="n">
        <v>0</v>
      </c>
      <c r="K1097" t="n">
        <v>0</v>
      </c>
      <c r="L1097" t="n">
        <v>0</v>
      </c>
      <c r="M1097" t="n">
        <v>0</v>
      </c>
      <c r="N1097" t="n">
        <v>0</v>
      </c>
      <c r="O1097" t="n">
        <v>0</v>
      </c>
      <c r="P1097" t="n">
        <v>0</v>
      </c>
      <c r="Q1097" t="n">
        <v>0</v>
      </c>
      <c r="R1097" s="2" t="inlineStr"/>
    </row>
    <row r="1098" ht="15" customHeight="1">
      <c r="A1098" t="inlineStr">
        <is>
          <t>A 62486-2021</t>
        </is>
      </c>
      <c r="B1098" s="1" t="n">
        <v>44503</v>
      </c>
      <c r="C1098" s="1" t="n">
        <v>45192</v>
      </c>
      <c r="D1098" t="inlineStr">
        <is>
          <t>VÄSTERBOTTENS LÄN</t>
        </is>
      </c>
      <c r="E1098" t="inlineStr">
        <is>
          <t>SKELLEFTEÅ</t>
        </is>
      </c>
      <c r="G1098" t="n">
        <v>2.4</v>
      </c>
      <c r="H1098" t="n">
        <v>0</v>
      </c>
      <c r="I1098" t="n">
        <v>0</v>
      </c>
      <c r="J1098" t="n">
        <v>0</v>
      </c>
      <c r="K1098" t="n">
        <v>0</v>
      </c>
      <c r="L1098" t="n">
        <v>0</v>
      </c>
      <c r="M1098" t="n">
        <v>0</v>
      </c>
      <c r="N1098" t="n">
        <v>0</v>
      </c>
      <c r="O1098" t="n">
        <v>0</v>
      </c>
      <c r="P1098" t="n">
        <v>0</v>
      </c>
      <c r="Q1098" t="n">
        <v>0</v>
      </c>
      <c r="R1098" s="2" t="inlineStr"/>
    </row>
    <row r="1099" ht="15" customHeight="1">
      <c r="A1099" t="inlineStr">
        <is>
          <t>A 62345-2021</t>
        </is>
      </c>
      <c r="B1099" s="1" t="n">
        <v>44503</v>
      </c>
      <c r="C1099" s="1" t="n">
        <v>45192</v>
      </c>
      <c r="D1099" t="inlineStr">
        <is>
          <t>VÄSTERBOTTENS LÄN</t>
        </is>
      </c>
      <c r="E1099" t="inlineStr">
        <is>
          <t>SKELLEFTEÅ</t>
        </is>
      </c>
      <c r="G1099" t="n">
        <v>1.9</v>
      </c>
      <c r="H1099" t="n">
        <v>0</v>
      </c>
      <c r="I1099" t="n">
        <v>0</v>
      </c>
      <c r="J1099" t="n">
        <v>0</v>
      </c>
      <c r="K1099" t="n">
        <v>0</v>
      </c>
      <c r="L1099" t="n">
        <v>0</v>
      </c>
      <c r="M1099" t="n">
        <v>0</v>
      </c>
      <c r="N1099" t="n">
        <v>0</v>
      </c>
      <c r="O1099" t="n">
        <v>0</v>
      </c>
      <c r="P1099" t="n">
        <v>0</v>
      </c>
      <c r="Q1099" t="n">
        <v>0</v>
      </c>
      <c r="R1099" s="2" t="inlineStr"/>
    </row>
    <row r="1100" ht="15" customHeight="1">
      <c r="A1100" t="inlineStr">
        <is>
          <t>A 62651-2021</t>
        </is>
      </c>
      <c r="B1100" s="1" t="n">
        <v>44503</v>
      </c>
      <c r="C1100" s="1" t="n">
        <v>45192</v>
      </c>
      <c r="D1100" t="inlineStr">
        <is>
          <t>VÄSTERBOTTENS LÄN</t>
        </is>
      </c>
      <c r="E1100" t="inlineStr">
        <is>
          <t>SKELLEFTEÅ</t>
        </is>
      </c>
      <c r="G1100" t="n">
        <v>2.1</v>
      </c>
      <c r="H1100" t="n">
        <v>0</v>
      </c>
      <c r="I1100" t="n">
        <v>0</v>
      </c>
      <c r="J1100" t="n">
        <v>0</v>
      </c>
      <c r="K1100" t="n">
        <v>0</v>
      </c>
      <c r="L1100" t="n">
        <v>0</v>
      </c>
      <c r="M1100" t="n">
        <v>0</v>
      </c>
      <c r="N1100" t="n">
        <v>0</v>
      </c>
      <c r="O1100" t="n">
        <v>0</v>
      </c>
      <c r="P1100" t="n">
        <v>0</v>
      </c>
      <c r="Q1100" t="n">
        <v>0</v>
      </c>
      <c r="R1100" s="2" t="inlineStr"/>
    </row>
    <row r="1101" ht="15" customHeight="1">
      <c r="A1101" t="inlineStr">
        <is>
          <t>A 63171-2021</t>
        </is>
      </c>
      <c r="B1101" s="1" t="n">
        <v>44506</v>
      </c>
      <c r="C1101" s="1" t="n">
        <v>45192</v>
      </c>
      <c r="D1101" t="inlineStr">
        <is>
          <t>VÄSTERBOTTENS LÄN</t>
        </is>
      </c>
      <c r="E1101" t="inlineStr">
        <is>
          <t>SKELLEFTEÅ</t>
        </is>
      </c>
      <c r="G1101" t="n">
        <v>0.8</v>
      </c>
      <c r="H1101" t="n">
        <v>0</v>
      </c>
      <c r="I1101" t="n">
        <v>0</v>
      </c>
      <c r="J1101" t="n">
        <v>0</v>
      </c>
      <c r="K1101" t="n">
        <v>0</v>
      </c>
      <c r="L1101" t="n">
        <v>0</v>
      </c>
      <c r="M1101" t="n">
        <v>0</v>
      </c>
      <c r="N1101" t="n">
        <v>0</v>
      </c>
      <c r="O1101" t="n">
        <v>0</v>
      </c>
      <c r="P1101" t="n">
        <v>0</v>
      </c>
      <c r="Q1101" t="n">
        <v>0</v>
      </c>
      <c r="R1101" s="2" t="inlineStr"/>
    </row>
    <row r="1102" ht="15" customHeight="1">
      <c r="A1102" t="inlineStr">
        <is>
          <t>A 63502-2021</t>
        </is>
      </c>
      <c r="B1102" s="1" t="n">
        <v>44508</v>
      </c>
      <c r="C1102" s="1" t="n">
        <v>45192</v>
      </c>
      <c r="D1102" t="inlineStr">
        <is>
          <t>VÄSTERBOTTENS LÄN</t>
        </is>
      </c>
      <c r="E1102" t="inlineStr">
        <is>
          <t>SKELLEFTEÅ</t>
        </is>
      </c>
      <c r="G1102" t="n">
        <v>10.1</v>
      </c>
      <c r="H1102" t="n">
        <v>0</v>
      </c>
      <c r="I1102" t="n">
        <v>0</v>
      </c>
      <c r="J1102" t="n">
        <v>0</v>
      </c>
      <c r="K1102" t="n">
        <v>0</v>
      </c>
      <c r="L1102" t="n">
        <v>0</v>
      </c>
      <c r="M1102" t="n">
        <v>0</v>
      </c>
      <c r="N1102" t="n">
        <v>0</v>
      </c>
      <c r="O1102" t="n">
        <v>0</v>
      </c>
      <c r="P1102" t="n">
        <v>0</v>
      </c>
      <c r="Q1102" t="n">
        <v>0</v>
      </c>
      <c r="R1102" s="2" t="inlineStr"/>
    </row>
    <row r="1103" ht="15" customHeight="1">
      <c r="A1103" t="inlineStr">
        <is>
          <t>A 63801-2021</t>
        </is>
      </c>
      <c r="B1103" s="1" t="n">
        <v>44508</v>
      </c>
      <c r="C1103" s="1" t="n">
        <v>45192</v>
      </c>
      <c r="D1103" t="inlineStr">
        <is>
          <t>VÄSTERBOTTENS LÄN</t>
        </is>
      </c>
      <c r="E1103" t="inlineStr">
        <is>
          <t>SKELLEFTEÅ</t>
        </is>
      </c>
      <c r="G1103" t="n">
        <v>22.6</v>
      </c>
      <c r="H1103" t="n">
        <v>0</v>
      </c>
      <c r="I1103" t="n">
        <v>0</v>
      </c>
      <c r="J1103" t="n">
        <v>0</v>
      </c>
      <c r="K1103" t="n">
        <v>0</v>
      </c>
      <c r="L1103" t="n">
        <v>0</v>
      </c>
      <c r="M1103" t="n">
        <v>0</v>
      </c>
      <c r="N1103" t="n">
        <v>0</v>
      </c>
      <c r="O1103" t="n">
        <v>0</v>
      </c>
      <c r="P1103" t="n">
        <v>0</v>
      </c>
      <c r="Q1103" t="n">
        <v>0</v>
      </c>
      <c r="R1103" s="2" t="inlineStr"/>
    </row>
    <row r="1104" ht="15" customHeight="1">
      <c r="A1104" t="inlineStr">
        <is>
          <t>A 64087-2021</t>
        </is>
      </c>
      <c r="B1104" s="1" t="n">
        <v>44509</v>
      </c>
      <c r="C1104" s="1" t="n">
        <v>45192</v>
      </c>
      <c r="D1104" t="inlineStr">
        <is>
          <t>VÄSTERBOTTENS LÄN</t>
        </is>
      </c>
      <c r="E1104" t="inlineStr">
        <is>
          <t>SKELLEFTEÅ</t>
        </is>
      </c>
      <c r="G1104" t="n">
        <v>0.6</v>
      </c>
      <c r="H1104" t="n">
        <v>0</v>
      </c>
      <c r="I1104" t="n">
        <v>0</v>
      </c>
      <c r="J1104" t="n">
        <v>0</v>
      </c>
      <c r="K1104" t="n">
        <v>0</v>
      </c>
      <c r="L1104" t="n">
        <v>0</v>
      </c>
      <c r="M1104" t="n">
        <v>0</v>
      </c>
      <c r="N1104" t="n">
        <v>0</v>
      </c>
      <c r="O1104" t="n">
        <v>0</v>
      </c>
      <c r="P1104" t="n">
        <v>0</v>
      </c>
      <c r="Q1104" t="n">
        <v>0</v>
      </c>
      <c r="R1104" s="2" t="inlineStr"/>
    </row>
    <row r="1105" ht="15" customHeight="1">
      <c r="A1105" t="inlineStr">
        <is>
          <t>A 64409-2021</t>
        </is>
      </c>
      <c r="B1105" s="1" t="n">
        <v>44510</v>
      </c>
      <c r="C1105" s="1" t="n">
        <v>45192</v>
      </c>
      <c r="D1105" t="inlineStr">
        <is>
          <t>VÄSTERBOTTENS LÄN</t>
        </is>
      </c>
      <c r="E1105" t="inlineStr">
        <is>
          <t>SKELLEFTEÅ</t>
        </is>
      </c>
      <c r="G1105" t="n">
        <v>1.3</v>
      </c>
      <c r="H1105" t="n">
        <v>0</v>
      </c>
      <c r="I1105" t="n">
        <v>0</v>
      </c>
      <c r="J1105" t="n">
        <v>0</v>
      </c>
      <c r="K1105" t="n">
        <v>0</v>
      </c>
      <c r="L1105" t="n">
        <v>0</v>
      </c>
      <c r="M1105" t="n">
        <v>0</v>
      </c>
      <c r="N1105" t="n">
        <v>0</v>
      </c>
      <c r="O1105" t="n">
        <v>0</v>
      </c>
      <c r="P1105" t="n">
        <v>0</v>
      </c>
      <c r="Q1105" t="n">
        <v>0</v>
      </c>
      <c r="R1105" s="2" t="inlineStr"/>
    </row>
    <row r="1106" ht="15" customHeight="1">
      <c r="A1106" t="inlineStr">
        <is>
          <t>A 64316-2021</t>
        </is>
      </c>
      <c r="B1106" s="1" t="n">
        <v>44510</v>
      </c>
      <c r="C1106" s="1" t="n">
        <v>45192</v>
      </c>
      <c r="D1106" t="inlineStr">
        <is>
          <t>VÄSTERBOTTENS LÄN</t>
        </is>
      </c>
      <c r="E1106" t="inlineStr">
        <is>
          <t>SKELLEFTEÅ</t>
        </is>
      </c>
      <c r="G1106" t="n">
        <v>9.199999999999999</v>
      </c>
      <c r="H1106" t="n">
        <v>0</v>
      </c>
      <c r="I1106" t="n">
        <v>0</v>
      </c>
      <c r="J1106" t="n">
        <v>0</v>
      </c>
      <c r="K1106" t="n">
        <v>0</v>
      </c>
      <c r="L1106" t="n">
        <v>0</v>
      </c>
      <c r="M1106" t="n">
        <v>0</v>
      </c>
      <c r="N1106" t="n">
        <v>0</v>
      </c>
      <c r="O1106" t="n">
        <v>0</v>
      </c>
      <c r="P1106" t="n">
        <v>0</v>
      </c>
      <c r="Q1106" t="n">
        <v>0</v>
      </c>
      <c r="R1106" s="2" t="inlineStr"/>
    </row>
    <row r="1107" ht="15" customHeight="1">
      <c r="A1107" t="inlineStr">
        <is>
          <t>A 64593-2021</t>
        </is>
      </c>
      <c r="B1107" s="1" t="n">
        <v>44511</v>
      </c>
      <c r="C1107" s="1" t="n">
        <v>45192</v>
      </c>
      <c r="D1107" t="inlineStr">
        <is>
          <t>VÄSTERBOTTENS LÄN</t>
        </is>
      </c>
      <c r="E1107" t="inlineStr">
        <is>
          <t>SKELLEFTEÅ</t>
        </is>
      </c>
      <c r="G1107" t="n">
        <v>2.3</v>
      </c>
      <c r="H1107" t="n">
        <v>0</v>
      </c>
      <c r="I1107" t="n">
        <v>0</v>
      </c>
      <c r="J1107" t="n">
        <v>0</v>
      </c>
      <c r="K1107" t="n">
        <v>0</v>
      </c>
      <c r="L1107" t="n">
        <v>0</v>
      </c>
      <c r="M1107" t="n">
        <v>0</v>
      </c>
      <c r="N1107" t="n">
        <v>0</v>
      </c>
      <c r="O1107" t="n">
        <v>0</v>
      </c>
      <c r="P1107" t="n">
        <v>0</v>
      </c>
      <c r="Q1107" t="n">
        <v>0</v>
      </c>
      <c r="R1107" s="2" t="inlineStr"/>
    </row>
    <row r="1108" ht="15" customHeight="1">
      <c r="A1108" t="inlineStr">
        <is>
          <t>A 64765-2021</t>
        </is>
      </c>
      <c r="B1108" s="1" t="n">
        <v>44511</v>
      </c>
      <c r="C1108" s="1" t="n">
        <v>45192</v>
      </c>
      <c r="D1108" t="inlineStr">
        <is>
          <t>VÄSTERBOTTENS LÄN</t>
        </is>
      </c>
      <c r="E1108" t="inlineStr">
        <is>
          <t>SKELLEFTEÅ</t>
        </is>
      </c>
      <c r="G1108" t="n">
        <v>3.6</v>
      </c>
      <c r="H1108" t="n">
        <v>0</v>
      </c>
      <c r="I1108" t="n">
        <v>0</v>
      </c>
      <c r="J1108" t="n">
        <v>0</v>
      </c>
      <c r="K1108" t="n">
        <v>0</v>
      </c>
      <c r="L1108" t="n">
        <v>0</v>
      </c>
      <c r="M1108" t="n">
        <v>0</v>
      </c>
      <c r="N1108" t="n">
        <v>0</v>
      </c>
      <c r="O1108" t="n">
        <v>0</v>
      </c>
      <c r="P1108" t="n">
        <v>0</v>
      </c>
      <c r="Q1108" t="n">
        <v>0</v>
      </c>
      <c r="R1108" s="2" t="inlineStr"/>
    </row>
    <row r="1109" ht="15" customHeight="1">
      <c r="A1109" t="inlineStr">
        <is>
          <t>A 64399-2021</t>
        </is>
      </c>
      <c r="B1109" s="1" t="n">
        <v>44511</v>
      </c>
      <c r="C1109" s="1" t="n">
        <v>45192</v>
      </c>
      <c r="D1109" t="inlineStr">
        <is>
          <t>VÄSTERBOTTENS LÄN</t>
        </is>
      </c>
      <c r="E1109" t="inlineStr">
        <is>
          <t>SKELLEFTEÅ</t>
        </is>
      </c>
      <c r="G1109" t="n">
        <v>1.1</v>
      </c>
      <c r="H1109" t="n">
        <v>0</v>
      </c>
      <c r="I1109" t="n">
        <v>0</v>
      </c>
      <c r="J1109" t="n">
        <v>0</v>
      </c>
      <c r="K1109" t="n">
        <v>0</v>
      </c>
      <c r="L1109" t="n">
        <v>0</v>
      </c>
      <c r="M1109" t="n">
        <v>0</v>
      </c>
      <c r="N1109" t="n">
        <v>0</v>
      </c>
      <c r="O1109" t="n">
        <v>0</v>
      </c>
      <c r="P1109" t="n">
        <v>0</v>
      </c>
      <c r="Q1109" t="n">
        <v>0</v>
      </c>
      <c r="R1109" s="2" t="inlineStr"/>
    </row>
    <row r="1110" ht="15" customHeight="1">
      <c r="A1110" t="inlineStr">
        <is>
          <t>A 64391-2021</t>
        </is>
      </c>
      <c r="B1110" s="1" t="n">
        <v>44511</v>
      </c>
      <c r="C1110" s="1" t="n">
        <v>45192</v>
      </c>
      <c r="D1110" t="inlineStr">
        <is>
          <t>VÄSTERBOTTENS LÄN</t>
        </is>
      </c>
      <c r="E1110" t="inlineStr">
        <is>
          <t>SKELLEFTEÅ</t>
        </is>
      </c>
      <c r="G1110" t="n">
        <v>1.6</v>
      </c>
      <c r="H1110" t="n">
        <v>0</v>
      </c>
      <c r="I1110" t="n">
        <v>0</v>
      </c>
      <c r="J1110" t="n">
        <v>0</v>
      </c>
      <c r="K1110" t="n">
        <v>0</v>
      </c>
      <c r="L1110" t="n">
        <v>0</v>
      </c>
      <c r="M1110" t="n">
        <v>0</v>
      </c>
      <c r="N1110" t="n">
        <v>0</v>
      </c>
      <c r="O1110" t="n">
        <v>0</v>
      </c>
      <c r="P1110" t="n">
        <v>0</v>
      </c>
      <c r="Q1110" t="n">
        <v>0</v>
      </c>
      <c r="R1110" s="2" t="inlineStr"/>
    </row>
    <row r="1111" ht="15" customHeight="1">
      <c r="A1111" t="inlineStr">
        <is>
          <t>A 64580-2021</t>
        </is>
      </c>
      <c r="B1111" s="1" t="n">
        <v>44511</v>
      </c>
      <c r="C1111" s="1" t="n">
        <v>45192</v>
      </c>
      <c r="D1111" t="inlineStr">
        <is>
          <t>VÄSTERBOTTENS LÄN</t>
        </is>
      </c>
      <c r="E1111" t="inlineStr">
        <is>
          <t>SKELLEFTEÅ</t>
        </is>
      </c>
      <c r="G1111" t="n">
        <v>1.8</v>
      </c>
      <c r="H1111" t="n">
        <v>0</v>
      </c>
      <c r="I1111" t="n">
        <v>0</v>
      </c>
      <c r="J1111" t="n">
        <v>0</v>
      </c>
      <c r="K1111" t="n">
        <v>0</v>
      </c>
      <c r="L1111" t="n">
        <v>0</v>
      </c>
      <c r="M1111" t="n">
        <v>0</v>
      </c>
      <c r="N1111" t="n">
        <v>0</v>
      </c>
      <c r="O1111" t="n">
        <v>0</v>
      </c>
      <c r="P1111" t="n">
        <v>0</v>
      </c>
      <c r="Q1111" t="n">
        <v>0</v>
      </c>
      <c r="R1111" s="2" t="inlineStr"/>
    </row>
    <row r="1112" ht="15" customHeight="1">
      <c r="A1112" t="inlineStr">
        <is>
          <t>A 64761-2021</t>
        </is>
      </c>
      <c r="B1112" s="1" t="n">
        <v>44511</v>
      </c>
      <c r="C1112" s="1" t="n">
        <v>45192</v>
      </c>
      <c r="D1112" t="inlineStr">
        <is>
          <t>VÄSTERBOTTENS LÄN</t>
        </is>
      </c>
      <c r="E1112" t="inlineStr">
        <is>
          <t>SKELLEFTEÅ</t>
        </is>
      </c>
      <c r="G1112" t="n">
        <v>2.6</v>
      </c>
      <c r="H1112" t="n">
        <v>0</v>
      </c>
      <c r="I1112" t="n">
        <v>0</v>
      </c>
      <c r="J1112" t="n">
        <v>0</v>
      </c>
      <c r="K1112" t="n">
        <v>0</v>
      </c>
      <c r="L1112" t="n">
        <v>0</v>
      </c>
      <c r="M1112" t="n">
        <v>0</v>
      </c>
      <c r="N1112" t="n">
        <v>0</v>
      </c>
      <c r="O1112" t="n">
        <v>0</v>
      </c>
      <c r="P1112" t="n">
        <v>0</v>
      </c>
      <c r="Q1112" t="n">
        <v>0</v>
      </c>
      <c r="R1112" s="2" t="inlineStr"/>
    </row>
    <row r="1113" ht="15" customHeight="1">
      <c r="A1113" t="inlineStr">
        <is>
          <t>A 66465-2021</t>
        </is>
      </c>
      <c r="B1113" s="1" t="n">
        <v>44518</v>
      </c>
      <c r="C1113" s="1" t="n">
        <v>45192</v>
      </c>
      <c r="D1113" t="inlineStr">
        <is>
          <t>VÄSTERBOTTENS LÄN</t>
        </is>
      </c>
      <c r="E1113" t="inlineStr">
        <is>
          <t>SKELLEFTEÅ</t>
        </is>
      </c>
      <c r="G1113" t="n">
        <v>5.8</v>
      </c>
      <c r="H1113" t="n">
        <v>0</v>
      </c>
      <c r="I1113" t="n">
        <v>0</v>
      </c>
      <c r="J1113" t="n">
        <v>0</v>
      </c>
      <c r="K1113" t="n">
        <v>0</v>
      </c>
      <c r="L1113" t="n">
        <v>0</v>
      </c>
      <c r="M1113" t="n">
        <v>0</v>
      </c>
      <c r="N1113" t="n">
        <v>0</v>
      </c>
      <c r="O1113" t="n">
        <v>0</v>
      </c>
      <c r="P1113" t="n">
        <v>0</v>
      </c>
      <c r="Q1113" t="n">
        <v>0</v>
      </c>
      <c r="R1113" s="2" t="inlineStr"/>
    </row>
    <row r="1114" ht="15" customHeight="1">
      <c r="A1114" t="inlineStr">
        <is>
          <t>A 66463-2021</t>
        </is>
      </c>
      <c r="B1114" s="1" t="n">
        <v>44518</v>
      </c>
      <c r="C1114" s="1" t="n">
        <v>45192</v>
      </c>
      <c r="D1114" t="inlineStr">
        <is>
          <t>VÄSTERBOTTENS LÄN</t>
        </is>
      </c>
      <c r="E1114" t="inlineStr">
        <is>
          <t>SKELLEFTEÅ</t>
        </is>
      </c>
      <c r="G1114" t="n">
        <v>3.9</v>
      </c>
      <c r="H1114" t="n">
        <v>0</v>
      </c>
      <c r="I1114" t="n">
        <v>0</v>
      </c>
      <c r="J1114" t="n">
        <v>0</v>
      </c>
      <c r="K1114" t="n">
        <v>0</v>
      </c>
      <c r="L1114" t="n">
        <v>0</v>
      </c>
      <c r="M1114" t="n">
        <v>0</v>
      </c>
      <c r="N1114" t="n">
        <v>0</v>
      </c>
      <c r="O1114" t="n">
        <v>0</v>
      </c>
      <c r="P1114" t="n">
        <v>0</v>
      </c>
      <c r="Q1114" t="n">
        <v>0</v>
      </c>
      <c r="R1114" s="2" t="inlineStr"/>
    </row>
    <row r="1115" ht="15" customHeight="1">
      <c r="A1115" t="inlineStr">
        <is>
          <t>A 66949-2021</t>
        </is>
      </c>
      <c r="B1115" s="1" t="n">
        <v>44522</v>
      </c>
      <c r="C1115" s="1" t="n">
        <v>45192</v>
      </c>
      <c r="D1115" t="inlineStr">
        <is>
          <t>VÄSTERBOTTENS LÄN</t>
        </is>
      </c>
      <c r="E1115" t="inlineStr">
        <is>
          <t>SKELLEFTEÅ</t>
        </is>
      </c>
      <c r="G1115" t="n">
        <v>1.6</v>
      </c>
      <c r="H1115" t="n">
        <v>0</v>
      </c>
      <c r="I1115" t="n">
        <v>0</v>
      </c>
      <c r="J1115" t="n">
        <v>0</v>
      </c>
      <c r="K1115" t="n">
        <v>0</v>
      </c>
      <c r="L1115" t="n">
        <v>0</v>
      </c>
      <c r="M1115" t="n">
        <v>0</v>
      </c>
      <c r="N1115" t="n">
        <v>0</v>
      </c>
      <c r="O1115" t="n">
        <v>0</v>
      </c>
      <c r="P1115" t="n">
        <v>0</v>
      </c>
      <c r="Q1115" t="n">
        <v>0</v>
      </c>
      <c r="R1115" s="2" t="inlineStr"/>
      <c r="U1115">
        <f>HYPERLINK("https://klasma.github.io/Logging_SKELLEFTEA/knärot/A 66949-2021.png", "A 66949-2021")</f>
        <v/>
      </c>
      <c r="V1115">
        <f>HYPERLINK("https://klasma.github.io/Logging_SKELLEFTEA/klagomål/A 66949-2021.docx", "A 66949-2021")</f>
        <v/>
      </c>
      <c r="W1115">
        <f>HYPERLINK("https://klasma.github.io/Logging_SKELLEFTEA/klagomålsmail/A 66949-2021.docx", "A 66949-2021")</f>
        <v/>
      </c>
      <c r="X1115">
        <f>HYPERLINK("https://klasma.github.io/Logging_SKELLEFTEA/tillsyn/A 66949-2021.docx", "A 66949-2021")</f>
        <v/>
      </c>
      <c r="Y1115">
        <f>HYPERLINK("https://klasma.github.io/Logging_SKELLEFTEA/tillsynsmail/A 66949-2021.docx", "A 66949-2021")</f>
        <v/>
      </c>
    </row>
    <row r="1116" ht="15" customHeight="1">
      <c r="A1116" t="inlineStr">
        <is>
          <t>A 67450-2021</t>
        </is>
      </c>
      <c r="B1116" s="1" t="n">
        <v>44524</v>
      </c>
      <c r="C1116" s="1" t="n">
        <v>45192</v>
      </c>
      <c r="D1116" t="inlineStr">
        <is>
          <t>VÄSTERBOTTENS LÄN</t>
        </is>
      </c>
      <c r="E1116" t="inlineStr">
        <is>
          <t>SKELLEFTEÅ</t>
        </is>
      </c>
      <c r="G1116" t="n">
        <v>3.6</v>
      </c>
      <c r="H1116" t="n">
        <v>0</v>
      </c>
      <c r="I1116" t="n">
        <v>0</v>
      </c>
      <c r="J1116" t="n">
        <v>0</v>
      </c>
      <c r="K1116" t="n">
        <v>0</v>
      </c>
      <c r="L1116" t="n">
        <v>0</v>
      </c>
      <c r="M1116" t="n">
        <v>0</v>
      </c>
      <c r="N1116" t="n">
        <v>0</v>
      </c>
      <c r="O1116" t="n">
        <v>0</v>
      </c>
      <c r="P1116" t="n">
        <v>0</v>
      </c>
      <c r="Q1116" t="n">
        <v>0</v>
      </c>
      <c r="R1116" s="2" t="inlineStr"/>
    </row>
    <row r="1117" ht="15" customHeight="1">
      <c r="A1117" t="inlineStr">
        <is>
          <t>A 68251-2021</t>
        </is>
      </c>
      <c r="B1117" s="1" t="n">
        <v>44525</v>
      </c>
      <c r="C1117" s="1" t="n">
        <v>45192</v>
      </c>
      <c r="D1117" t="inlineStr">
        <is>
          <t>VÄSTERBOTTENS LÄN</t>
        </is>
      </c>
      <c r="E1117" t="inlineStr">
        <is>
          <t>SKELLEFTEÅ</t>
        </is>
      </c>
      <c r="G1117" t="n">
        <v>0.5</v>
      </c>
      <c r="H1117" t="n">
        <v>0</v>
      </c>
      <c r="I1117" t="n">
        <v>0</v>
      </c>
      <c r="J1117" t="n">
        <v>0</v>
      </c>
      <c r="K1117" t="n">
        <v>0</v>
      </c>
      <c r="L1117" t="n">
        <v>0</v>
      </c>
      <c r="M1117" t="n">
        <v>0</v>
      </c>
      <c r="N1117" t="n">
        <v>0</v>
      </c>
      <c r="O1117" t="n">
        <v>0</v>
      </c>
      <c r="P1117" t="n">
        <v>0</v>
      </c>
      <c r="Q1117" t="n">
        <v>0</v>
      </c>
      <c r="R1117" s="2" t="inlineStr"/>
    </row>
    <row r="1118" ht="15" customHeight="1">
      <c r="A1118" t="inlineStr">
        <is>
          <t>A 67893-2021</t>
        </is>
      </c>
      <c r="B1118" s="1" t="n">
        <v>44525</v>
      </c>
      <c r="C1118" s="1" t="n">
        <v>45192</v>
      </c>
      <c r="D1118" t="inlineStr">
        <is>
          <t>VÄSTERBOTTENS LÄN</t>
        </is>
      </c>
      <c r="E1118" t="inlineStr">
        <is>
          <t>SKELLEFTEÅ</t>
        </is>
      </c>
      <c r="G1118" t="n">
        <v>1.1</v>
      </c>
      <c r="H1118" t="n">
        <v>0</v>
      </c>
      <c r="I1118" t="n">
        <v>0</v>
      </c>
      <c r="J1118" t="n">
        <v>0</v>
      </c>
      <c r="K1118" t="n">
        <v>0</v>
      </c>
      <c r="L1118" t="n">
        <v>0</v>
      </c>
      <c r="M1118" t="n">
        <v>0</v>
      </c>
      <c r="N1118" t="n">
        <v>0</v>
      </c>
      <c r="O1118" t="n">
        <v>0</v>
      </c>
      <c r="P1118" t="n">
        <v>0</v>
      </c>
      <c r="Q1118" t="n">
        <v>0</v>
      </c>
      <c r="R1118" s="2" t="inlineStr"/>
    </row>
    <row r="1119" ht="15" customHeight="1">
      <c r="A1119" t="inlineStr">
        <is>
          <t>A 68334-2021</t>
        </is>
      </c>
      <c r="B1119" s="1" t="n">
        <v>44527</v>
      </c>
      <c r="C1119" s="1" t="n">
        <v>45192</v>
      </c>
      <c r="D1119" t="inlineStr">
        <is>
          <t>VÄSTERBOTTENS LÄN</t>
        </is>
      </c>
      <c r="E1119" t="inlineStr">
        <is>
          <t>SKELLEFTEÅ</t>
        </is>
      </c>
      <c r="G1119" t="n">
        <v>1.4</v>
      </c>
      <c r="H1119" t="n">
        <v>0</v>
      </c>
      <c r="I1119" t="n">
        <v>0</v>
      </c>
      <c r="J1119" t="n">
        <v>0</v>
      </c>
      <c r="K1119" t="n">
        <v>0</v>
      </c>
      <c r="L1119" t="n">
        <v>0</v>
      </c>
      <c r="M1119" t="n">
        <v>0</v>
      </c>
      <c r="N1119" t="n">
        <v>0</v>
      </c>
      <c r="O1119" t="n">
        <v>0</v>
      </c>
      <c r="P1119" t="n">
        <v>0</v>
      </c>
      <c r="Q1119" t="n">
        <v>0</v>
      </c>
      <c r="R1119" s="2" t="inlineStr"/>
    </row>
    <row r="1120" ht="15" customHeight="1">
      <c r="A1120" t="inlineStr">
        <is>
          <t>A 69106-2021</t>
        </is>
      </c>
      <c r="B1120" s="1" t="n">
        <v>44530</v>
      </c>
      <c r="C1120" s="1" t="n">
        <v>45192</v>
      </c>
      <c r="D1120" t="inlineStr">
        <is>
          <t>VÄSTERBOTTENS LÄN</t>
        </is>
      </c>
      <c r="E1120" t="inlineStr">
        <is>
          <t>SKELLEFTEÅ</t>
        </is>
      </c>
      <c r="F1120" t="inlineStr">
        <is>
          <t>Sveaskog</t>
        </is>
      </c>
      <c r="G1120" t="n">
        <v>1.1</v>
      </c>
      <c r="H1120" t="n">
        <v>0</v>
      </c>
      <c r="I1120" t="n">
        <v>0</v>
      </c>
      <c r="J1120" t="n">
        <v>0</v>
      </c>
      <c r="K1120" t="n">
        <v>0</v>
      </c>
      <c r="L1120" t="n">
        <v>0</v>
      </c>
      <c r="M1120" t="n">
        <v>0</v>
      </c>
      <c r="N1120" t="n">
        <v>0</v>
      </c>
      <c r="O1120" t="n">
        <v>0</v>
      </c>
      <c r="P1120" t="n">
        <v>0</v>
      </c>
      <c r="Q1120" t="n">
        <v>0</v>
      </c>
      <c r="R1120" s="2" t="inlineStr"/>
    </row>
    <row r="1121" ht="15" customHeight="1">
      <c r="A1121" t="inlineStr">
        <is>
          <t>A 69262-2021</t>
        </is>
      </c>
      <c r="B1121" s="1" t="n">
        <v>44531</v>
      </c>
      <c r="C1121" s="1" t="n">
        <v>45192</v>
      </c>
      <c r="D1121" t="inlineStr">
        <is>
          <t>VÄSTERBOTTENS LÄN</t>
        </is>
      </c>
      <c r="E1121" t="inlineStr">
        <is>
          <t>SKELLEFTEÅ</t>
        </is>
      </c>
      <c r="G1121" t="n">
        <v>2.2</v>
      </c>
      <c r="H1121" t="n">
        <v>0</v>
      </c>
      <c r="I1121" t="n">
        <v>0</v>
      </c>
      <c r="J1121" t="n">
        <v>0</v>
      </c>
      <c r="K1121" t="n">
        <v>0</v>
      </c>
      <c r="L1121" t="n">
        <v>0</v>
      </c>
      <c r="M1121" t="n">
        <v>0</v>
      </c>
      <c r="N1121" t="n">
        <v>0</v>
      </c>
      <c r="O1121" t="n">
        <v>0</v>
      </c>
      <c r="P1121" t="n">
        <v>0</v>
      </c>
      <c r="Q1121" t="n">
        <v>0</v>
      </c>
      <c r="R1121" s="2" t="inlineStr"/>
    </row>
    <row r="1122" ht="15" customHeight="1">
      <c r="A1122" t="inlineStr">
        <is>
          <t>A 69996-2021</t>
        </is>
      </c>
      <c r="B1122" s="1" t="n">
        <v>44533</v>
      </c>
      <c r="C1122" s="1" t="n">
        <v>45192</v>
      </c>
      <c r="D1122" t="inlineStr">
        <is>
          <t>VÄSTERBOTTENS LÄN</t>
        </is>
      </c>
      <c r="E1122" t="inlineStr">
        <is>
          <t>SKELLEFTEÅ</t>
        </is>
      </c>
      <c r="G1122" t="n">
        <v>0.5</v>
      </c>
      <c r="H1122" t="n">
        <v>0</v>
      </c>
      <c r="I1122" t="n">
        <v>0</v>
      </c>
      <c r="J1122" t="n">
        <v>0</v>
      </c>
      <c r="K1122" t="n">
        <v>0</v>
      </c>
      <c r="L1122" t="n">
        <v>0</v>
      </c>
      <c r="M1122" t="n">
        <v>0</v>
      </c>
      <c r="N1122" t="n">
        <v>0</v>
      </c>
      <c r="O1122" t="n">
        <v>0</v>
      </c>
      <c r="P1122" t="n">
        <v>0</v>
      </c>
      <c r="Q1122" t="n">
        <v>0</v>
      </c>
      <c r="R1122" s="2" t="inlineStr"/>
    </row>
    <row r="1123" ht="15" customHeight="1">
      <c r="A1123" t="inlineStr">
        <is>
          <t>A 69992-2021</t>
        </is>
      </c>
      <c r="B1123" s="1" t="n">
        <v>44533</v>
      </c>
      <c r="C1123" s="1" t="n">
        <v>45192</v>
      </c>
      <c r="D1123" t="inlineStr">
        <is>
          <t>VÄSTERBOTTENS LÄN</t>
        </is>
      </c>
      <c r="E1123" t="inlineStr">
        <is>
          <t>SKELLEFTEÅ</t>
        </is>
      </c>
      <c r="G1123" t="n">
        <v>1.4</v>
      </c>
      <c r="H1123" t="n">
        <v>0</v>
      </c>
      <c r="I1123" t="n">
        <v>0</v>
      </c>
      <c r="J1123" t="n">
        <v>0</v>
      </c>
      <c r="K1123" t="n">
        <v>0</v>
      </c>
      <c r="L1123" t="n">
        <v>0</v>
      </c>
      <c r="M1123" t="n">
        <v>0</v>
      </c>
      <c r="N1123" t="n">
        <v>0</v>
      </c>
      <c r="O1123" t="n">
        <v>0</v>
      </c>
      <c r="P1123" t="n">
        <v>0</v>
      </c>
      <c r="Q1123" t="n">
        <v>0</v>
      </c>
      <c r="R1123" s="2" t="inlineStr"/>
    </row>
    <row r="1124" ht="15" customHeight="1">
      <c r="A1124" t="inlineStr">
        <is>
          <t>A 70229-2021</t>
        </is>
      </c>
      <c r="B1124" s="1" t="n">
        <v>44533</v>
      </c>
      <c r="C1124" s="1" t="n">
        <v>45192</v>
      </c>
      <c r="D1124" t="inlineStr">
        <is>
          <t>VÄSTERBOTTENS LÄN</t>
        </is>
      </c>
      <c r="E1124" t="inlineStr">
        <is>
          <t>SKELLEFTEÅ</t>
        </is>
      </c>
      <c r="G1124" t="n">
        <v>0.7</v>
      </c>
      <c r="H1124" t="n">
        <v>0</v>
      </c>
      <c r="I1124" t="n">
        <v>0</v>
      </c>
      <c r="J1124" t="n">
        <v>0</v>
      </c>
      <c r="K1124" t="n">
        <v>0</v>
      </c>
      <c r="L1124" t="n">
        <v>0</v>
      </c>
      <c r="M1124" t="n">
        <v>0</v>
      </c>
      <c r="N1124" t="n">
        <v>0</v>
      </c>
      <c r="O1124" t="n">
        <v>0</v>
      </c>
      <c r="P1124" t="n">
        <v>0</v>
      </c>
      <c r="Q1124" t="n">
        <v>0</v>
      </c>
      <c r="R1124" s="2" t="inlineStr"/>
    </row>
    <row r="1125" ht="15" customHeight="1">
      <c r="A1125" t="inlineStr">
        <is>
          <t>A 69978-2021</t>
        </is>
      </c>
      <c r="B1125" s="1" t="n">
        <v>44533</v>
      </c>
      <c r="C1125" s="1" t="n">
        <v>45192</v>
      </c>
      <c r="D1125" t="inlineStr">
        <is>
          <t>VÄSTERBOTTENS LÄN</t>
        </is>
      </c>
      <c r="E1125" t="inlineStr">
        <is>
          <t>SKELLEFTEÅ</t>
        </is>
      </c>
      <c r="G1125" t="n">
        <v>0.6</v>
      </c>
      <c r="H1125" t="n">
        <v>0</v>
      </c>
      <c r="I1125" t="n">
        <v>0</v>
      </c>
      <c r="J1125" t="n">
        <v>0</v>
      </c>
      <c r="K1125" t="n">
        <v>0</v>
      </c>
      <c r="L1125" t="n">
        <v>0</v>
      </c>
      <c r="M1125" t="n">
        <v>0</v>
      </c>
      <c r="N1125" t="n">
        <v>0</v>
      </c>
      <c r="O1125" t="n">
        <v>0</v>
      </c>
      <c r="P1125" t="n">
        <v>0</v>
      </c>
      <c r="Q1125" t="n">
        <v>0</v>
      </c>
      <c r="R1125" s="2" t="inlineStr"/>
    </row>
    <row r="1126" ht="15" customHeight="1">
      <c r="A1126" t="inlineStr">
        <is>
          <t>A 70029-2021</t>
        </is>
      </c>
      <c r="B1126" s="1" t="n">
        <v>44533</v>
      </c>
      <c r="C1126" s="1" t="n">
        <v>45192</v>
      </c>
      <c r="D1126" t="inlineStr">
        <is>
          <t>VÄSTERBOTTENS LÄN</t>
        </is>
      </c>
      <c r="E1126" t="inlineStr">
        <is>
          <t>SKELLEFTEÅ</t>
        </is>
      </c>
      <c r="G1126" t="n">
        <v>2.9</v>
      </c>
      <c r="H1126" t="n">
        <v>0</v>
      </c>
      <c r="I1126" t="n">
        <v>0</v>
      </c>
      <c r="J1126" t="n">
        <v>0</v>
      </c>
      <c r="K1126" t="n">
        <v>0</v>
      </c>
      <c r="L1126" t="n">
        <v>0</v>
      </c>
      <c r="M1126" t="n">
        <v>0</v>
      </c>
      <c r="N1126" t="n">
        <v>0</v>
      </c>
      <c r="O1126" t="n">
        <v>0</v>
      </c>
      <c r="P1126" t="n">
        <v>0</v>
      </c>
      <c r="Q1126" t="n">
        <v>0</v>
      </c>
      <c r="R1126" s="2" t="inlineStr"/>
    </row>
    <row r="1127" ht="15" customHeight="1">
      <c r="A1127" t="inlineStr">
        <is>
          <t>A 70272-2021</t>
        </is>
      </c>
      <c r="B1127" s="1" t="n">
        <v>44536</v>
      </c>
      <c r="C1127" s="1" t="n">
        <v>45192</v>
      </c>
      <c r="D1127" t="inlineStr">
        <is>
          <t>VÄSTERBOTTENS LÄN</t>
        </is>
      </c>
      <c r="E1127" t="inlineStr">
        <is>
          <t>SKELLEFTEÅ</t>
        </is>
      </c>
      <c r="F1127" t="inlineStr">
        <is>
          <t>Kyrkan</t>
        </is>
      </c>
      <c r="G1127" t="n">
        <v>12.4</v>
      </c>
      <c r="H1127" t="n">
        <v>0</v>
      </c>
      <c r="I1127" t="n">
        <v>0</v>
      </c>
      <c r="J1127" t="n">
        <v>0</v>
      </c>
      <c r="K1127" t="n">
        <v>0</v>
      </c>
      <c r="L1127" t="n">
        <v>0</v>
      </c>
      <c r="M1127" t="n">
        <v>0</v>
      </c>
      <c r="N1127" t="n">
        <v>0</v>
      </c>
      <c r="O1127" t="n">
        <v>0</v>
      </c>
      <c r="P1127" t="n">
        <v>0</v>
      </c>
      <c r="Q1127" t="n">
        <v>0</v>
      </c>
      <c r="R1127" s="2" t="inlineStr"/>
    </row>
    <row r="1128" ht="15" customHeight="1">
      <c r="A1128" t="inlineStr">
        <is>
          <t>A 70508-2021</t>
        </is>
      </c>
      <c r="B1128" s="1" t="n">
        <v>44536</v>
      </c>
      <c r="C1128" s="1" t="n">
        <v>45192</v>
      </c>
      <c r="D1128" t="inlineStr">
        <is>
          <t>VÄSTERBOTTENS LÄN</t>
        </is>
      </c>
      <c r="E1128" t="inlineStr">
        <is>
          <t>SKELLEFTEÅ</t>
        </is>
      </c>
      <c r="G1128" t="n">
        <v>0.6</v>
      </c>
      <c r="H1128" t="n">
        <v>0</v>
      </c>
      <c r="I1128" t="n">
        <v>0</v>
      </c>
      <c r="J1128" t="n">
        <v>0</v>
      </c>
      <c r="K1128" t="n">
        <v>0</v>
      </c>
      <c r="L1128" t="n">
        <v>0</v>
      </c>
      <c r="M1128" t="n">
        <v>0</v>
      </c>
      <c r="N1128" t="n">
        <v>0</v>
      </c>
      <c r="O1128" t="n">
        <v>0</v>
      </c>
      <c r="P1128" t="n">
        <v>0</v>
      </c>
      <c r="Q1128" t="n">
        <v>0</v>
      </c>
      <c r="R1128" s="2" t="inlineStr"/>
    </row>
    <row r="1129" ht="15" customHeight="1">
      <c r="A1129" t="inlineStr">
        <is>
          <t>A 70718-2021</t>
        </is>
      </c>
      <c r="B1129" s="1" t="n">
        <v>44536</v>
      </c>
      <c r="C1129" s="1" t="n">
        <v>45192</v>
      </c>
      <c r="D1129" t="inlineStr">
        <is>
          <t>VÄSTERBOTTENS LÄN</t>
        </is>
      </c>
      <c r="E1129" t="inlineStr">
        <is>
          <t>SKELLEFTEÅ</t>
        </is>
      </c>
      <c r="G1129" t="n">
        <v>3.3</v>
      </c>
      <c r="H1129" t="n">
        <v>0</v>
      </c>
      <c r="I1129" t="n">
        <v>0</v>
      </c>
      <c r="J1129" t="n">
        <v>0</v>
      </c>
      <c r="K1129" t="n">
        <v>0</v>
      </c>
      <c r="L1129" t="n">
        <v>0</v>
      </c>
      <c r="M1129" t="n">
        <v>0</v>
      </c>
      <c r="N1129" t="n">
        <v>0</v>
      </c>
      <c r="O1129" t="n">
        <v>0</v>
      </c>
      <c r="P1129" t="n">
        <v>0</v>
      </c>
      <c r="Q1129" t="n">
        <v>0</v>
      </c>
      <c r="R1129" s="2" t="inlineStr"/>
    </row>
    <row r="1130" ht="15" customHeight="1">
      <c r="A1130" t="inlineStr">
        <is>
          <t>A 70851-2021</t>
        </is>
      </c>
      <c r="B1130" s="1" t="n">
        <v>44536</v>
      </c>
      <c r="C1130" s="1" t="n">
        <v>45192</v>
      </c>
      <c r="D1130" t="inlineStr">
        <is>
          <t>VÄSTERBOTTENS LÄN</t>
        </is>
      </c>
      <c r="E1130" t="inlineStr">
        <is>
          <t>SKELLEFTEÅ</t>
        </is>
      </c>
      <c r="G1130" t="n">
        <v>1.6</v>
      </c>
      <c r="H1130" t="n">
        <v>0</v>
      </c>
      <c r="I1130" t="n">
        <v>0</v>
      </c>
      <c r="J1130" t="n">
        <v>0</v>
      </c>
      <c r="K1130" t="n">
        <v>0</v>
      </c>
      <c r="L1130" t="n">
        <v>0</v>
      </c>
      <c r="M1130" t="n">
        <v>0</v>
      </c>
      <c r="N1130" t="n">
        <v>0</v>
      </c>
      <c r="O1130" t="n">
        <v>0</v>
      </c>
      <c r="P1130" t="n">
        <v>0</v>
      </c>
      <c r="Q1130" t="n">
        <v>0</v>
      </c>
      <c r="R1130" s="2" t="inlineStr"/>
    </row>
    <row r="1131" ht="15" customHeight="1">
      <c r="A1131" t="inlineStr">
        <is>
          <t>A 70339-2021</t>
        </is>
      </c>
      <c r="B1131" s="1" t="n">
        <v>44536</v>
      </c>
      <c r="C1131" s="1" t="n">
        <v>45192</v>
      </c>
      <c r="D1131" t="inlineStr">
        <is>
          <t>VÄSTERBOTTENS LÄN</t>
        </is>
      </c>
      <c r="E1131" t="inlineStr">
        <is>
          <t>SKELLEFTEÅ</t>
        </is>
      </c>
      <c r="G1131" t="n">
        <v>0.2</v>
      </c>
      <c r="H1131" t="n">
        <v>0</v>
      </c>
      <c r="I1131" t="n">
        <v>0</v>
      </c>
      <c r="J1131" t="n">
        <v>0</v>
      </c>
      <c r="K1131" t="n">
        <v>0</v>
      </c>
      <c r="L1131" t="n">
        <v>0</v>
      </c>
      <c r="M1131" t="n">
        <v>0</v>
      </c>
      <c r="N1131" t="n">
        <v>0</v>
      </c>
      <c r="O1131" t="n">
        <v>0</v>
      </c>
      <c r="P1131" t="n">
        <v>0</v>
      </c>
      <c r="Q1131" t="n">
        <v>0</v>
      </c>
      <c r="R1131" s="2" t="inlineStr"/>
    </row>
    <row r="1132" ht="15" customHeight="1">
      <c r="A1132" t="inlineStr">
        <is>
          <t>A 70703-2021</t>
        </is>
      </c>
      <c r="B1132" s="1" t="n">
        <v>44536</v>
      </c>
      <c r="C1132" s="1" t="n">
        <v>45192</v>
      </c>
      <c r="D1132" t="inlineStr">
        <is>
          <t>VÄSTERBOTTENS LÄN</t>
        </is>
      </c>
      <c r="E1132" t="inlineStr">
        <is>
          <t>SKELLEFTEÅ</t>
        </is>
      </c>
      <c r="G1132" t="n">
        <v>0.6</v>
      </c>
      <c r="H1132" t="n">
        <v>0</v>
      </c>
      <c r="I1132" t="n">
        <v>0</v>
      </c>
      <c r="J1132" t="n">
        <v>0</v>
      </c>
      <c r="K1132" t="n">
        <v>0</v>
      </c>
      <c r="L1132" t="n">
        <v>0</v>
      </c>
      <c r="M1132" t="n">
        <v>0</v>
      </c>
      <c r="N1132" t="n">
        <v>0</v>
      </c>
      <c r="O1132" t="n">
        <v>0</v>
      </c>
      <c r="P1132" t="n">
        <v>0</v>
      </c>
      <c r="Q1132" t="n">
        <v>0</v>
      </c>
      <c r="R1132" s="2" t="inlineStr"/>
    </row>
    <row r="1133" ht="15" customHeight="1">
      <c r="A1133" t="inlineStr">
        <is>
          <t>A 70868-2021</t>
        </is>
      </c>
      <c r="B1133" s="1" t="n">
        <v>44536</v>
      </c>
      <c r="C1133" s="1" t="n">
        <v>45192</v>
      </c>
      <c r="D1133" t="inlineStr">
        <is>
          <t>VÄSTERBOTTENS LÄN</t>
        </is>
      </c>
      <c r="E1133" t="inlineStr">
        <is>
          <t>SKELLEFTEÅ</t>
        </is>
      </c>
      <c r="G1133" t="n">
        <v>4.4</v>
      </c>
      <c r="H1133" t="n">
        <v>0</v>
      </c>
      <c r="I1133" t="n">
        <v>0</v>
      </c>
      <c r="J1133" t="n">
        <v>0</v>
      </c>
      <c r="K1133" t="n">
        <v>0</v>
      </c>
      <c r="L1133" t="n">
        <v>0</v>
      </c>
      <c r="M1133" t="n">
        <v>0</v>
      </c>
      <c r="N1133" t="n">
        <v>0</v>
      </c>
      <c r="O1133" t="n">
        <v>0</v>
      </c>
      <c r="P1133" t="n">
        <v>0</v>
      </c>
      <c r="Q1133" t="n">
        <v>0</v>
      </c>
      <c r="R1133" s="2" t="inlineStr"/>
    </row>
    <row r="1134" ht="15" customHeight="1">
      <c r="A1134" t="inlineStr">
        <is>
          <t>A 71465-2021</t>
        </is>
      </c>
      <c r="B1134" s="1" t="n">
        <v>44540</v>
      </c>
      <c r="C1134" s="1" t="n">
        <v>45192</v>
      </c>
      <c r="D1134" t="inlineStr">
        <is>
          <t>VÄSTERBOTTENS LÄN</t>
        </is>
      </c>
      <c r="E1134" t="inlineStr">
        <is>
          <t>SKELLEFTEÅ</t>
        </is>
      </c>
      <c r="F1134" t="inlineStr">
        <is>
          <t>Sveaskog</t>
        </is>
      </c>
      <c r="G1134" t="n">
        <v>27.2</v>
      </c>
      <c r="H1134" t="n">
        <v>0</v>
      </c>
      <c r="I1134" t="n">
        <v>0</v>
      </c>
      <c r="J1134" t="n">
        <v>0</v>
      </c>
      <c r="K1134" t="n">
        <v>0</v>
      </c>
      <c r="L1134" t="n">
        <v>0</v>
      </c>
      <c r="M1134" t="n">
        <v>0</v>
      </c>
      <c r="N1134" t="n">
        <v>0</v>
      </c>
      <c r="O1134" t="n">
        <v>0</v>
      </c>
      <c r="P1134" t="n">
        <v>0</v>
      </c>
      <c r="Q1134" t="n">
        <v>0</v>
      </c>
      <c r="R1134" s="2" t="inlineStr"/>
    </row>
    <row r="1135" ht="15" customHeight="1">
      <c r="A1135" t="inlineStr">
        <is>
          <t>A 71565-2021</t>
        </is>
      </c>
      <c r="B1135" s="1" t="n">
        <v>44540</v>
      </c>
      <c r="C1135" s="1" t="n">
        <v>45192</v>
      </c>
      <c r="D1135" t="inlineStr">
        <is>
          <t>VÄSTERBOTTENS LÄN</t>
        </is>
      </c>
      <c r="E1135" t="inlineStr">
        <is>
          <t>SKELLEFTEÅ</t>
        </is>
      </c>
      <c r="F1135" t="inlineStr">
        <is>
          <t>Sveaskog</t>
        </is>
      </c>
      <c r="G1135" t="n">
        <v>6.8</v>
      </c>
      <c r="H1135" t="n">
        <v>0</v>
      </c>
      <c r="I1135" t="n">
        <v>0</v>
      </c>
      <c r="J1135" t="n">
        <v>0</v>
      </c>
      <c r="K1135" t="n">
        <v>0</v>
      </c>
      <c r="L1135" t="n">
        <v>0</v>
      </c>
      <c r="M1135" t="n">
        <v>0</v>
      </c>
      <c r="N1135" t="n">
        <v>0</v>
      </c>
      <c r="O1135" t="n">
        <v>0</v>
      </c>
      <c r="P1135" t="n">
        <v>0</v>
      </c>
      <c r="Q1135" t="n">
        <v>0</v>
      </c>
      <c r="R1135" s="2" t="inlineStr"/>
    </row>
    <row r="1136" ht="15" customHeight="1">
      <c r="A1136" t="inlineStr">
        <is>
          <t>A 71459-2021</t>
        </is>
      </c>
      <c r="B1136" s="1" t="n">
        <v>44540</v>
      </c>
      <c r="C1136" s="1" t="n">
        <v>45192</v>
      </c>
      <c r="D1136" t="inlineStr">
        <is>
          <t>VÄSTERBOTTENS LÄN</t>
        </is>
      </c>
      <c r="E1136" t="inlineStr">
        <is>
          <t>SKELLEFTEÅ</t>
        </is>
      </c>
      <c r="F1136" t="inlineStr">
        <is>
          <t>Sveaskog</t>
        </is>
      </c>
      <c r="G1136" t="n">
        <v>1.2</v>
      </c>
      <c r="H1136" t="n">
        <v>0</v>
      </c>
      <c r="I1136" t="n">
        <v>0</v>
      </c>
      <c r="J1136" t="n">
        <v>0</v>
      </c>
      <c r="K1136" t="n">
        <v>0</v>
      </c>
      <c r="L1136" t="n">
        <v>0</v>
      </c>
      <c r="M1136" t="n">
        <v>0</v>
      </c>
      <c r="N1136" t="n">
        <v>0</v>
      </c>
      <c r="O1136" t="n">
        <v>0</v>
      </c>
      <c r="P1136" t="n">
        <v>0</v>
      </c>
      <c r="Q1136" t="n">
        <v>0</v>
      </c>
      <c r="R1136" s="2" t="inlineStr"/>
    </row>
    <row r="1137" ht="15" customHeight="1">
      <c r="A1137" t="inlineStr">
        <is>
          <t>A 72203-2021</t>
        </is>
      </c>
      <c r="B1137" s="1" t="n">
        <v>44543</v>
      </c>
      <c r="C1137" s="1" t="n">
        <v>45192</v>
      </c>
      <c r="D1137" t="inlineStr">
        <is>
          <t>VÄSTERBOTTENS LÄN</t>
        </is>
      </c>
      <c r="E1137" t="inlineStr">
        <is>
          <t>SKELLEFTEÅ</t>
        </is>
      </c>
      <c r="G1137" t="n">
        <v>0.5</v>
      </c>
      <c r="H1137" t="n">
        <v>0</v>
      </c>
      <c r="I1137" t="n">
        <v>0</v>
      </c>
      <c r="J1137" t="n">
        <v>0</v>
      </c>
      <c r="K1137" t="n">
        <v>0</v>
      </c>
      <c r="L1137" t="n">
        <v>0</v>
      </c>
      <c r="M1137" t="n">
        <v>0</v>
      </c>
      <c r="N1137" t="n">
        <v>0</v>
      </c>
      <c r="O1137" t="n">
        <v>0</v>
      </c>
      <c r="P1137" t="n">
        <v>0</v>
      </c>
      <c r="Q1137" t="n">
        <v>0</v>
      </c>
      <c r="R1137" s="2" t="inlineStr"/>
    </row>
    <row r="1138" ht="15" customHeight="1">
      <c r="A1138" t="inlineStr">
        <is>
          <t>A 72692-2021</t>
        </is>
      </c>
      <c r="B1138" s="1" t="n">
        <v>44545</v>
      </c>
      <c r="C1138" s="1" t="n">
        <v>45192</v>
      </c>
      <c r="D1138" t="inlineStr">
        <is>
          <t>VÄSTERBOTTENS LÄN</t>
        </is>
      </c>
      <c r="E1138" t="inlineStr">
        <is>
          <t>SKELLEFTEÅ</t>
        </is>
      </c>
      <c r="G1138" t="n">
        <v>0.9</v>
      </c>
      <c r="H1138" t="n">
        <v>0</v>
      </c>
      <c r="I1138" t="n">
        <v>0</v>
      </c>
      <c r="J1138" t="n">
        <v>0</v>
      </c>
      <c r="K1138" t="n">
        <v>0</v>
      </c>
      <c r="L1138" t="n">
        <v>0</v>
      </c>
      <c r="M1138" t="n">
        <v>0</v>
      </c>
      <c r="N1138" t="n">
        <v>0</v>
      </c>
      <c r="O1138" t="n">
        <v>0</v>
      </c>
      <c r="P1138" t="n">
        <v>0</v>
      </c>
      <c r="Q1138" t="n">
        <v>0</v>
      </c>
      <c r="R1138" s="2" t="inlineStr"/>
    </row>
    <row r="1139" ht="15" customHeight="1">
      <c r="A1139" t="inlineStr">
        <is>
          <t>A 72545-2021</t>
        </is>
      </c>
      <c r="B1139" s="1" t="n">
        <v>44546</v>
      </c>
      <c r="C1139" s="1" t="n">
        <v>45192</v>
      </c>
      <c r="D1139" t="inlineStr">
        <is>
          <t>VÄSTERBOTTENS LÄN</t>
        </is>
      </c>
      <c r="E1139" t="inlineStr">
        <is>
          <t>SKELLEFTEÅ</t>
        </is>
      </c>
      <c r="F1139" t="inlineStr">
        <is>
          <t>Holmen skog AB</t>
        </is>
      </c>
      <c r="G1139" t="n">
        <v>6.5</v>
      </c>
      <c r="H1139" t="n">
        <v>0</v>
      </c>
      <c r="I1139" t="n">
        <v>0</v>
      </c>
      <c r="J1139" t="n">
        <v>0</v>
      </c>
      <c r="K1139" t="n">
        <v>0</v>
      </c>
      <c r="L1139" t="n">
        <v>0</v>
      </c>
      <c r="M1139" t="n">
        <v>0</v>
      </c>
      <c r="N1139" t="n">
        <v>0</v>
      </c>
      <c r="O1139" t="n">
        <v>0</v>
      </c>
      <c r="P1139" t="n">
        <v>0</v>
      </c>
      <c r="Q1139" t="n">
        <v>0</v>
      </c>
      <c r="R1139" s="2" t="inlineStr"/>
    </row>
    <row r="1140" ht="15" customHeight="1">
      <c r="A1140" t="inlineStr">
        <is>
          <t>A 73159-2021</t>
        </is>
      </c>
      <c r="B1140" s="1" t="n">
        <v>44550</v>
      </c>
      <c r="C1140" s="1" t="n">
        <v>45192</v>
      </c>
      <c r="D1140" t="inlineStr">
        <is>
          <t>VÄSTERBOTTENS LÄN</t>
        </is>
      </c>
      <c r="E1140" t="inlineStr">
        <is>
          <t>SKELLEFTEÅ</t>
        </is>
      </c>
      <c r="G1140" t="n">
        <v>8.5</v>
      </c>
      <c r="H1140" t="n">
        <v>0</v>
      </c>
      <c r="I1140" t="n">
        <v>0</v>
      </c>
      <c r="J1140" t="n">
        <v>0</v>
      </c>
      <c r="K1140" t="n">
        <v>0</v>
      </c>
      <c r="L1140" t="n">
        <v>0</v>
      </c>
      <c r="M1140" t="n">
        <v>0</v>
      </c>
      <c r="N1140" t="n">
        <v>0</v>
      </c>
      <c r="O1140" t="n">
        <v>0</v>
      </c>
      <c r="P1140" t="n">
        <v>0</v>
      </c>
      <c r="Q1140" t="n">
        <v>0</v>
      </c>
      <c r="R1140" s="2" t="inlineStr"/>
    </row>
    <row r="1141" ht="15" customHeight="1">
      <c r="A1141" t="inlineStr">
        <is>
          <t>A 73614-2021</t>
        </is>
      </c>
      <c r="B1141" s="1" t="n">
        <v>44551</v>
      </c>
      <c r="C1141" s="1" t="n">
        <v>45192</v>
      </c>
      <c r="D1141" t="inlineStr">
        <is>
          <t>VÄSTERBOTTENS LÄN</t>
        </is>
      </c>
      <c r="E1141" t="inlineStr">
        <is>
          <t>SKELLEFTEÅ</t>
        </is>
      </c>
      <c r="G1141" t="n">
        <v>0.5</v>
      </c>
      <c r="H1141" t="n">
        <v>0</v>
      </c>
      <c r="I1141" t="n">
        <v>0</v>
      </c>
      <c r="J1141" t="n">
        <v>0</v>
      </c>
      <c r="K1141" t="n">
        <v>0</v>
      </c>
      <c r="L1141" t="n">
        <v>0</v>
      </c>
      <c r="M1141" t="n">
        <v>0</v>
      </c>
      <c r="N1141" t="n">
        <v>0</v>
      </c>
      <c r="O1141" t="n">
        <v>0</v>
      </c>
      <c r="P1141" t="n">
        <v>0</v>
      </c>
      <c r="Q1141" t="n">
        <v>0</v>
      </c>
      <c r="R1141" s="2" t="inlineStr"/>
    </row>
    <row r="1142" ht="15" customHeight="1">
      <c r="A1142" t="inlineStr">
        <is>
          <t>A 73684-2021</t>
        </is>
      </c>
      <c r="B1142" s="1" t="n">
        <v>44551</v>
      </c>
      <c r="C1142" s="1" t="n">
        <v>45192</v>
      </c>
      <c r="D1142" t="inlineStr">
        <is>
          <t>VÄSTERBOTTENS LÄN</t>
        </is>
      </c>
      <c r="E1142" t="inlineStr">
        <is>
          <t>SKELLEFTEÅ</t>
        </is>
      </c>
      <c r="G1142" t="n">
        <v>3.6</v>
      </c>
      <c r="H1142" t="n">
        <v>0</v>
      </c>
      <c r="I1142" t="n">
        <v>0</v>
      </c>
      <c r="J1142" t="n">
        <v>0</v>
      </c>
      <c r="K1142" t="n">
        <v>0</v>
      </c>
      <c r="L1142" t="n">
        <v>0</v>
      </c>
      <c r="M1142" t="n">
        <v>0</v>
      </c>
      <c r="N1142" t="n">
        <v>0</v>
      </c>
      <c r="O1142" t="n">
        <v>0</v>
      </c>
      <c r="P1142" t="n">
        <v>0</v>
      </c>
      <c r="Q1142" t="n">
        <v>0</v>
      </c>
      <c r="R1142" s="2" t="inlineStr"/>
    </row>
    <row r="1143" ht="15" customHeight="1">
      <c r="A1143" t="inlineStr">
        <is>
          <t>A 73956-2021</t>
        </is>
      </c>
      <c r="B1143" s="1" t="n">
        <v>44553</v>
      </c>
      <c r="C1143" s="1" t="n">
        <v>45192</v>
      </c>
      <c r="D1143" t="inlineStr">
        <is>
          <t>VÄSTERBOTTENS LÄN</t>
        </is>
      </c>
      <c r="E1143" t="inlineStr">
        <is>
          <t>SKELLEFTEÅ</t>
        </is>
      </c>
      <c r="G1143" t="n">
        <v>1</v>
      </c>
      <c r="H1143" t="n">
        <v>0</v>
      </c>
      <c r="I1143" t="n">
        <v>0</v>
      </c>
      <c r="J1143" t="n">
        <v>0</v>
      </c>
      <c r="K1143" t="n">
        <v>0</v>
      </c>
      <c r="L1143" t="n">
        <v>0</v>
      </c>
      <c r="M1143" t="n">
        <v>0</v>
      </c>
      <c r="N1143" t="n">
        <v>0</v>
      </c>
      <c r="O1143" t="n">
        <v>0</v>
      </c>
      <c r="P1143" t="n">
        <v>0</v>
      </c>
      <c r="Q1143" t="n">
        <v>0</v>
      </c>
      <c r="R1143" s="2" t="inlineStr"/>
    </row>
    <row r="1144" ht="15" customHeight="1">
      <c r="A1144" t="inlineStr">
        <is>
          <t>A 73957-2021</t>
        </is>
      </c>
      <c r="B1144" s="1" t="n">
        <v>44553</v>
      </c>
      <c r="C1144" s="1" t="n">
        <v>45192</v>
      </c>
      <c r="D1144" t="inlineStr">
        <is>
          <t>VÄSTERBOTTENS LÄN</t>
        </is>
      </c>
      <c r="E1144" t="inlineStr">
        <is>
          <t>SKELLEFTEÅ</t>
        </is>
      </c>
      <c r="G1144" t="n">
        <v>1.3</v>
      </c>
      <c r="H1144" t="n">
        <v>0</v>
      </c>
      <c r="I1144" t="n">
        <v>0</v>
      </c>
      <c r="J1144" t="n">
        <v>0</v>
      </c>
      <c r="K1144" t="n">
        <v>0</v>
      </c>
      <c r="L1144" t="n">
        <v>0</v>
      </c>
      <c r="M1144" t="n">
        <v>0</v>
      </c>
      <c r="N1144" t="n">
        <v>0</v>
      </c>
      <c r="O1144" t="n">
        <v>0</v>
      </c>
      <c r="P1144" t="n">
        <v>0</v>
      </c>
      <c r="Q1144" t="n">
        <v>0</v>
      </c>
      <c r="R1144" s="2" t="inlineStr"/>
    </row>
    <row r="1145" ht="15" customHeight="1">
      <c r="A1145" t="inlineStr">
        <is>
          <t>A 73985-2021</t>
        </is>
      </c>
      <c r="B1145" s="1" t="n">
        <v>44555</v>
      </c>
      <c r="C1145" s="1" t="n">
        <v>45192</v>
      </c>
      <c r="D1145" t="inlineStr">
        <is>
          <t>VÄSTERBOTTENS LÄN</t>
        </is>
      </c>
      <c r="E1145" t="inlineStr">
        <is>
          <t>SKELLEFTEÅ</t>
        </is>
      </c>
      <c r="G1145" t="n">
        <v>1.8</v>
      </c>
      <c r="H1145" t="n">
        <v>0</v>
      </c>
      <c r="I1145" t="n">
        <v>0</v>
      </c>
      <c r="J1145" t="n">
        <v>0</v>
      </c>
      <c r="K1145" t="n">
        <v>0</v>
      </c>
      <c r="L1145" t="n">
        <v>0</v>
      </c>
      <c r="M1145" t="n">
        <v>0</v>
      </c>
      <c r="N1145" t="n">
        <v>0</v>
      </c>
      <c r="O1145" t="n">
        <v>0</v>
      </c>
      <c r="P1145" t="n">
        <v>0</v>
      </c>
      <c r="Q1145" t="n">
        <v>0</v>
      </c>
      <c r="R1145" s="2" t="inlineStr"/>
    </row>
    <row r="1146" ht="15" customHeight="1">
      <c r="A1146" t="inlineStr">
        <is>
          <t>A 74205-2021</t>
        </is>
      </c>
      <c r="B1146" s="1" t="n">
        <v>44558</v>
      </c>
      <c r="C1146" s="1" t="n">
        <v>45192</v>
      </c>
      <c r="D1146" t="inlineStr">
        <is>
          <t>VÄSTERBOTTENS LÄN</t>
        </is>
      </c>
      <c r="E1146" t="inlineStr">
        <is>
          <t>SKELLEFTEÅ</t>
        </is>
      </c>
      <c r="G1146" t="n">
        <v>2</v>
      </c>
      <c r="H1146" t="n">
        <v>0</v>
      </c>
      <c r="I1146" t="n">
        <v>0</v>
      </c>
      <c r="J1146" t="n">
        <v>0</v>
      </c>
      <c r="K1146" t="n">
        <v>0</v>
      </c>
      <c r="L1146" t="n">
        <v>0</v>
      </c>
      <c r="M1146" t="n">
        <v>0</v>
      </c>
      <c r="N1146" t="n">
        <v>0</v>
      </c>
      <c r="O1146" t="n">
        <v>0</v>
      </c>
      <c r="P1146" t="n">
        <v>0</v>
      </c>
      <c r="Q1146" t="n">
        <v>0</v>
      </c>
      <c r="R1146" s="2" t="inlineStr"/>
    </row>
    <row r="1147" ht="15" customHeight="1">
      <c r="A1147" t="inlineStr">
        <is>
          <t>A 808-2022</t>
        </is>
      </c>
      <c r="B1147" s="1" t="n">
        <v>44568</v>
      </c>
      <c r="C1147" s="1" t="n">
        <v>45192</v>
      </c>
      <c r="D1147" t="inlineStr">
        <is>
          <t>VÄSTERBOTTENS LÄN</t>
        </is>
      </c>
      <c r="E1147" t="inlineStr">
        <is>
          <t>SKELLEFTEÅ</t>
        </is>
      </c>
      <c r="G1147" t="n">
        <v>4.9</v>
      </c>
      <c r="H1147" t="n">
        <v>0</v>
      </c>
      <c r="I1147" t="n">
        <v>0</v>
      </c>
      <c r="J1147" t="n">
        <v>0</v>
      </c>
      <c r="K1147" t="n">
        <v>0</v>
      </c>
      <c r="L1147" t="n">
        <v>0</v>
      </c>
      <c r="M1147" t="n">
        <v>0</v>
      </c>
      <c r="N1147" t="n">
        <v>0</v>
      </c>
      <c r="O1147" t="n">
        <v>0</v>
      </c>
      <c r="P1147" t="n">
        <v>0</v>
      </c>
      <c r="Q1147" t="n">
        <v>0</v>
      </c>
      <c r="R1147" s="2" t="inlineStr"/>
    </row>
    <row r="1148" ht="15" customHeight="1">
      <c r="A1148" t="inlineStr">
        <is>
          <t>A 1626-2022</t>
        </is>
      </c>
      <c r="B1148" s="1" t="n">
        <v>44573</v>
      </c>
      <c r="C1148" s="1" t="n">
        <v>45192</v>
      </c>
      <c r="D1148" t="inlineStr">
        <is>
          <t>VÄSTERBOTTENS LÄN</t>
        </is>
      </c>
      <c r="E1148" t="inlineStr">
        <is>
          <t>SKELLEFTEÅ</t>
        </is>
      </c>
      <c r="G1148" t="n">
        <v>14.1</v>
      </c>
      <c r="H1148" t="n">
        <v>0</v>
      </c>
      <c r="I1148" t="n">
        <v>0</v>
      </c>
      <c r="J1148" t="n">
        <v>0</v>
      </c>
      <c r="K1148" t="n">
        <v>0</v>
      </c>
      <c r="L1148" t="n">
        <v>0</v>
      </c>
      <c r="M1148" t="n">
        <v>0</v>
      </c>
      <c r="N1148" t="n">
        <v>0</v>
      </c>
      <c r="O1148" t="n">
        <v>0</v>
      </c>
      <c r="P1148" t="n">
        <v>0</v>
      </c>
      <c r="Q1148" t="n">
        <v>0</v>
      </c>
      <c r="R1148" s="2" t="inlineStr"/>
    </row>
    <row r="1149" ht="15" customHeight="1">
      <c r="A1149" t="inlineStr">
        <is>
          <t>A 1750-2022</t>
        </is>
      </c>
      <c r="B1149" s="1" t="n">
        <v>44574</v>
      </c>
      <c r="C1149" s="1" t="n">
        <v>45192</v>
      </c>
      <c r="D1149" t="inlineStr">
        <is>
          <t>VÄSTERBOTTENS LÄN</t>
        </is>
      </c>
      <c r="E1149" t="inlineStr">
        <is>
          <t>SKELLEFTEÅ</t>
        </is>
      </c>
      <c r="G1149" t="n">
        <v>1.8</v>
      </c>
      <c r="H1149" t="n">
        <v>0</v>
      </c>
      <c r="I1149" t="n">
        <v>0</v>
      </c>
      <c r="J1149" t="n">
        <v>0</v>
      </c>
      <c r="K1149" t="n">
        <v>0</v>
      </c>
      <c r="L1149" t="n">
        <v>0</v>
      </c>
      <c r="M1149" t="n">
        <v>0</v>
      </c>
      <c r="N1149" t="n">
        <v>0</v>
      </c>
      <c r="O1149" t="n">
        <v>0</v>
      </c>
      <c r="P1149" t="n">
        <v>0</v>
      </c>
      <c r="Q1149" t="n">
        <v>0</v>
      </c>
      <c r="R1149" s="2" t="inlineStr"/>
    </row>
    <row r="1150" ht="15" customHeight="1">
      <c r="A1150" t="inlineStr">
        <is>
          <t>A 2486-2022</t>
        </is>
      </c>
      <c r="B1150" s="1" t="n">
        <v>44579</v>
      </c>
      <c r="C1150" s="1" t="n">
        <v>45192</v>
      </c>
      <c r="D1150" t="inlineStr">
        <is>
          <t>VÄSTERBOTTENS LÄN</t>
        </is>
      </c>
      <c r="E1150" t="inlineStr">
        <is>
          <t>SKELLEFTEÅ</t>
        </is>
      </c>
      <c r="G1150" t="n">
        <v>2.4</v>
      </c>
      <c r="H1150" t="n">
        <v>0</v>
      </c>
      <c r="I1150" t="n">
        <v>0</v>
      </c>
      <c r="J1150" t="n">
        <v>0</v>
      </c>
      <c r="K1150" t="n">
        <v>0</v>
      </c>
      <c r="L1150" t="n">
        <v>0</v>
      </c>
      <c r="M1150" t="n">
        <v>0</v>
      </c>
      <c r="N1150" t="n">
        <v>0</v>
      </c>
      <c r="O1150" t="n">
        <v>0</v>
      </c>
      <c r="P1150" t="n">
        <v>0</v>
      </c>
      <c r="Q1150" t="n">
        <v>0</v>
      </c>
      <c r="R1150" s="2" t="inlineStr"/>
    </row>
    <row r="1151" ht="15" customHeight="1">
      <c r="A1151" t="inlineStr">
        <is>
          <t>A 2813-2022</t>
        </is>
      </c>
      <c r="B1151" s="1" t="n">
        <v>44580</v>
      </c>
      <c r="C1151" s="1" t="n">
        <v>45192</v>
      </c>
      <c r="D1151" t="inlineStr">
        <is>
          <t>VÄSTERBOTTENS LÄN</t>
        </is>
      </c>
      <c r="E1151" t="inlineStr">
        <is>
          <t>SKELLEFTEÅ</t>
        </is>
      </c>
      <c r="G1151" t="n">
        <v>3.6</v>
      </c>
      <c r="H1151" t="n">
        <v>0</v>
      </c>
      <c r="I1151" t="n">
        <v>0</v>
      </c>
      <c r="J1151" t="n">
        <v>0</v>
      </c>
      <c r="K1151" t="n">
        <v>0</v>
      </c>
      <c r="L1151" t="n">
        <v>0</v>
      </c>
      <c r="M1151" t="n">
        <v>0</v>
      </c>
      <c r="N1151" t="n">
        <v>0</v>
      </c>
      <c r="O1151" t="n">
        <v>0</v>
      </c>
      <c r="P1151" t="n">
        <v>0</v>
      </c>
      <c r="Q1151" t="n">
        <v>0</v>
      </c>
      <c r="R1151" s="2" t="inlineStr"/>
    </row>
    <row r="1152" ht="15" customHeight="1">
      <c r="A1152" t="inlineStr">
        <is>
          <t>A 2607-2022</t>
        </is>
      </c>
      <c r="B1152" s="1" t="n">
        <v>44580</v>
      </c>
      <c r="C1152" s="1" t="n">
        <v>45192</v>
      </c>
      <c r="D1152" t="inlineStr">
        <is>
          <t>VÄSTERBOTTENS LÄN</t>
        </is>
      </c>
      <c r="E1152" t="inlineStr">
        <is>
          <t>SKELLEFTEÅ</t>
        </is>
      </c>
      <c r="G1152" t="n">
        <v>0.5</v>
      </c>
      <c r="H1152" t="n">
        <v>0</v>
      </c>
      <c r="I1152" t="n">
        <v>0</v>
      </c>
      <c r="J1152" t="n">
        <v>0</v>
      </c>
      <c r="K1152" t="n">
        <v>0</v>
      </c>
      <c r="L1152" t="n">
        <v>0</v>
      </c>
      <c r="M1152" t="n">
        <v>0</v>
      </c>
      <c r="N1152" t="n">
        <v>0</v>
      </c>
      <c r="O1152" t="n">
        <v>0</v>
      </c>
      <c r="P1152" t="n">
        <v>0</v>
      </c>
      <c r="Q1152" t="n">
        <v>0</v>
      </c>
      <c r="R1152" s="2" t="inlineStr"/>
    </row>
    <row r="1153" ht="15" customHeight="1">
      <c r="A1153" t="inlineStr">
        <is>
          <t>A 3362-2022</t>
        </is>
      </c>
      <c r="B1153" s="1" t="n">
        <v>44585</v>
      </c>
      <c r="C1153" s="1" t="n">
        <v>45192</v>
      </c>
      <c r="D1153" t="inlineStr">
        <is>
          <t>VÄSTERBOTTENS LÄN</t>
        </is>
      </c>
      <c r="E1153" t="inlineStr">
        <is>
          <t>SKELLEFTEÅ</t>
        </is>
      </c>
      <c r="G1153" t="n">
        <v>0.2</v>
      </c>
      <c r="H1153" t="n">
        <v>0</v>
      </c>
      <c r="I1153" t="n">
        <v>0</v>
      </c>
      <c r="J1153" t="n">
        <v>0</v>
      </c>
      <c r="K1153" t="n">
        <v>0</v>
      </c>
      <c r="L1153" t="n">
        <v>0</v>
      </c>
      <c r="M1153" t="n">
        <v>0</v>
      </c>
      <c r="N1153" t="n">
        <v>0</v>
      </c>
      <c r="O1153" t="n">
        <v>0</v>
      </c>
      <c r="P1153" t="n">
        <v>0</v>
      </c>
      <c r="Q1153" t="n">
        <v>0</v>
      </c>
      <c r="R1153" s="2" t="inlineStr"/>
    </row>
    <row r="1154" ht="15" customHeight="1">
      <c r="A1154" t="inlineStr">
        <is>
          <t>A 3616-2022</t>
        </is>
      </c>
      <c r="B1154" s="1" t="n">
        <v>44586</v>
      </c>
      <c r="C1154" s="1" t="n">
        <v>45192</v>
      </c>
      <c r="D1154" t="inlineStr">
        <is>
          <t>VÄSTERBOTTENS LÄN</t>
        </is>
      </c>
      <c r="E1154" t="inlineStr">
        <is>
          <t>SKELLEFTEÅ</t>
        </is>
      </c>
      <c r="G1154" t="n">
        <v>1.9</v>
      </c>
      <c r="H1154" t="n">
        <v>0</v>
      </c>
      <c r="I1154" t="n">
        <v>0</v>
      </c>
      <c r="J1154" t="n">
        <v>0</v>
      </c>
      <c r="K1154" t="n">
        <v>0</v>
      </c>
      <c r="L1154" t="n">
        <v>0</v>
      </c>
      <c r="M1154" t="n">
        <v>0</v>
      </c>
      <c r="N1154" t="n">
        <v>0</v>
      </c>
      <c r="O1154" t="n">
        <v>0</v>
      </c>
      <c r="P1154" t="n">
        <v>0</v>
      </c>
      <c r="Q1154" t="n">
        <v>0</v>
      </c>
      <c r="R1154" s="2" t="inlineStr"/>
    </row>
    <row r="1155" ht="15" customHeight="1">
      <c r="A1155" t="inlineStr">
        <is>
          <t>A 3876-2022</t>
        </is>
      </c>
      <c r="B1155" s="1" t="n">
        <v>44587</v>
      </c>
      <c r="C1155" s="1" t="n">
        <v>45192</v>
      </c>
      <c r="D1155" t="inlineStr">
        <is>
          <t>VÄSTERBOTTENS LÄN</t>
        </is>
      </c>
      <c r="E1155" t="inlineStr">
        <is>
          <t>SKELLEFTEÅ</t>
        </is>
      </c>
      <c r="G1155" t="n">
        <v>6.3</v>
      </c>
      <c r="H1155" t="n">
        <v>0</v>
      </c>
      <c r="I1155" t="n">
        <v>0</v>
      </c>
      <c r="J1155" t="n">
        <v>0</v>
      </c>
      <c r="K1155" t="n">
        <v>0</v>
      </c>
      <c r="L1155" t="n">
        <v>0</v>
      </c>
      <c r="M1155" t="n">
        <v>0</v>
      </c>
      <c r="N1155" t="n">
        <v>0</v>
      </c>
      <c r="O1155" t="n">
        <v>0</v>
      </c>
      <c r="P1155" t="n">
        <v>0</v>
      </c>
      <c r="Q1155" t="n">
        <v>0</v>
      </c>
      <c r="R1155" s="2" t="inlineStr"/>
    </row>
    <row r="1156" ht="15" customHeight="1">
      <c r="A1156" t="inlineStr">
        <is>
          <t>A 3987-2022</t>
        </is>
      </c>
      <c r="B1156" s="1" t="n">
        <v>44587</v>
      </c>
      <c r="C1156" s="1" t="n">
        <v>45192</v>
      </c>
      <c r="D1156" t="inlineStr">
        <is>
          <t>VÄSTERBOTTENS LÄN</t>
        </is>
      </c>
      <c r="E1156" t="inlineStr">
        <is>
          <t>SKELLEFTEÅ</t>
        </is>
      </c>
      <c r="F1156" t="inlineStr">
        <is>
          <t>Sveaskog</t>
        </is>
      </c>
      <c r="G1156" t="n">
        <v>14.3</v>
      </c>
      <c r="H1156" t="n">
        <v>0</v>
      </c>
      <c r="I1156" t="n">
        <v>0</v>
      </c>
      <c r="J1156" t="n">
        <v>0</v>
      </c>
      <c r="K1156" t="n">
        <v>0</v>
      </c>
      <c r="L1156" t="n">
        <v>0</v>
      </c>
      <c r="M1156" t="n">
        <v>0</v>
      </c>
      <c r="N1156" t="n">
        <v>0</v>
      </c>
      <c r="O1156" t="n">
        <v>0</v>
      </c>
      <c r="P1156" t="n">
        <v>0</v>
      </c>
      <c r="Q1156" t="n">
        <v>0</v>
      </c>
      <c r="R1156" s="2" t="inlineStr"/>
    </row>
    <row r="1157" ht="15" customHeight="1">
      <c r="A1157" t="inlineStr">
        <is>
          <t>A 3924-2022</t>
        </is>
      </c>
      <c r="B1157" s="1" t="n">
        <v>44587</v>
      </c>
      <c r="C1157" s="1" t="n">
        <v>45192</v>
      </c>
      <c r="D1157" t="inlineStr">
        <is>
          <t>VÄSTERBOTTENS LÄN</t>
        </is>
      </c>
      <c r="E1157" t="inlineStr">
        <is>
          <t>SKELLEFTEÅ</t>
        </is>
      </c>
      <c r="G1157" t="n">
        <v>0.7</v>
      </c>
      <c r="H1157" t="n">
        <v>0</v>
      </c>
      <c r="I1157" t="n">
        <v>0</v>
      </c>
      <c r="J1157" t="n">
        <v>0</v>
      </c>
      <c r="K1157" t="n">
        <v>0</v>
      </c>
      <c r="L1157" t="n">
        <v>0</v>
      </c>
      <c r="M1157" t="n">
        <v>0</v>
      </c>
      <c r="N1157" t="n">
        <v>0</v>
      </c>
      <c r="O1157" t="n">
        <v>0</v>
      </c>
      <c r="P1157" t="n">
        <v>0</v>
      </c>
      <c r="Q1157" t="n">
        <v>0</v>
      </c>
      <c r="R1157" s="2" t="inlineStr"/>
    </row>
    <row r="1158" ht="15" customHeight="1">
      <c r="A1158" t="inlineStr">
        <is>
          <t>A 3944-2022</t>
        </is>
      </c>
      <c r="B1158" s="1" t="n">
        <v>44587</v>
      </c>
      <c r="C1158" s="1" t="n">
        <v>45192</v>
      </c>
      <c r="D1158" t="inlineStr">
        <is>
          <t>VÄSTERBOTTENS LÄN</t>
        </is>
      </c>
      <c r="E1158" t="inlineStr">
        <is>
          <t>SKELLEFTEÅ</t>
        </is>
      </c>
      <c r="F1158" t="inlineStr">
        <is>
          <t>Kommuner</t>
        </is>
      </c>
      <c r="G1158" t="n">
        <v>6.6</v>
      </c>
      <c r="H1158" t="n">
        <v>0</v>
      </c>
      <c r="I1158" t="n">
        <v>0</v>
      </c>
      <c r="J1158" t="n">
        <v>0</v>
      </c>
      <c r="K1158" t="n">
        <v>0</v>
      </c>
      <c r="L1158" t="n">
        <v>0</v>
      </c>
      <c r="M1158" t="n">
        <v>0</v>
      </c>
      <c r="N1158" t="n">
        <v>0</v>
      </c>
      <c r="O1158" t="n">
        <v>0</v>
      </c>
      <c r="P1158" t="n">
        <v>0</v>
      </c>
      <c r="Q1158" t="n">
        <v>0</v>
      </c>
      <c r="R1158" s="2" t="inlineStr"/>
    </row>
    <row r="1159" ht="15" customHeight="1">
      <c r="A1159" t="inlineStr">
        <is>
          <t>A 4762-2022</t>
        </is>
      </c>
      <c r="B1159" s="1" t="n">
        <v>44592</v>
      </c>
      <c r="C1159" s="1" t="n">
        <v>45192</v>
      </c>
      <c r="D1159" t="inlineStr">
        <is>
          <t>VÄSTERBOTTENS LÄN</t>
        </is>
      </c>
      <c r="E1159" t="inlineStr">
        <is>
          <t>SKELLEFTEÅ</t>
        </is>
      </c>
      <c r="G1159" t="n">
        <v>0.8</v>
      </c>
      <c r="H1159" t="n">
        <v>0</v>
      </c>
      <c r="I1159" t="n">
        <v>0</v>
      </c>
      <c r="J1159" t="n">
        <v>0</v>
      </c>
      <c r="K1159" t="n">
        <v>0</v>
      </c>
      <c r="L1159" t="n">
        <v>0</v>
      </c>
      <c r="M1159" t="n">
        <v>0</v>
      </c>
      <c r="N1159" t="n">
        <v>0</v>
      </c>
      <c r="O1159" t="n">
        <v>0</v>
      </c>
      <c r="P1159" t="n">
        <v>0</v>
      </c>
      <c r="Q1159" t="n">
        <v>0</v>
      </c>
      <c r="R1159" s="2" t="inlineStr"/>
    </row>
    <row r="1160" ht="15" customHeight="1">
      <c r="A1160" t="inlineStr">
        <is>
          <t>A 4603-2022</t>
        </is>
      </c>
      <c r="B1160" s="1" t="n">
        <v>44592</v>
      </c>
      <c r="C1160" s="1" t="n">
        <v>45192</v>
      </c>
      <c r="D1160" t="inlineStr">
        <is>
          <t>VÄSTERBOTTENS LÄN</t>
        </is>
      </c>
      <c r="E1160" t="inlineStr">
        <is>
          <t>SKELLEFTEÅ</t>
        </is>
      </c>
      <c r="G1160" t="n">
        <v>3.9</v>
      </c>
      <c r="H1160" t="n">
        <v>0</v>
      </c>
      <c r="I1160" t="n">
        <v>0</v>
      </c>
      <c r="J1160" t="n">
        <v>0</v>
      </c>
      <c r="K1160" t="n">
        <v>0</v>
      </c>
      <c r="L1160" t="n">
        <v>0</v>
      </c>
      <c r="M1160" t="n">
        <v>0</v>
      </c>
      <c r="N1160" t="n">
        <v>0</v>
      </c>
      <c r="O1160" t="n">
        <v>0</v>
      </c>
      <c r="P1160" t="n">
        <v>0</v>
      </c>
      <c r="Q1160" t="n">
        <v>0</v>
      </c>
      <c r="R1160" s="2" t="inlineStr"/>
    </row>
    <row r="1161" ht="15" customHeight="1">
      <c r="A1161" t="inlineStr">
        <is>
          <t>A 4791-2022</t>
        </is>
      </c>
      <c r="B1161" s="1" t="n">
        <v>44592</v>
      </c>
      <c r="C1161" s="1" t="n">
        <v>45192</v>
      </c>
      <c r="D1161" t="inlineStr">
        <is>
          <t>VÄSTERBOTTENS LÄN</t>
        </is>
      </c>
      <c r="E1161" t="inlineStr">
        <is>
          <t>SKELLEFTEÅ</t>
        </is>
      </c>
      <c r="G1161" t="n">
        <v>0.9</v>
      </c>
      <c r="H1161" t="n">
        <v>0</v>
      </c>
      <c r="I1161" t="n">
        <v>0</v>
      </c>
      <c r="J1161" t="n">
        <v>0</v>
      </c>
      <c r="K1161" t="n">
        <v>0</v>
      </c>
      <c r="L1161" t="n">
        <v>0</v>
      </c>
      <c r="M1161" t="n">
        <v>0</v>
      </c>
      <c r="N1161" t="n">
        <v>0</v>
      </c>
      <c r="O1161" t="n">
        <v>0</v>
      </c>
      <c r="P1161" t="n">
        <v>0</v>
      </c>
      <c r="Q1161" t="n">
        <v>0</v>
      </c>
      <c r="R1161" s="2" t="inlineStr"/>
    </row>
    <row r="1162" ht="15" customHeight="1">
      <c r="A1162" t="inlineStr">
        <is>
          <t>A 4844-2022</t>
        </is>
      </c>
      <c r="B1162" s="1" t="n">
        <v>44592</v>
      </c>
      <c r="C1162" s="1" t="n">
        <v>45192</v>
      </c>
      <c r="D1162" t="inlineStr">
        <is>
          <t>VÄSTERBOTTENS LÄN</t>
        </is>
      </c>
      <c r="E1162" t="inlineStr">
        <is>
          <t>SKELLEFTEÅ</t>
        </is>
      </c>
      <c r="G1162" t="n">
        <v>0.3</v>
      </c>
      <c r="H1162" t="n">
        <v>0</v>
      </c>
      <c r="I1162" t="n">
        <v>0</v>
      </c>
      <c r="J1162" t="n">
        <v>0</v>
      </c>
      <c r="K1162" t="n">
        <v>0</v>
      </c>
      <c r="L1162" t="n">
        <v>0</v>
      </c>
      <c r="M1162" t="n">
        <v>0</v>
      </c>
      <c r="N1162" t="n">
        <v>0</v>
      </c>
      <c r="O1162" t="n">
        <v>0</v>
      </c>
      <c r="P1162" t="n">
        <v>0</v>
      </c>
      <c r="Q1162" t="n">
        <v>0</v>
      </c>
      <c r="R1162" s="2" t="inlineStr"/>
    </row>
    <row r="1163" ht="15" customHeight="1">
      <c r="A1163" t="inlineStr">
        <is>
          <t>A 5281-2022</t>
        </is>
      </c>
      <c r="B1163" s="1" t="n">
        <v>44594</v>
      </c>
      <c r="C1163" s="1" t="n">
        <v>45192</v>
      </c>
      <c r="D1163" t="inlineStr">
        <is>
          <t>VÄSTERBOTTENS LÄN</t>
        </is>
      </c>
      <c r="E1163" t="inlineStr">
        <is>
          <t>SKELLEFTEÅ</t>
        </is>
      </c>
      <c r="G1163" t="n">
        <v>17.5</v>
      </c>
      <c r="H1163" t="n">
        <v>0</v>
      </c>
      <c r="I1163" t="n">
        <v>0</v>
      </c>
      <c r="J1163" t="n">
        <v>0</v>
      </c>
      <c r="K1163" t="n">
        <v>0</v>
      </c>
      <c r="L1163" t="n">
        <v>0</v>
      </c>
      <c r="M1163" t="n">
        <v>0</v>
      </c>
      <c r="N1163" t="n">
        <v>0</v>
      </c>
      <c r="O1163" t="n">
        <v>0</v>
      </c>
      <c r="P1163" t="n">
        <v>0</v>
      </c>
      <c r="Q1163" t="n">
        <v>0</v>
      </c>
      <c r="R1163" s="2" t="inlineStr"/>
    </row>
    <row r="1164" ht="15" customHeight="1">
      <c r="A1164" t="inlineStr">
        <is>
          <t>A 5524-2022</t>
        </is>
      </c>
      <c r="B1164" s="1" t="n">
        <v>44595</v>
      </c>
      <c r="C1164" s="1" t="n">
        <v>45192</v>
      </c>
      <c r="D1164" t="inlineStr">
        <is>
          <t>VÄSTERBOTTENS LÄN</t>
        </is>
      </c>
      <c r="E1164" t="inlineStr">
        <is>
          <t>SKELLEFTEÅ</t>
        </is>
      </c>
      <c r="F1164" t="inlineStr">
        <is>
          <t>Sveaskog</t>
        </is>
      </c>
      <c r="G1164" t="n">
        <v>1.2</v>
      </c>
      <c r="H1164" t="n">
        <v>0</v>
      </c>
      <c r="I1164" t="n">
        <v>0</v>
      </c>
      <c r="J1164" t="n">
        <v>0</v>
      </c>
      <c r="K1164" t="n">
        <v>0</v>
      </c>
      <c r="L1164" t="n">
        <v>0</v>
      </c>
      <c r="M1164" t="n">
        <v>0</v>
      </c>
      <c r="N1164" t="n">
        <v>0</v>
      </c>
      <c r="O1164" t="n">
        <v>0</v>
      </c>
      <c r="P1164" t="n">
        <v>0</v>
      </c>
      <c r="Q1164" t="n">
        <v>0</v>
      </c>
      <c r="R1164" s="2" t="inlineStr"/>
    </row>
    <row r="1165" ht="15" customHeight="1">
      <c r="A1165" t="inlineStr">
        <is>
          <t>A 5826-2022</t>
        </is>
      </c>
      <c r="B1165" s="1" t="n">
        <v>44596</v>
      </c>
      <c r="C1165" s="1" t="n">
        <v>45192</v>
      </c>
      <c r="D1165" t="inlineStr">
        <is>
          <t>VÄSTERBOTTENS LÄN</t>
        </is>
      </c>
      <c r="E1165" t="inlineStr">
        <is>
          <t>SKELLEFTEÅ</t>
        </is>
      </c>
      <c r="G1165" t="n">
        <v>0.8</v>
      </c>
      <c r="H1165" t="n">
        <v>0</v>
      </c>
      <c r="I1165" t="n">
        <v>0</v>
      </c>
      <c r="J1165" t="n">
        <v>0</v>
      </c>
      <c r="K1165" t="n">
        <v>0</v>
      </c>
      <c r="L1165" t="n">
        <v>0</v>
      </c>
      <c r="M1165" t="n">
        <v>0</v>
      </c>
      <c r="N1165" t="n">
        <v>0</v>
      </c>
      <c r="O1165" t="n">
        <v>0</v>
      </c>
      <c r="P1165" t="n">
        <v>0</v>
      </c>
      <c r="Q1165" t="n">
        <v>0</v>
      </c>
      <c r="R1165" s="2" t="inlineStr"/>
    </row>
    <row r="1166" ht="15" customHeight="1">
      <c r="A1166" t="inlineStr">
        <is>
          <t>A 5817-2022</t>
        </is>
      </c>
      <c r="B1166" s="1" t="n">
        <v>44596</v>
      </c>
      <c r="C1166" s="1" t="n">
        <v>45192</v>
      </c>
      <c r="D1166" t="inlineStr">
        <is>
          <t>VÄSTERBOTTENS LÄN</t>
        </is>
      </c>
      <c r="E1166" t="inlineStr">
        <is>
          <t>SKELLEFTEÅ</t>
        </is>
      </c>
      <c r="G1166" t="n">
        <v>0.7</v>
      </c>
      <c r="H1166" t="n">
        <v>0</v>
      </c>
      <c r="I1166" t="n">
        <v>0</v>
      </c>
      <c r="J1166" t="n">
        <v>0</v>
      </c>
      <c r="K1166" t="n">
        <v>0</v>
      </c>
      <c r="L1166" t="n">
        <v>0</v>
      </c>
      <c r="M1166" t="n">
        <v>0</v>
      </c>
      <c r="N1166" t="n">
        <v>0</v>
      </c>
      <c r="O1166" t="n">
        <v>0</v>
      </c>
      <c r="P1166" t="n">
        <v>0</v>
      </c>
      <c r="Q1166" t="n">
        <v>0</v>
      </c>
      <c r="R1166" s="2" t="inlineStr"/>
    </row>
    <row r="1167" ht="15" customHeight="1">
      <c r="A1167" t="inlineStr">
        <is>
          <t>A 5828-2022</t>
        </is>
      </c>
      <c r="B1167" s="1" t="n">
        <v>44596</v>
      </c>
      <c r="C1167" s="1" t="n">
        <v>45192</v>
      </c>
      <c r="D1167" t="inlineStr">
        <is>
          <t>VÄSTERBOTTENS LÄN</t>
        </is>
      </c>
      <c r="E1167" t="inlineStr">
        <is>
          <t>SKELLEFTEÅ</t>
        </is>
      </c>
      <c r="G1167" t="n">
        <v>1</v>
      </c>
      <c r="H1167" t="n">
        <v>0</v>
      </c>
      <c r="I1167" t="n">
        <v>0</v>
      </c>
      <c r="J1167" t="n">
        <v>0</v>
      </c>
      <c r="K1167" t="n">
        <v>0</v>
      </c>
      <c r="L1167" t="n">
        <v>0</v>
      </c>
      <c r="M1167" t="n">
        <v>0</v>
      </c>
      <c r="N1167" t="n">
        <v>0</v>
      </c>
      <c r="O1167" t="n">
        <v>0</v>
      </c>
      <c r="P1167" t="n">
        <v>0</v>
      </c>
      <c r="Q1167" t="n">
        <v>0</v>
      </c>
      <c r="R1167" s="2" t="inlineStr"/>
    </row>
    <row r="1168" ht="15" customHeight="1">
      <c r="A1168" t="inlineStr">
        <is>
          <t>A 6635-2022</t>
        </is>
      </c>
      <c r="B1168" s="1" t="n">
        <v>44601</v>
      </c>
      <c r="C1168" s="1" t="n">
        <v>45192</v>
      </c>
      <c r="D1168" t="inlineStr">
        <is>
          <t>VÄSTERBOTTENS LÄN</t>
        </is>
      </c>
      <c r="E1168" t="inlineStr">
        <is>
          <t>SKELLEFTEÅ</t>
        </is>
      </c>
      <c r="G1168" t="n">
        <v>10.5</v>
      </c>
      <c r="H1168" t="n">
        <v>0</v>
      </c>
      <c r="I1168" t="n">
        <v>0</v>
      </c>
      <c r="J1168" t="n">
        <v>0</v>
      </c>
      <c r="K1168" t="n">
        <v>0</v>
      </c>
      <c r="L1168" t="n">
        <v>0</v>
      </c>
      <c r="M1168" t="n">
        <v>0</v>
      </c>
      <c r="N1168" t="n">
        <v>0</v>
      </c>
      <c r="O1168" t="n">
        <v>0</v>
      </c>
      <c r="P1168" t="n">
        <v>0</v>
      </c>
      <c r="Q1168" t="n">
        <v>0</v>
      </c>
      <c r="R1168" s="2" t="inlineStr"/>
    </row>
    <row r="1169" ht="15" customHeight="1">
      <c r="A1169" t="inlineStr">
        <is>
          <t>A 6837-2022</t>
        </is>
      </c>
      <c r="B1169" s="1" t="n">
        <v>44602</v>
      </c>
      <c r="C1169" s="1" t="n">
        <v>45192</v>
      </c>
      <c r="D1169" t="inlineStr">
        <is>
          <t>VÄSTERBOTTENS LÄN</t>
        </is>
      </c>
      <c r="E1169" t="inlineStr">
        <is>
          <t>SKELLEFTEÅ</t>
        </is>
      </c>
      <c r="G1169" t="n">
        <v>1.5</v>
      </c>
      <c r="H1169" t="n">
        <v>0</v>
      </c>
      <c r="I1169" t="n">
        <v>0</v>
      </c>
      <c r="J1169" t="n">
        <v>0</v>
      </c>
      <c r="K1169" t="n">
        <v>0</v>
      </c>
      <c r="L1169" t="n">
        <v>0</v>
      </c>
      <c r="M1169" t="n">
        <v>0</v>
      </c>
      <c r="N1169" t="n">
        <v>0</v>
      </c>
      <c r="O1169" t="n">
        <v>0</v>
      </c>
      <c r="P1169" t="n">
        <v>0</v>
      </c>
      <c r="Q1169" t="n">
        <v>0</v>
      </c>
      <c r="R1169" s="2" t="inlineStr"/>
    </row>
    <row r="1170" ht="15" customHeight="1">
      <c r="A1170" t="inlineStr">
        <is>
          <t>A 6834-2022</t>
        </is>
      </c>
      <c r="B1170" s="1" t="n">
        <v>44602</v>
      </c>
      <c r="C1170" s="1" t="n">
        <v>45192</v>
      </c>
      <c r="D1170" t="inlineStr">
        <is>
          <t>VÄSTERBOTTENS LÄN</t>
        </is>
      </c>
      <c r="E1170" t="inlineStr">
        <is>
          <t>SKELLEFTEÅ</t>
        </is>
      </c>
      <c r="G1170" t="n">
        <v>0.8</v>
      </c>
      <c r="H1170" t="n">
        <v>0</v>
      </c>
      <c r="I1170" t="n">
        <v>0</v>
      </c>
      <c r="J1170" t="n">
        <v>0</v>
      </c>
      <c r="K1170" t="n">
        <v>0</v>
      </c>
      <c r="L1170" t="n">
        <v>0</v>
      </c>
      <c r="M1170" t="n">
        <v>0</v>
      </c>
      <c r="N1170" t="n">
        <v>0</v>
      </c>
      <c r="O1170" t="n">
        <v>0</v>
      </c>
      <c r="P1170" t="n">
        <v>0</v>
      </c>
      <c r="Q1170" t="n">
        <v>0</v>
      </c>
      <c r="R1170" s="2" t="inlineStr"/>
    </row>
    <row r="1171" ht="15" customHeight="1">
      <c r="A1171" t="inlineStr">
        <is>
          <t>A 7006-2022</t>
        </is>
      </c>
      <c r="B1171" s="1" t="n">
        <v>44602</v>
      </c>
      <c r="C1171" s="1" t="n">
        <v>45192</v>
      </c>
      <c r="D1171" t="inlineStr">
        <is>
          <t>VÄSTERBOTTENS LÄN</t>
        </is>
      </c>
      <c r="E1171" t="inlineStr">
        <is>
          <t>SKELLEFTEÅ</t>
        </is>
      </c>
      <c r="G1171" t="n">
        <v>2.5</v>
      </c>
      <c r="H1171" t="n">
        <v>0</v>
      </c>
      <c r="I1171" t="n">
        <v>0</v>
      </c>
      <c r="J1171" t="n">
        <v>0</v>
      </c>
      <c r="K1171" t="n">
        <v>0</v>
      </c>
      <c r="L1171" t="n">
        <v>0</v>
      </c>
      <c r="M1171" t="n">
        <v>0</v>
      </c>
      <c r="N1171" t="n">
        <v>0</v>
      </c>
      <c r="O1171" t="n">
        <v>0</v>
      </c>
      <c r="P1171" t="n">
        <v>0</v>
      </c>
      <c r="Q1171" t="n">
        <v>0</v>
      </c>
      <c r="R1171" s="2" t="inlineStr"/>
    </row>
    <row r="1172" ht="15" customHeight="1">
      <c r="A1172" t="inlineStr">
        <is>
          <t>A 7052-2022</t>
        </is>
      </c>
      <c r="B1172" s="1" t="n">
        <v>44603</v>
      </c>
      <c r="C1172" s="1" t="n">
        <v>45192</v>
      </c>
      <c r="D1172" t="inlineStr">
        <is>
          <t>VÄSTERBOTTENS LÄN</t>
        </is>
      </c>
      <c r="E1172" t="inlineStr">
        <is>
          <t>SKELLEFTEÅ</t>
        </is>
      </c>
      <c r="G1172" t="n">
        <v>0.8</v>
      </c>
      <c r="H1172" t="n">
        <v>0</v>
      </c>
      <c r="I1172" t="n">
        <v>0</v>
      </c>
      <c r="J1172" t="n">
        <v>0</v>
      </c>
      <c r="K1172" t="n">
        <v>0</v>
      </c>
      <c r="L1172" t="n">
        <v>0</v>
      </c>
      <c r="M1172" t="n">
        <v>0</v>
      </c>
      <c r="N1172" t="n">
        <v>0</v>
      </c>
      <c r="O1172" t="n">
        <v>0</v>
      </c>
      <c r="P1172" t="n">
        <v>0</v>
      </c>
      <c r="Q1172" t="n">
        <v>0</v>
      </c>
      <c r="R1172" s="2" t="inlineStr"/>
    </row>
    <row r="1173" ht="15" customHeight="1">
      <c r="A1173" t="inlineStr">
        <is>
          <t>A 7462-2022</t>
        </is>
      </c>
      <c r="B1173" s="1" t="n">
        <v>44606</v>
      </c>
      <c r="C1173" s="1" t="n">
        <v>45192</v>
      </c>
      <c r="D1173" t="inlineStr">
        <is>
          <t>VÄSTERBOTTENS LÄN</t>
        </is>
      </c>
      <c r="E1173" t="inlineStr">
        <is>
          <t>SKELLEFTEÅ</t>
        </is>
      </c>
      <c r="G1173" t="n">
        <v>4.3</v>
      </c>
      <c r="H1173" t="n">
        <v>0</v>
      </c>
      <c r="I1173" t="n">
        <v>0</v>
      </c>
      <c r="J1173" t="n">
        <v>0</v>
      </c>
      <c r="K1173" t="n">
        <v>0</v>
      </c>
      <c r="L1173" t="n">
        <v>0</v>
      </c>
      <c r="M1173" t="n">
        <v>0</v>
      </c>
      <c r="N1173" t="n">
        <v>0</v>
      </c>
      <c r="O1173" t="n">
        <v>0</v>
      </c>
      <c r="P1173" t="n">
        <v>0</v>
      </c>
      <c r="Q1173" t="n">
        <v>0</v>
      </c>
      <c r="R1173" s="2" t="inlineStr"/>
    </row>
    <row r="1174" ht="15" customHeight="1">
      <c r="A1174" t="inlineStr">
        <is>
          <t>A 7579-2022</t>
        </is>
      </c>
      <c r="B1174" s="1" t="n">
        <v>44607</v>
      </c>
      <c r="C1174" s="1" t="n">
        <v>45192</v>
      </c>
      <c r="D1174" t="inlineStr">
        <is>
          <t>VÄSTERBOTTENS LÄN</t>
        </is>
      </c>
      <c r="E1174" t="inlineStr">
        <is>
          <t>SKELLEFTEÅ</t>
        </is>
      </c>
      <c r="G1174" t="n">
        <v>1.3</v>
      </c>
      <c r="H1174" t="n">
        <v>0</v>
      </c>
      <c r="I1174" t="n">
        <v>0</v>
      </c>
      <c r="J1174" t="n">
        <v>0</v>
      </c>
      <c r="K1174" t="n">
        <v>0</v>
      </c>
      <c r="L1174" t="n">
        <v>0</v>
      </c>
      <c r="M1174" t="n">
        <v>0</v>
      </c>
      <c r="N1174" t="n">
        <v>0</v>
      </c>
      <c r="O1174" t="n">
        <v>0</v>
      </c>
      <c r="P1174" t="n">
        <v>0</v>
      </c>
      <c r="Q1174" t="n">
        <v>0</v>
      </c>
      <c r="R1174" s="2" t="inlineStr"/>
    </row>
    <row r="1175" ht="15" customHeight="1">
      <c r="A1175" t="inlineStr">
        <is>
          <t>A 8023-2022</t>
        </is>
      </c>
      <c r="B1175" s="1" t="n">
        <v>44609</v>
      </c>
      <c r="C1175" s="1" t="n">
        <v>45192</v>
      </c>
      <c r="D1175" t="inlineStr">
        <is>
          <t>VÄSTERBOTTENS LÄN</t>
        </is>
      </c>
      <c r="E1175" t="inlineStr">
        <is>
          <t>SKELLEFTEÅ</t>
        </is>
      </c>
      <c r="F1175" t="inlineStr">
        <is>
          <t>Kyrkan</t>
        </is>
      </c>
      <c r="G1175" t="n">
        <v>6.7</v>
      </c>
      <c r="H1175" t="n">
        <v>0</v>
      </c>
      <c r="I1175" t="n">
        <v>0</v>
      </c>
      <c r="J1175" t="n">
        <v>0</v>
      </c>
      <c r="K1175" t="n">
        <v>0</v>
      </c>
      <c r="L1175" t="n">
        <v>0</v>
      </c>
      <c r="M1175" t="n">
        <v>0</v>
      </c>
      <c r="N1175" t="n">
        <v>0</v>
      </c>
      <c r="O1175" t="n">
        <v>0</v>
      </c>
      <c r="P1175" t="n">
        <v>0</v>
      </c>
      <c r="Q1175" t="n">
        <v>0</v>
      </c>
      <c r="R1175" s="2" t="inlineStr"/>
    </row>
    <row r="1176" ht="15" customHeight="1">
      <c r="A1176" t="inlineStr">
        <is>
          <t>A 8203-2022</t>
        </is>
      </c>
      <c r="B1176" s="1" t="n">
        <v>44609</v>
      </c>
      <c r="C1176" s="1" t="n">
        <v>45192</v>
      </c>
      <c r="D1176" t="inlineStr">
        <is>
          <t>VÄSTERBOTTENS LÄN</t>
        </is>
      </c>
      <c r="E1176" t="inlineStr">
        <is>
          <t>SKELLEFTEÅ</t>
        </is>
      </c>
      <c r="G1176" t="n">
        <v>1.6</v>
      </c>
      <c r="H1176" t="n">
        <v>0</v>
      </c>
      <c r="I1176" t="n">
        <v>0</v>
      </c>
      <c r="J1176" t="n">
        <v>0</v>
      </c>
      <c r="K1176" t="n">
        <v>0</v>
      </c>
      <c r="L1176" t="n">
        <v>0</v>
      </c>
      <c r="M1176" t="n">
        <v>0</v>
      </c>
      <c r="N1176" t="n">
        <v>0</v>
      </c>
      <c r="O1176" t="n">
        <v>0</v>
      </c>
      <c r="P1176" t="n">
        <v>0</v>
      </c>
      <c r="Q1176" t="n">
        <v>0</v>
      </c>
      <c r="R1176" s="2" t="inlineStr"/>
    </row>
    <row r="1177" ht="15" customHeight="1">
      <c r="A1177" t="inlineStr">
        <is>
          <t>A 8539-2022</t>
        </is>
      </c>
      <c r="B1177" s="1" t="n">
        <v>44613</v>
      </c>
      <c r="C1177" s="1" t="n">
        <v>45192</v>
      </c>
      <c r="D1177" t="inlineStr">
        <is>
          <t>VÄSTERBOTTENS LÄN</t>
        </is>
      </c>
      <c r="E1177" t="inlineStr">
        <is>
          <t>SKELLEFTEÅ</t>
        </is>
      </c>
      <c r="G1177" t="n">
        <v>3.5</v>
      </c>
      <c r="H1177" t="n">
        <v>0</v>
      </c>
      <c r="I1177" t="n">
        <v>0</v>
      </c>
      <c r="J1177" t="n">
        <v>0</v>
      </c>
      <c r="K1177" t="n">
        <v>0</v>
      </c>
      <c r="L1177" t="n">
        <v>0</v>
      </c>
      <c r="M1177" t="n">
        <v>0</v>
      </c>
      <c r="N1177" t="n">
        <v>0</v>
      </c>
      <c r="O1177" t="n">
        <v>0</v>
      </c>
      <c r="P1177" t="n">
        <v>0</v>
      </c>
      <c r="Q1177" t="n">
        <v>0</v>
      </c>
      <c r="R1177" s="2" t="inlineStr"/>
    </row>
    <row r="1178" ht="15" customHeight="1">
      <c r="A1178" t="inlineStr">
        <is>
          <t>A 9053-2022</t>
        </is>
      </c>
      <c r="B1178" s="1" t="n">
        <v>44615</v>
      </c>
      <c r="C1178" s="1" t="n">
        <v>45192</v>
      </c>
      <c r="D1178" t="inlineStr">
        <is>
          <t>VÄSTERBOTTENS LÄN</t>
        </is>
      </c>
      <c r="E1178" t="inlineStr">
        <is>
          <t>SKELLEFTEÅ</t>
        </is>
      </c>
      <c r="G1178" t="n">
        <v>2.5</v>
      </c>
      <c r="H1178" t="n">
        <v>0</v>
      </c>
      <c r="I1178" t="n">
        <v>0</v>
      </c>
      <c r="J1178" t="n">
        <v>0</v>
      </c>
      <c r="K1178" t="n">
        <v>0</v>
      </c>
      <c r="L1178" t="n">
        <v>0</v>
      </c>
      <c r="M1178" t="n">
        <v>0</v>
      </c>
      <c r="N1178" t="n">
        <v>0</v>
      </c>
      <c r="O1178" t="n">
        <v>0</v>
      </c>
      <c r="P1178" t="n">
        <v>0</v>
      </c>
      <c r="Q1178" t="n">
        <v>0</v>
      </c>
      <c r="R1178" s="2" t="inlineStr"/>
    </row>
    <row r="1179" ht="15" customHeight="1">
      <c r="A1179" t="inlineStr">
        <is>
          <t>A 9579-2022</t>
        </is>
      </c>
      <c r="B1179" s="1" t="n">
        <v>44617</v>
      </c>
      <c r="C1179" s="1" t="n">
        <v>45192</v>
      </c>
      <c r="D1179" t="inlineStr">
        <is>
          <t>VÄSTERBOTTENS LÄN</t>
        </is>
      </c>
      <c r="E1179" t="inlineStr">
        <is>
          <t>SKELLEFTEÅ</t>
        </is>
      </c>
      <c r="G1179" t="n">
        <v>0.7</v>
      </c>
      <c r="H1179" t="n">
        <v>0</v>
      </c>
      <c r="I1179" t="n">
        <v>0</v>
      </c>
      <c r="J1179" t="n">
        <v>0</v>
      </c>
      <c r="K1179" t="n">
        <v>0</v>
      </c>
      <c r="L1179" t="n">
        <v>0</v>
      </c>
      <c r="M1179" t="n">
        <v>0</v>
      </c>
      <c r="N1179" t="n">
        <v>0</v>
      </c>
      <c r="O1179" t="n">
        <v>0</v>
      </c>
      <c r="P1179" t="n">
        <v>0</v>
      </c>
      <c r="Q1179" t="n">
        <v>0</v>
      </c>
      <c r="R1179" s="2" t="inlineStr"/>
    </row>
    <row r="1180" ht="15" customHeight="1">
      <c r="A1180" t="inlineStr">
        <is>
          <t>A 9950-2022</t>
        </is>
      </c>
      <c r="B1180" s="1" t="n">
        <v>44620</v>
      </c>
      <c r="C1180" s="1" t="n">
        <v>45192</v>
      </c>
      <c r="D1180" t="inlineStr">
        <is>
          <t>VÄSTERBOTTENS LÄN</t>
        </is>
      </c>
      <c r="E1180" t="inlineStr">
        <is>
          <t>SKELLEFTEÅ</t>
        </is>
      </c>
      <c r="G1180" t="n">
        <v>1.8</v>
      </c>
      <c r="H1180" t="n">
        <v>0</v>
      </c>
      <c r="I1180" t="n">
        <v>0</v>
      </c>
      <c r="J1180" t="n">
        <v>0</v>
      </c>
      <c r="K1180" t="n">
        <v>0</v>
      </c>
      <c r="L1180" t="n">
        <v>0</v>
      </c>
      <c r="M1180" t="n">
        <v>0</v>
      </c>
      <c r="N1180" t="n">
        <v>0</v>
      </c>
      <c r="O1180" t="n">
        <v>0</v>
      </c>
      <c r="P1180" t="n">
        <v>0</v>
      </c>
      <c r="Q1180" t="n">
        <v>0</v>
      </c>
      <c r="R1180" s="2" t="inlineStr"/>
    </row>
    <row r="1181" ht="15" customHeight="1">
      <c r="A1181" t="inlineStr">
        <is>
          <t>A 10132-2022</t>
        </is>
      </c>
      <c r="B1181" s="1" t="n">
        <v>44621</v>
      </c>
      <c r="C1181" s="1" t="n">
        <v>45192</v>
      </c>
      <c r="D1181" t="inlineStr">
        <is>
          <t>VÄSTERBOTTENS LÄN</t>
        </is>
      </c>
      <c r="E1181" t="inlineStr">
        <is>
          <t>SKELLEFTEÅ</t>
        </is>
      </c>
      <c r="F1181" t="inlineStr">
        <is>
          <t>SCA</t>
        </is>
      </c>
      <c r="G1181" t="n">
        <v>2.4</v>
      </c>
      <c r="H1181" t="n">
        <v>0</v>
      </c>
      <c r="I1181" t="n">
        <v>0</v>
      </c>
      <c r="J1181" t="n">
        <v>0</v>
      </c>
      <c r="K1181" t="n">
        <v>0</v>
      </c>
      <c r="L1181" t="n">
        <v>0</v>
      </c>
      <c r="M1181" t="n">
        <v>0</v>
      </c>
      <c r="N1181" t="n">
        <v>0</v>
      </c>
      <c r="O1181" t="n">
        <v>0</v>
      </c>
      <c r="P1181" t="n">
        <v>0</v>
      </c>
      <c r="Q1181" t="n">
        <v>0</v>
      </c>
      <c r="R1181" s="2" t="inlineStr"/>
    </row>
    <row r="1182" ht="15" customHeight="1">
      <c r="A1182" t="inlineStr">
        <is>
          <t>A 10723-2022</t>
        </is>
      </c>
      <c r="B1182" s="1" t="n">
        <v>44624</v>
      </c>
      <c r="C1182" s="1" t="n">
        <v>45192</v>
      </c>
      <c r="D1182" t="inlineStr">
        <is>
          <t>VÄSTERBOTTENS LÄN</t>
        </is>
      </c>
      <c r="E1182" t="inlineStr">
        <is>
          <t>SKELLEFTEÅ</t>
        </is>
      </c>
      <c r="G1182" t="n">
        <v>1.7</v>
      </c>
      <c r="H1182" t="n">
        <v>0</v>
      </c>
      <c r="I1182" t="n">
        <v>0</v>
      </c>
      <c r="J1182" t="n">
        <v>0</v>
      </c>
      <c r="K1182" t="n">
        <v>0</v>
      </c>
      <c r="L1182" t="n">
        <v>0</v>
      </c>
      <c r="M1182" t="n">
        <v>0</v>
      </c>
      <c r="N1182" t="n">
        <v>0</v>
      </c>
      <c r="O1182" t="n">
        <v>0</v>
      </c>
      <c r="P1182" t="n">
        <v>0</v>
      </c>
      <c r="Q1182" t="n">
        <v>0</v>
      </c>
      <c r="R1182" s="2" t="inlineStr"/>
    </row>
    <row r="1183" ht="15" customHeight="1">
      <c r="A1183" t="inlineStr">
        <is>
          <t>A 11226-2022</t>
        </is>
      </c>
      <c r="B1183" s="1" t="n">
        <v>44624</v>
      </c>
      <c r="C1183" s="1" t="n">
        <v>45192</v>
      </c>
      <c r="D1183" t="inlineStr">
        <is>
          <t>VÄSTERBOTTENS LÄN</t>
        </is>
      </c>
      <c r="E1183" t="inlineStr">
        <is>
          <t>SKELLEFTEÅ</t>
        </is>
      </c>
      <c r="G1183" t="n">
        <v>3.1</v>
      </c>
      <c r="H1183" t="n">
        <v>0</v>
      </c>
      <c r="I1183" t="n">
        <v>0</v>
      </c>
      <c r="J1183" t="n">
        <v>0</v>
      </c>
      <c r="K1183" t="n">
        <v>0</v>
      </c>
      <c r="L1183" t="n">
        <v>0</v>
      </c>
      <c r="M1183" t="n">
        <v>0</v>
      </c>
      <c r="N1183" t="n">
        <v>0</v>
      </c>
      <c r="O1183" t="n">
        <v>0</v>
      </c>
      <c r="P1183" t="n">
        <v>0</v>
      </c>
      <c r="Q1183" t="n">
        <v>0</v>
      </c>
      <c r="R1183" s="2" t="inlineStr"/>
    </row>
    <row r="1184" ht="15" customHeight="1">
      <c r="A1184" t="inlineStr">
        <is>
          <t>A 11260-2022</t>
        </is>
      </c>
      <c r="B1184" s="1" t="n">
        <v>44629</v>
      </c>
      <c r="C1184" s="1" t="n">
        <v>45192</v>
      </c>
      <c r="D1184" t="inlineStr">
        <is>
          <t>VÄSTERBOTTENS LÄN</t>
        </is>
      </c>
      <c r="E1184" t="inlineStr">
        <is>
          <t>SKELLEFTEÅ</t>
        </is>
      </c>
      <c r="G1184" t="n">
        <v>3.3</v>
      </c>
      <c r="H1184" t="n">
        <v>0</v>
      </c>
      <c r="I1184" t="n">
        <v>0</v>
      </c>
      <c r="J1184" t="n">
        <v>0</v>
      </c>
      <c r="K1184" t="n">
        <v>0</v>
      </c>
      <c r="L1184" t="n">
        <v>0</v>
      </c>
      <c r="M1184" t="n">
        <v>0</v>
      </c>
      <c r="N1184" t="n">
        <v>0</v>
      </c>
      <c r="O1184" t="n">
        <v>0</v>
      </c>
      <c r="P1184" t="n">
        <v>0</v>
      </c>
      <c r="Q1184" t="n">
        <v>0</v>
      </c>
      <c r="R1184" s="2" t="inlineStr"/>
    </row>
    <row r="1185" ht="15" customHeight="1">
      <c r="A1185" t="inlineStr">
        <is>
          <t>A 11790-2022</t>
        </is>
      </c>
      <c r="B1185" s="1" t="n">
        <v>44634</v>
      </c>
      <c r="C1185" s="1" t="n">
        <v>45192</v>
      </c>
      <c r="D1185" t="inlineStr">
        <is>
          <t>VÄSTERBOTTENS LÄN</t>
        </is>
      </c>
      <c r="E1185" t="inlineStr">
        <is>
          <t>SKELLEFTEÅ</t>
        </is>
      </c>
      <c r="G1185" t="n">
        <v>2</v>
      </c>
      <c r="H1185" t="n">
        <v>0</v>
      </c>
      <c r="I1185" t="n">
        <v>0</v>
      </c>
      <c r="J1185" t="n">
        <v>0</v>
      </c>
      <c r="K1185" t="n">
        <v>0</v>
      </c>
      <c r="L1185" t="n">
        <v>0</v>
      </c>
      <c r="M1185" t="n">
        <v>0</v>
      </c>
      <c r="N1185" t="n">
        <v>0</v>
      </c>
      <c r="O1185" t="n">
        <v>0</v>
      </c>
      <c r="P1185" t="n">
        <v>0</v>
      </c>
      <c r="Q1185" t="n">
        <v>0</v>
      </c>
      <c r="R1185" s="2" t="inlineStr"/>
    </row>
    <row r="1186" ht="15" customHeight="1">
      <c r="A1186" t="inlineStr">
        <is>
          <t>A 12009-2022</t>
        </is>
      </c>
      <c r="B1186" s="1" t="n">
        <v>44635</v>
      </c>
      <c r="C1186" s="1" t="n">
        <v>45192</v>
      </c>
      <c r="D1186" t="inlineStr">
        <is>
          <t>VÄSTERBOTTENS LÄN</t>
        </is>
      </c>
      <c r="E1186" t="inlineStr">
        <is>
          <t>SKELLEFTEÅ</t>
        </is>
      </c>
      <c r="G1186" t="n">
        <v>2.7</v>
      </c>
      <c r="H1186" t="n">
        <v>0</v>
      </c>
      <c r="I1186" t="n">
        <v>0</v>
      </c>
      <c r="J1186" t="n">
        <v>0</v>
      </c>
      <c r="K1186" t="n">
        <v>0</v>
      </c>
      <c r="L1186" t="n">
        <v>0</v>
      </c>
      <c r="M1186" t="n">
        <v>0</v>
      </c>
      <c r="N1186" t="n">
        <v>0</v>
      </c>
      <c r="O1186" t="n">
        <v>0</v>
      </c>
      <c r="P1186" t="n">
        <v>0</v>
      </c>
      <c r="Q1186" t="n">
        <v>0</v>
      </c>
      <c r="R1186" s="2" t="inlineStr"/>
    </row>
    <row r="1187" ht="15" customHeight="1">
      <c r="A1187" t="inlineStr">
        <is>
          <t>A 12512-2022</t>
        </is>
      </c>
      <c r="B1187" s="1" t="n">
        <v>44638</v>
      </c>
      <c r="C1187" s="1" t="n">
        <v>45192</v>
      </c>
      <c r="D1187" t="inlineStr">
        <is>
          <t>VÄSTERBOTTENS LÄN</t>
        </is>
      </c>
      <c r="E1187" t="inlineStr">
        <is>
          <t>SKELLEFTEÅ</t>
        </is>
      </c>
      <c r="G1187" t="n">
        <v>8</v>
      </c>
      <c r="H1187" t="n">
        <v>0</v>
      </c>
      <c r="I1187" t="n">
        <v>0</v>
      </c>
      <c r="J1187" t="n">
        <v>0</v>
      </c>
      <c r="K1187" t="n">
        <v>0</v>
      </c>
      <c r="L1187" t="n">
        <v>0</v>
      </c>
      <c r="M1187" t="n">
        <v>0</v>
      </c>
      <c r="N1187" t="n">
        <v>0</v>
      </c>
      <c r="O1187" t="n">
        <v>0</v>
      </c>
      <c r="P1187" t="n">
        <v>0</v>
      </c>
      <c r="Q1187" t="n">
        <v>0</v>
      </c>
      <c r="R1187" s="2" t="inlineStr"/>
    </row>
    <row r="1188" ht="15" customHeight="1">
      <c r="A1188" t="inlineStr">
        <is>
          <t>A 12529-2022</t>
        </is>
      </c>
      <c r="B1188" s="1" t="n">
        <v>44638</v>
      </c>
      <c r="C1188" s="1" t="n">
        <v>45192</v>
      </c>
      <c r="D1188" t="inlineStr">
        <is>
          <t>VÄSTERBOTTENS LÄN</t>
        </is>
      </c>
      <c r="E1188" t="inlineStr">
        <is>
          <t>SKELLEFTEÅ</t>
        </is>
      </c>
      <c r="G1188" t="n">
        <v>3.4</v>
      </c>
      <c r="H1188" t="n">
        <v>0</v>
      </c>
      <c r="I1188" t="n">
        <v>0</v>
      </c>
      <c r="J1188" t="n">
        <v>0</v>
      </c>
      <c r="K1188" t="n">
        <v>0</v>
      </c>
      <c r="L1188" t="n">
        <v>0</v>
      </c>
      <c r="M1188" t="n">
        <v>0</v>
      </c>
      <c r="N1188" t="n">
        <v>0</v>
      </c>
      <c r="O1188" t="n">
        <v>0</v>
      </c>
      <c r="P1188" t="n">
        <v>0</v>
      </c>
      <c r="Q1188" t="n">
        <v>0</v>
      </c>
      <c r="R1188" s="2" t="inlineStr"/>
    </row>
    <row r="1189" ht="15" customHeight="1">
      <c r="A1189" t="inlineStr">
        <is>
          <t>A 12516-2022</t>
        </is>
      </c>
      <c r="B1189" s="1" t="n">
        <v>44638</v>
      </c>
      <c r="C1189" s="1" t="n">
        <v>45192</v>
      </c>
      <c r="D1189" t="inlineStr">
        <is>
          <t>VÄSTERBOTTENS LÄN</t>
        </is>
      </c>
      <c r="E1189" t="inlineStr">
        <is>
          <t>SKELLEFTEÅ</t>
        </is>
      </c>
      <c r="G1189" t="n">
        <v>6.7</v>
      </c>
      <c r="H1189" t="n">
        <v>0</v>
      </c>
      <c r="I1189" t="n">
        <v>0</v>
      </c>
      <c r="J1189" t="n">
        <v>0</v>
      </c>
      <c r="K1189" t="n">
        <v>0</v>
      </c>
      <c r="L1189" t="n">
        <v>0</v>
      </c>
      <c r="M1189" t="n">
        <v>0</v>
      </c>
      <c r="N1189" t="n">
        <v>0</v>
      </c>
      <c r="O1189" t="n">
        <v>0</v>
      </c>
      <c r="P1189" t="n">
        <v>0</v>
      </c>
      <c r="Q1189" t="n">
        <v>0</v>
      </c>
      <c r="R1189" s="2" t="inlineStr"/>
    </row>
    <row r="1190" ht="15" customHeight="1">
      <c r="A1190" t="inlineStr">
        <is>
          <t>A 12511-2022</t>
        </is>
      </c>
      <c r="B1190" s="1" t="n">
        <v>44638</v>
      </c>
      <c r="C1190" s="1" t="n">
        <v>45192</v>
      </c>
      <c r="D1190" t="inlineStr">
        <is>
          <t>VÄSTERBOTTENS LÄN</t>
        </is>
      </c>
      <c r="E1190" t="inlineStr">
        <is>
          <t>SKELLEFTEÅ</t>
        </is>
      </c>
      <c r="G1190" t="n">
        <v>5.6</v>
      </c>
      <c r="H1190" t="n">
        <v>0</v>
      </c>
      <c r="I1190" t="n">
        <v>0</v>
      </c>
      <c r="J1190" t="n">
        <v>0</v>
      </c>
      <c r="K1190" t="n">
        <v>0</v>
      </c>
      <c r="L1190" t="n">
        <v>0</v>
      </c>
      <c r="M1190" t="n">
        <v>0</v>
      </c>
      <c r="N1190" t="n">
        <v>0</v>
      </c>
      <c r="O1190" t="n">
        <v>0</v>
      </c>
      <c r="P1190" t="n">
        <v>0</v>
      </c>
      <c r="Q1190" t="n">
        <v>0</v>
      </c>
      <c r="R1190" s="2" t="inlineStr"/>
    </row>
    <row r="1191" ht="15" customHeight="1">
      <c r="A1191" t="inlineStr">
        <is>
          <t>A 12518-2022</t>
        </is>
      </c>
      <c r="B1191" s="1" t="n">
        <v>44638</v>
      </c>
      <c r="C1191" s="1" t="n">
        <v>45192</v>
      </c>
      <c r="D1191" t="inlineStr">
        <is>
          <t>VÄSTERBOTTENS LÄN</t>
        </is>
      </c>
      <c r="E1191" t="inlineStr">
        <is>
          <t>SKELLEFTEÅ</t>
        </is>
      </c>
      <c r="G1191" t="n">
        <v>1.4</v>
      </c>
      <c r="H1191" t="n">
        <v>0</v>
      </c>
      <c r="I1191" t="n">
        <v>0</v>
      </c>
      <c r="J1191" t="n">
        <v>0</v>
      </c>
      <c r="K1191" t="n">
        <v>0</v>
      </c>
      <c r="L1191" t="n">
        <v>0</v>
      </c>
      <c r="M1191" t="n">
        <v>0</v>
      </c>
      <c r="N1191" t="n">
        <v>0</v>
      </c>
      <c r="O1191" t="n">
        <v>0</v>
      </c>
      <c r="P1191" t="n">
        <v>0</v>
      </c>
      <c r="Q1191" t="n">
        <v>0</v>
      </c>
      <c r="R1191" s="2" t="inlineStr"/>
    </row>
    <row r="1192" ht="15" customHeight="1">
      <c r="A1192" t="inlineStr">
        <is>
          <t>A 12715-2022</t>
        </is>
      </c>
      <c r="B1192" s="1" t="n">
        <v>44641</v>
      </c>
      <c r="C1192" s="1" t="n">
        <v>45192</v>
      </c>
      <c r="D1192" t="inlineStr">
        <is>
          <t>VÄSTERBOTTENS LÄN</t>
        </is>
      </c>
      <c r="E1192" t="inlineStr">
        <is>
          <t>SKELLEFTEÅ</t>
        </is>
      </c>
      <c r="G1192" t="n">
        <v>5</v>
      </c>
      <c r="H1192" t="n">
        <v>0</v>
      </c>
      <c r="I1192" t="n">
        <v>0</v>
      </c>
      <c r="J1192" t="n">
        <v>0</v>
      </c>
      <c r="K1192" t="n">
        <v>0</v>
      </c>
      <c r="L1192" t="n">
        <v>0</v>
      </c>
      <c r="M1192" t="n">
        <v>0</v>
      </c>
      <c r="N1192" t="n">
        <v>0</v>
      </c>
      <c r="O1192" t="n">
        <v>0</v>
      </c>
      <c r="P1192" t="n">
        <v>0</v>
      </c>
      <c r="Q1192" t="n">
        <v>0</v>
      </c>
      <c r="R1192" s="2" t="inlineStr"/>
    </row>
    <row r="1193" ht="15" customHeight="1">
      <c r="A1193" t="inlineStr">
        <is>
          <t>A 12963-2022</t>
        </is>
      </c>
      <c r="B1193" s="1" t="n">
        <v>44642</v>
      </c>
      <c r="C1193" s="1" t="n">
        <v>45192</v>
      </c>
      <c r="D1193" t="inlineStr">
        <is>
          <t>VÄSTERBOTTENS LÄN</t>
        </is>
      </c>
      <c r="E1193" t="inlineStr">
        <is>
          <t>SKELLEFTEÅ</t>
        </is>
      </c>
      <c r="G1193" t="n">
        <v>4.3</v>
      </c>
      <c r="H1193" t="n">
        <v>0</v>
      </c>
      <c r="I1193" t="n">
        <v>0</v>
      </c>
      <c r="J1193" t="n">
        <v>0</v>
      </c>
      <c r="K1193" t="n">
        <v>0</v>
      </c>
      <c r="L1193" t="n">
        <v>0</v>
      </c>
      <c r="M1193" t="n">
        <v>0</v>
      </c>
      <c r="N1193" t="n">
        <v>0</v>
      </c>
      <c r="O1193" t="n">
        <v>0</v>
      </c>
      <c r="P1193" t="n">
        <v>0</v>
      </c>
      <c r="Q1193" t="n">
        <v>0</v>
      </c>
      <c r="R1193" s="2" t="inlineStr"/>
    </row>
    <row r="1194" ht="15" customHeight="1">
      <c r="A1194" t="inlineStr">
        <is>
          <t>A 13430-2022</t>
        </is>
      </c>
      <c r="B1194" s="1" t="n">
        <v>44645</v>
      </c>
      <c r="C1194" s="1" t="n">
        <v>45192</v>
      </c>
      <c r="D1194" t="inlineStr">
        <is>
          <t>VÄSTERBOTTENS LÄN</t>
        </is>
      </c>
      <c r="E1194" t="inlineStr">
        <is>
          <t>SKELLEFTEÅ</t>
        </is>
      </c>
      <c r="G1194" t="n">
        <v>1.9</v>
      </c>
      <c r="H1194" t="n">
        <v>0</v>
      </c>
      <c r="I1194" t="n">
        <v>0</v>
      </c>
      <c r="J1194" t="n">
        <v>0</v>
      </c>
      <c r="K1194" t="n">
        <v>0</v>
      </c>
      <c r="L1194" t="n">
        <v>0</v>
      </c>
      <c r="M1194" t="n">
        <v>0</v>
      </c>
      <c r="N1194" t="n">
        <v>0</v>
      </c>
      <c r="O1194" t="n">
        <v>0</v>
      </c>
      <c r="P1194" t="n">
        <v>0</v>
      </c>
      <c r="Q1194" t="n">
        <v>0</v>
      </c>
      <c r="R1194" s="2" t="inlineStr"/>
    </row>
    <row r="1195" ht="15" customHeight="1">
      <c r="A1195" t="inlineStr">
        <is>
          <t>A 13391-2022</t>
        </is>
      </c>
      <c r="B1195" s="1" t="n">
        <v>44645</v>
      </c>
      <c r="C1195" s="1" t="n">
        <v>45192</v>
      </c>
      <c r="D1195" t="inlineStr">
        <is>
          <t>VÄSTERBOTTENS LÄN</t>
        </is>
      </c>
      <c r="E1195" t="inlineStr">
        <is>
          <t>SKELLEFTEÅ</t>
        </is>
      </c>
      <c r="G1195" t="n">
        <v>11.7</v>
      </c>
      <c r="H1195" t="n">
        <v>0</v>
      </c>
      <c r="I1195" t="n">
        <v>0</v>
      </c>
      <c r="J1195" t="n">
        <v>0</v>
      </c>
      <c r="K1195" t="n">
        <v>0</v>
      </c>
      <c r="L1195" t="n">
        <v>0</v>
      </c>
      <c r="M1195" t="n">
        <v>0</v>
      </c>
      <c r="N1195" t="n">
        <v>0</v>
      </c>
      <c r="O1195" t="n">
        <v>0</v>
      </c>
      <c r="P1195" t="n">
        <v>0</v>
      </c>
      <c r="Q1195" t="n">
        <v>0</v>
      </c>
      <c r="R1195" s="2" t="inlineStr"/>
    </row>
    <row r="1196" ht="15" customHeight="1">
      <c r="A1196" t="inlineStr">
        <is>
          <t>A 13693-2022</t>
        </is>
      </c>
      <c r="B1196" s="1" t="n">
        <v>44648</v>
      </c>
      <c r="C1196" s="1" t="n">
        <v>45192</v>
      </c>
      <c r="D1196" t="inlineStr">
        <is>
          <t>VÄSTERBOTTENS LÄN</t>
        </is>
      </c>
      <c r="E1196" t="inlineStr">
        <is>
          <t>SKELLEFTEÅ</t>
        </is>
      </c>
      <c r="G1196" t="n">
        <v>1.4</v>
      </c>
      <c r="H1196" t="n">
        <v>0</v>
      </c>
      <c r="I1196" t="n">
        <v>0</v>
      </c>
      <c r="J1196" t="n">
        <v>0</v>
      </c>
      <c r="K1196" t="n">
        <v>0</v>
      </c>
      <c r="L1196" t="n">
        <v>0</v>
      </c>
      <c r="M1196" t="n">
        <v>0</v>
      </c>
      <c r="N1196" t="n">
        <v>0</v>
      </c>
      <c r="O1196" t="n">
        <v>0</v>
      </c>
      <c r="P1196" t="n">
        <v>0</v>
      </c>
      <c r="Q1196" t="n">
        <v>0</v>
      </c>
      <c r="R1196" s="2" t="inlineStr"/>
    </row>
    <row r="1197" ht="15" customHeight="1">
      <c r="A1197" t="inlineStr">
        <is>
          <t>A 13530-2022</t>
        </is>
      </c>
      <c r="B1197" s="1" t="n">
        <v>44648</v>
      </c>
      <c r="C1197" s="1" t="n">
        <v>45192</v>
      </c>
      <c r="D1197" t="inlineStr">
        <is>
          <t>VÄSTERBOTTENS LÄN</t>
        </is>
      </c>
      <c r="E1197" t="inlineStr">
        <is>
          <t>SKELLEFTEÅ</t>
        </is>
      </c>
      <c r="G1197" t="n">
        <v>0.8</v>
      </c>
      <c r="H1197" t="n">
        <v>0</v>
      </c>
      <c r="I1197" t="n">
        <v>0</v>
      </c>
      <c r="J1197" t="n">
        <v>0</v>
      </c>
      <c r="K1197" t="n">
        <v>0</v>
      </c>
      <c r="L1197" t="n">
        <v>0</v>
      </c>
      <c r="M1197" t="n">
        <v>0</v>
      </c>
      <c r="N1197" t="n">
        <v>0</v>
      </c>
      <c r="O1197" t="n">
        <v>0</v>
      </c>
      <c r="P1197" t="n">
        <v>0</v>
      </c>
      <c r="Q1197" t="n">
        <v>0</v>
      </c>
      <c r="R1197" s="2" t="inlineStr"/>
    </row>
    <row r="1198" ht="15" customHeight="1">
      <c r="A1198" t="inlineStr">
        <is>
          <t>A 14088-2022</t>
        </is>
      </c>
      <c r="B1198" s="1" t="n">
        <v>44650</v>
      </c>
      <c r="C1198" s="1" t="n">
        <v>45192</v>
      </c>
      <c r="D1198" t="inlineStr">
        <is>
          <t>VÄSTERBOTTENS LÄN</t>
        </is>
      </c>
      <c r="E1198" t="inlineStr">
        <is>
          <t>SKELLEFTEÅ</t>
        </is>
      </c>
      <c r="G1198" t="n">
        <v>2.9</v>
      </c>
      <c r="H1198" t="n">
        <v>0</v>
      </c>
      <c r="I1198" t="n">
        <v>0</v>
      </c>
      <c r="J1198" t="n">
        <v>0</v>
      </c>
      <c r="K1198" t="n">
        <v>0</v>
      </c>
      <c r="L1198" t="n">
        <v>0</v>
      </c>
      <c r="M1198" t="n">
        <v>0</v>
      </c>
      <c r="N1198" t="n">
        <v>0</v>
      </c>
      <c r="O1198" t="n">
        <v>0</v>
      </c>
      <c r="P1198" t="n">
        <v>0</v>
      </c>
      <c r="Q1198" t="n">
        <v>0</v>
      </c>
      <c r="R1198" s="2" t="inlineStr"/>
    </row>
    <row r="1199" ht="15" customHeight="1">
      <c r="A1199" t="inlineStr">
        <is>
          <t>A 14096-2022</t>
        </is>
      </c>
      <c r="B1199" s="1" t="n">
        <v>44651</v>
      </c>
      <c r="C1199" s="1" t="n">
        <v>45192</v>
      </c>
      <c r="D1199" t="inlineStr">
        <is>
          <t>VÄSTERBOTTENS LÄN</t>
        </is>
      </c>
      <c r="E1199" t="inlineStr">
        <is>
          <t>SKELLEFTEÅ</t>
        </is>
      </c>
      <c r="G1199" t="n">
        <v>1</v>
      </c>
      <c r="H1199" t="n">
        <v>0</v>
      </c>
      <c r="I1199" t="n">
        <v>0</v>
      </c>
      <c r="J1199" t="n">
        <v>0</v>
      </c>
      <c r="K1199" t="n">
        <v>0</v>
      </c>
      <c r="L1199" t="n">
        <v>0</v>
      </c>
      <c r="M1199" t="n">
        <v>0</v>
      </c>
      <c r="N1199" t="n">
        <v>0</v>
      </c>
      <c r="O1199" t="n">
        <v>0</v>
      </c>
      <c r="P1199" t="n">
        <v>0</v>
      </c>
      <c r="Q1199" t="n">
        <v>0</v>
      </c>
      <c r="R1199" s="2" t="inlineStr"/>
    </row>
    <row r="1200" ht="15" customHeight="1">
      <c r="A1200" t="inlineStr">
        <is>
          <t>A 14759-2022</t>
        </is>
      </c>
      <c r="B1200" s="1" t="n">
        <v>44656</v>
      </c>
      <c r="C1200" s="1" t="n">
        <v>45192</v>
      </c>
      <c r="D1200" t="inlineStr">
        <is>
          <t>VÄSTERBOTTENS LÄN</t>
        </is>
      </c>
      <c r="E1200" t="inlineStr">
        <is>
          <t>SKELLEFTEÅ</t>
        </is>
      </c>
      <c r="G1200" t="n">
        <v>0.6</v>
      </c>
      <c r="H1200" t="n">
        <v>0</v>
      </c>
      <c r="I1200" t="n">
        <v>0</v>
      </c>
      <c r="J1200" t="n">
        <v>0</v>
      </c>
      <c r="K1200" t="n">
        <v>0</v>
      </c>
      <c r="L1200" t="n">
        <v>0</v>
      </c>
      <c r="M1200" t="n">
        <v>0</v>
      </c>
      <c r="N1200" t="n">
        <v>0</v>
      </c>
      <c r="O1200" t="n">
        <v>0</v>
      </c>
      <c r="P1200" t="n">
        <v>0</v>
      </c>
      <c r="Q1200" t="n">
        <v>0</v>
      </c>
      <c r="R1200" s="2" t="inlineStr"/>
    </row>
    <row r="1201" ht="15" customHeight="1">
      <c r="A1201" t="inlineStr">
        <is>
          <t>A 14756-2022</t>
        </is>
      </c>
      <c r="B1201" s="1" t="n">
        <v>44656</v>
      </c>
      <c r="C1201" s="1" t="n">
        <v>45192</v>
      </c>
      <c r="D1201" t="inlineStr">
        <is>
          <t>VÄSTERBOTTENS LÄN</t>
        </is>
      </c>
      <c r="E1201" t="inlineStr">
        <is>
          <t>SKELLEFTEÅ</t>
        </is>
      </c>
      <c r="G1201" t="n">
        <v>1.5</v>
      </c>
      <c r="H1201" t="n">
        <v>0</v>
      </c>
      <c r="I1201" t="n">
        <v>0</v>
      </c>
      <c r="J1201" t="n">
        <v>0</v>
      </c>
      <c r="K1201" t="n">
        <v>0</v>
      </c>
      <c r="L1201" t="n">
        <v>0</v>
      </c>
      <c r="M1201" t="n">
        <v>0</v>
      </c>
      <c r="N1201" t="n">
        <v>0</v>
      </c>
      <c r="O1201" t="n">
        <v>0</v>
      </c>
      <c r="P1201" t="n">
        <v>0</v>
      </c>
      <c r="Q1201" t="n">
        <v>0</v>
      </c>
      <c r="R1201" s="2" t="inlineStr"/>
    </row>
    <row r="1202" ht="15" customHeight="1">
      <c r="A1202" t="inlineStr">
        <is>
          <t>A 14952-2022</t>
        </is>
      </c>
      <c r="B1202" s="1" t="n">
        <v>44657</v>
      </c>
      <c r="C1202" s="1" t="n">
        <v>45192</v>
      </c>
      <c r="D1202" t="inlineStr">
        <is>
          <t>VÄSTERBOTTENS LÄN</t>
        </is>
      </c>
      <c r="E1202" t="inlineStr">
        <is>
          <t>SKELLEFTEÅ</t>
        </is>
      </c>
      <c r="G1202" t="n">
        <v>1.1</v>
      </c>
      <c r="H1202" t="n">
        <v>0</v>
      </c>
      <c r="I1202" t="n">
        <v>0</v>
      </c>
      <c r="J1202" t="n">
        <v>0</v>
      </c>
      <c r="K1202" t="n">
        <v>0</v>
      </c>
      <c r="L1202" t="n">
        <v>0</v>
      </c>
      <c r="M1202" t="n">
        <v>0</v>
      </c>
      <c r="N1202" t="n">
        <v>0</v>
      </c>
      <c r="O1202" t="n">
        <v>0</v>
      </c>
      <c r="P1202" t="n">
        <v>0</v>
      </c>
      <c r="Q1202" t="n">
        <v>0</v>
      </c>
      <c r="R1202" s="2" t="inlineStr"/>
    </row>
    <row r="1203" ht="15" customHeight="1">
      <c r="A1203" t="inlineStr">
        <is>
          <t>A 15441-2022</t>
        </is>
      </c>
      <c r="B1203" s="1" t="n">
        <v>44659</v>
      </c>
      <c r="C1203" s="1" t="n">
        <v>45192</v>
      </c>
      <c r="D1203" t="inlineStr">
        <is>
          <t>VÄSTERBOTTENS LÄN</t>
        </is>
      </c>
      <c r="E1203" t="inlineStr">
        <is>
          <t>SKELLEFTEÅ</t>
        </is>
      </c>
      <c r="F1203" t="inlineStr">
        <is>
          <t>Sveaskog</t>
        </is>
      </c>
      <c r="G1203" t="n">
        <v>2.1</v>
      </c>
      <c r="H1203" t="n">
        <v>0</v>
      </c>
      <c r="I1203" t="n">
        <v>0</v>
      </c>
      <c r="J1203" t="n">
        <v>0</v>
      </c>
      <c r="K1203" t="n">
        <v>0</v>
      </c>
      <c r="L1203" t="n">
        <v>0</v>
      </c>
      <c r="M1203" t="n">
        <v>0</v>
      </c>
      <c r="N1203" t="n">
        <v>0</v>
      </c>
      <c r="O1203" t="n">
        <v>0</v>
      </c>
      <c r="P1203" t="n">
        <v>0</v>
      </c>
      <c r="Q1203" t="n">
        <v>0</v>
      </c>
      <c r="R1203" s="2" t="inlineStr"/>
    </row>
    <row r="1204" ht="15" customHeight="1">
      <c r="A1204" t="inlineStr">
        <is>
          <t>A 16198-2022</t>
        </is>
      </c>
      <c r="B1204" s="1" t="n">
        <v>44665</v>
      </c>
      <c r="C1204" s="1" t="n">
        <v>45192</v>
      </c>
      <c r="D1204" t="inlineStr">
        <is>
          <t>VÄSTERBOTTENS LÄN</t>
        </is>
      </c>
      <c r="E1204" t="inlineStr">
        <is>
          <t>SKELLEFTEÅ</t>
        </is>
      </c>
      <c r="G1204" t="n">
        <v>2.4</v>
      </c>
      <c r="H1204" t="n">
        <v>0</v>
      </c>
      <c r="I1204" t="n">
        <v>0</v>
      </c>
      <c r="J1204" t="n">
        <v>0</v>
      </c>
      <c r="K1204" t="n">
        <v>0</v>
      </c>
      <c r="L1204" t="n">
        <v>0</v>
      </c>
      <c r="M1204" t="n">
        <v>0</v>
      </c>
      <c r="N1204" t="n">
        <v>0</v>
      </c>
      <c r="O1204" t="n">
        <v>0</v>
      </c>
      <c r="P1204" t="n">
        <v>0</v>
      </c>
      <c r="Q1204" t="n">
        <v>0</v>
      </c>
      <c r="R1204" s="2" t="inlineStr"/>
    </row>
    <row r="1205" ht="15" customHeight="1">
      <c r="A1205" t="inlineStr">
        <is>
          <t>A 16139-2022</t>
        </is>
      </c>
      <c r="B1205" s="1" t="n">
        <v>44665</v>
      </c>
      <c r="C1205" s="1" t="n">
        <v>45192</v>
      </c>
      <c r="D1205" t="inlineStr">
        <is>
          <t>VÄSTERBOTTENS LÄN</t>
        </is>
      </c>
      <c r="E1205" t="inlineStr">
        <is>
          <t>SKELLEFTEÅ</t>
        </is>
      </c>
      <c r="G1205" t="n">
        <v>3.2</v>
      </c>
      <c r="H1205" t="n">
        <v>0</v>
      </c>
      <c r="I1205" t="n">
        <v>0</v>
      </c>
      <c r="J1205" t="n">
        <v>0</v>
      </c>
      <c r="K1205" t="n">
        <v>0</v>
      </c>
      <c r="L1205" t="n">
        <v>0</v>
      </c>
      <c r="M1205" t="n">
        <v>0</v>
      </c>
      <c r="N1205" t="n">
        <v>0</v>
      </c>
      <c r="O1205" t="n">
        <v>0</v>
      </c>
      <c r="P1205" t="n">
        <v>0</v>
      </c>
      <c r="Q1205" t="n">
        <v>0</v>
      </c>
      <c r="R1205" s="2" t="inlineStr"/>
    </row>
    <row r="1206" ht="15" customHeight="1">
      <c r="A1206" t="inlineStr">
        <is>
          <t>A 16653-2022</t>
        </is>
      </c>
      <c r="B1206" s="1" t="n">
        <v>44672</v>
      </c>
      <c r="C1206" s="1" t="n">
        <v>45192</v>
      </c>
      <c r="D1206" t="inlineStr">
        <is>
          <t>VÄSTERBOTTENS LÄN</t>
        </is>
      </c>
      <c r="E1206" t="inlineStr">
        <is>
          <t>SKELLEFTEÅ</t>
        </is>
      </c>
      <c r="G1206" t="n">
        <v>1</v>
      </c>
      <c r="H1206" t="n">
        <v>0</v>
      </c>
      <c r="I1206" t="n">
        <v>0</v>
      </c>
      <c r="J1206" t="n">
        <v>0</v>
      </c>
      <c r="K1206" t="n">
        <v>0</v>
      </c>
      <c r="L1206" t="n">
        <v>0</v>
      </c>
      <c r="M1206" t="n">
        <v>0</v>
      </c>
      <c r="N1206" t="n">
        <v>0</v>
      </c>
      <c r="O1206" t="n">
        <v>0</v>
      </c>
      <c r="P1206" t="n">
        <v>0</v>
      </c>
      <c r="Q1206" t="n">
        <v>0</v>
      </c>
      <c r="R1206" s="2" t="inlineStr"/>
    </row>
    <row r="1207" ht="15" customHeight="1">
      <c r="A1207" t="inlineStr">
        <is>
          <t>A 16750-2022</t>
        </is>
      </c>
      <c r="B1207" s="1" t="n">
        <v>44673</v>
      </c>
      <c r="C1207" s="1" t="n">
        <v>45192</v>
      </c>
      <c r="D1207" t="inlineStr">
        <is>
          <t>VÄSTERBOTTENS LÄN</t>
        </is>
      </c>
      <c r="E1207" t="inlineStr">
        <is>
          <t>SKELLEFTEÅ</t>
        </is>
      </c>
      <c r="G1207" t="n">
        <v>3</v>
      </c>
      <c r="H1207" t="n">
        <v>0</v>
      </c>
      <c r="I1207" t="n">
        <v>0</v>
      </c>
      <c r="J1207" t="n">
        <v>0</v>
      </c>
      <c r="K1207" t="n">
        <v>0</v>
      </c>
      <c r="L1207" t="n">
        <v>0</v>
      </c>
      <c r="M1207" t="n">
        <v>0</v>
      </c>
      <c r="N1207" t="n">
        <v>0</v>
      </c>
      <c r="O1207" t="n">
        <v>0</v>
      </c>
      <c r="P1207" t="n">
        <v>0</v>
      </c>
      <c r="Q1207" t="n">
        <v>0</v>
      </c>
      <c r="R1207" s="2" t="inlineStr"/>
    </row>
    <row r="1208" ht="15" customHeight="1">
      <c r="A1208" t="inlineStr">
        <is>
          <t>A 17251-2022</t>
        </is>
      </c>
      <c r="B1208" s="1" t="n">
        <v>44678</v>
      </c>
      <c r="C1208" s="1" t="n">
        <v>45192</v>
      </c>
      <c r="D1208" t="inlineStr">
        <is>
          <t>VÄSTERBOTTENS LÄN</t>
        </is>
      </c>
      <c r="E1208" t="inlineStr">
        <is>
          <t>SKELLEFTEÅ</t>
        </is>
      </c>
      <c r="G1208" t="n">
        <v>5.4</v>
      </c>
      <c r="H1208" t="n">
        <v>0</v>
      </c>
      <c r="I1208" t="n">
        <v>0</v>
      </c>
      <c r="J1208" t="n">
        <v>0</v>
      </c>
      <c r="K1208" t="n">
        <v>0</v>
      </c>
      <c r="L1208" t="n">
        <v>0</v>
      </c>
      <c r="M1208" t="n">
        <v>0</v>
      </c>
      <c r="N1208" t="n">
        <v>0</v>
      </c>
      <c r="O1208" t="n">
        <v>0</v>
      </c>
      <c r="P1208" t="n">
        <v>0</v>
      </c>
      <c r="Q1208" t="n">
        <v>0</v>
      </c>
      <c r="R1208" s="2" t="inlineStr"/>
    </row>
    <row r="1209" ht="15" customHeight="1">
      <c r="A1209" t="inlineStr">
        <is>
          <t>A 18046-2022</t>
        </is>
      </c>
      <c r="B1209" s="1" t="n">
        <v>44684</v>
      </c>
      <c r="C1209" s="1" t="n">
        <v>45192</v>
      </c>
      <c r="D1209" t="inlineStr">
        <is>
          <t>VÄSTERBOTTENS LÄN</t>
        </is>
      </c>
      <c r="E1209" t="inlineStr">
        <is>
          <t>SKELLEFTEÅ</t>
        </is>
      </c>
      <c r="G1209" t="n">
        <v>0.9</v>
      </c>
      <c r="H1209" t="n">
        <v>0</v>
      </c>
      <c r="I1209" t="n">
        <v>0</v>
      </c>
      <c r="J1209" t="n">
        <v>0</v>
      </c>
      <c r="K1209" t="n">
        <v>0</v>
      </c>
      <c r="L1209" t="n">
        <v>0</v>
      </c>
      <c r="M1209" t="n">
        <v>0</v>
      </c>
      <c r="N1209" t="n">
        <v>0</v>
      </c>
      <c r="O1209" t="n">
        <v>0</v>
      </c>
      <c r="P1209" t="n">
        <v>0</v>
      </c>
      <c r="Q1209" t="n">
        <v>0</v>
      </c>
      <c r="R1209" s="2" t="inlineStr"/>
    </row>
    <row r="1210" ht="15" customHeight="1">
      <c r="A1210" t="inlineStr">
        <is>
          <t>A 18070-2022</t>
        </is>
      </c>
      <c r="B1210" s="1" t="n">
        <v>44684</v>
      </c>
      <c r="C1210" s="1" t="n">
        <v>45192</v>
      </c>
      <c r="D1210" t="inlineStr">
        <is>
          <t>VÄSTERBOTTENS LÄN</t>
        </is>
      </c>
      <c r="E1210" t="inlineStr">
        <is>
          <t>SKELLEFTEÅ</t>
        </is>
      </c>
      <c r="G1210" t="n">
        <v>1.2</v>
      </c>
      <c r="H1210" t="n">
        <v>0</v>
      </c>
      <c r="I1210" t="n">
        <v>0</v>
      </c>
      <c r="J1210" t="n">
        <v>0</v>
      </c>
      <c r="K1210" t="n">
        <v>0</v>
      </c>
      <c r="L1210" t="n">
        <v>0</v>
      </c>
      <c r="M1210" t="n">
        <v>0</v>
      </c>
      <c r="N1210" t="n">
        <v>0</v>
      </c>
      <c r="O1210" t="n">
        <v>0</v>
      </c>
      <c r="P1210" t="n">
        <v>0</v>
      </c>
      <c r="Q1210" t="n">
        <v>0</v>
      </c>
      <c r="R1210" s="2" t="inlineStr"/>
    </row>
    <row r="1211" ht="15" customHeight="1">
      <c r="A1211" t="inlineStr">
        <is>
          <t>A 18081-2022</t>
        </is>
      </c>
      <c r="B1211" s="1" t="n">
        <v>44684</v>
      </c>
      <c r="C1211" s="1" t="n">
        <v>45192</v>
      </c>
      <c r="D1211" t="inlineStr">
        <is>
          <t>VÄSTERBOTTENS LÄN</t>
        </is>
      </c>
      <c r="E1211" t="inlineStr">
        <is>
          <t>SKELLEFTEÅ</t>
        </is>
      </c>
      <c r="G1211" t="n">
        <v>8</v>
      </c>
      <c r="H1211" t="n">
        <v>0</v>
      </c>
      <c r="I1211" t="n">
        <v>0</v>
      </c>
      <c r="J1211" t="n">
        <v>0</v>
      </c>
      <c r="K1211" t="n">
        <v>0</v>
      </c>
      <c r="L1211" t="n">
        <v>0</v>
      </c>
      <c r="M1211" t="n">
        <v>0</v>
      </c>
      <c r="N1211" t="n">
        <v>0</v>
      </c>
      <c r="O1211" t="n">
        <v>0</v>
      </c>
      <c r="P1211" t="n">
        <v>0</v>
      </c>
      <c r="Q1211" t="n">
        <v>0</v>
      </c>
      <c r="R1211" s="2" t="inlineStr"/>
    </row>
    <row r="1212" ht="15" customHeight="1">
      <c r="A1212" t="inlineStr">
        <is>
          <t>A 18255-2022</t>
        </is>
      </c>
      <c r="B1212" s="1" t="n">
        <v>44685</v>
      </c>
      <c r="C1212" s="1" t="n">
        <v>45192</v>
      </c>
      <c r="D1212" t="inlineStr">
        <is>
          <t>VÄSTERBOTTENS LÄN</t>
        </is>
      </c>
      <c r="E1212" t="inlineStr">
        <is>
          <t>SKELLEFTEÅ</t>
        </is>
      </c>
      <c r="G1212" t="n">
        <v>1.4</v>
      </c>
      <c r="H1212" t="n">
        <v>0</v>
      </c>
      <c r="I1212" t="n">
        <v>0</v>
      </c>
      <c r="J1212" t="n">
        <v>0</v>
      </c>
      <c r="K1212" t="n">
        <v>0</v>
      </c>
      <c r="L1212" t="n">
        <v>0</v>
      </c>
      <c r="M1212" t="n">
        <v>0</v>
      </c>
      <c r="N1212" t="n">
        <v>0</v>
      </c>
      <c r="O1212" t="n">
        <v>0</v>
      </c>
      <c r="P1212" t="n">
        <v>0</v>
      </c>
      <c r="Q1212" t="n">
        <v>0</v>
      </c>
      <c r="R1212" s="2" t="inlineStr"/>
    </row>
    <row r="1213" ht="15" customHeight="1">
      <c r="A1213" t="inlineStr">
        <is>
          <t>A 18661-2022</t>
        </is>
      </c>
      <c r="B1213" s="1" t="n">
        <v>44687</v>
      </c>
      <c r="C1213" s="1" t="n">
        <v>45192</v>
      </c>
      <c r="D1213" t="inlineStr">
        <is>
          <t>VÄSTERBOTTENS LÄN</t>
        </is>
      </c>
      <c r="E1213" t="inlineStr">
        <is>
          <t>SKELLEFTEÅ</t>
        </is>
      </c>
      <c r="G1213" t="n">
        <v>4.2</v>
      </c>
      <c r="H1213" t="n">
        <v>0</v>
      </c>
      <c r="I1213" t="n">
        <v>0</v>
      </c>
      <c r="J1213" t="n">
        <v>0</v>
      </c>
      <c r="K1213" t="n">
        <v>0</v>
      </c>
      <c r="L1213" t="n">
        <v>0</v>
      </c>
      <c r="M1213" t="n">
        <v>0</v>
      </c>
      <c r="N1213" t="n">
        <v>0</v>
      </c>
      <c r="O1213" t="n">
        <v>0</v>
      </c>
      <c r="P1213" t="n">
        <v>0</v>
      </c>
      <c r="Q1213" t="n">
        <v>0</v>
      </c>
      <c r="R1213" s="2" t="inlineStr"/>
    </row>
    <row r="1214" ht="15" customHeight="1">
      <c r="A1214" t="inlineStr">
        <is>
          <t>A 18635-2022</t>
        </is>
      </c>
      <c r="B1214" s="1" t="n">
        <v>44687</v>
      </c>
      <c r="C1214" s="1" t="n">
        <v>45192</v>
      </c>
      <c r="D1214" t="inlineStr">
        <is>
          <t>VÄSTERBOTTENS LÄN</t>
        </is>
      </c>
      <c r="E1214" t="inlineStr">
        <is>
          <t>SKELLEFTEÅ</t>
        </is>
      </c>
      <c r="G1214" t="n">
        <v>5.4</v>
      </c>
      <c r="H1214" t="n">
        <v>0</v>
      </c>
      <c r="I1214" t="n">
        <v>0</v>
      </c>
      <c r="J1214" t="n">
        <v>0</v>
      </c>
      <c r="K1214" t="n">
        <v>0</v>
      </c>
      <c r="L1214" t="n">
        <v>0</v>
      </c>
      <c r="M1214" t="n">
        <v>0</v>
      </c>
      <c r="N1214" t="n">
        <v>0</v>
      </c>
      <c r="O1214" t="n">
        <v>0</v>
      </c>
      <c r="P1214" t="n">
        <v>0</v>
      </c>
      <c r="Q1214" t="n">
        <v>0</v>
      </c>
      <c r="R1214" s="2" t="inlineStr"/>
    </row>
    <row r="1215" ht="15" customHeight="1">
      <c r="A1215" t="inlineStr">
        <is>
          <t>A 18584-2022</t>
        </is>
      </c>
      <c r="B1215" s="1" t="n">
        <v>44687</v>
      </c>
      <c r="C1215" s="1" t="n">
        <v>45192</v>
      </c>
      <c r="D1215" t="inlineStr">
        <is>
          <t>VÄSTERBOTTENS LÄN</t>
        </is>
      </c>
      <c r="E1215" t="inlineStr">
        <is>
          <t>SKELLEFTEÅ</t>
        </is>
      </c>
      <c r="G1215" t="n">
        <v>1.3</v>
      </c>
      <c r="H1215" t="n">
        <v>0</v>
      </c>
      <c r="I1215" t="n">
        <v>0</v>
      </c>
      <c r="J1215" t="n">
        <v>0</v>
      </c>
      <c r="K1215" t="n">
        <v>0</v>
      </c>
      <c r="L1215" t="n">
        <v>0</v>
      </c>
      <c r="M1215" t="n">
        <v>0</v>
      </c>
      <c r="N1215" t="n">
        <v>0</v>
      </c>
      <c r="O1215" t="n">
        <v>0</v>
      </c>
      <c r="P1215" t="n">
        <v>0</v>
      </c>
      <c r="Q1215" t="n">
        <v>0</v>
      </c>
      <c r="R1215" s="2" t="inlineStr"/>
    </row>
    <row r="1216" ht="15" customHeight="1">
      <c r="A1216" t="inlineStr">
        <is>
          <t>A 19805-2022</t>
        </is>
      </c>
      <c r="B1216" s="1" t="n">
        <v>44694</v>
      </c>
      <c r="C1216" s="1" t="n">
        <v>45192</v>
      </c>
      <c r="D1216" t="inlineStr">
        <is>
          <t>VÄSTERBOTTENS LÄN</t>
        </is>
      </c>
      <c r="E1216" t="inlineStr">
        <is>
          <t>SKELLEFTEÅ</t>
        </is>
      </c>
      <c r="F1216" t="inlineStr">
        <is>
          <t>SCA</t>
        </is>
      </c>
      <c r="G1216" t="n">
        <v>5.3</v>
      </c>
      <c r="H1216" t="n">
        <v>0</v>
      </c>
      <c r="I1216" t="n">
        <v>0</v>
      </c>
      <c r="J1216" t="n">
        <v>0</v>
      </c>
      <c r="K1216" t="n">
        <v>0</v>
      </c>
      <c r="L1216" t="n">
        <v>0</v>
      </c>
      <c r="M1216" t="n">
        <v>0</v>
      </c>
      <c r="N1216" t="n">
        <v>0</v>
      </c>
      <c r="O1216" t="n">
        <v>0</v>
      </c>
      <c r="P1216" t="n">
        <v>0</v>
      </c>
      <c r="Q1216" t="n">
        <v>0</v>
      </c>
      <c r="R1216" s="2" t="inlineStr"/>
    </row>
    <row r="1217" ht="15" customHeight="1">
      <c r="A1217" t="inlineStr">
        <is>
          <t>A 19804-2022</t>
        </is>
      </c>
      <c r="B1217" s="1" t="n">
        <v>44694</v>
      </c>
      <c r="C1217" s="1" t="n">
        <v>45192</v>
      </c>
      <c r="D1217" t="inlineStr">
        <is>
          <t>VÄSTERBOTTENS LÄN</t>
        </is>
      </c>
      <c r="E1217" t="inlineStr">
        <is>
          <t>SKELLEFTEÅ</t>
        </is>
      </c>
      <c r="F1217" t="inlineStr">
        <is>
          <t>SCA</t>
        </is>
      </c>
      <c r="G1217" t="n">
        <v>3.5</v>
      </c>
      <c r="H1217" t="n">
        <v>0</v>
      </c>
      <c r="I1217" t="n">
        <v>0</v>
      </c>
      <c r="J1217" t="n">
        <v>0</v>
      </c>
      <c r="K1217" t="n">
        <v>0</v>
      </c>
      <c r="L1217" t="n">
        <v>0</v>
      </c>
      <c r="M1217" t="n">
        <v>0</v>
      </c>
      <c r="N1217" t="n">
        <v>0</v>
      </c>
      <c r="O1217" t="n">
        <v>0</v>
      </c>
      <c r="P1217" t="n">
        <v>0</v>
      </c>
      <c r="Q1217" t="n">
        <v>0</v>
      </c>
      <c r="R1217" s="2" t="inlineStr"/>
    </row>
    <row r="1218" ht="15" customHeight="1">
      <c r="A1218" t="inlineStr">
        <is>
          <t>A 19870-2022</t>
        </is>
      </c>
      <c r="B1218" s="1" t="n">
        <v>44694</v>
      </c>
      <c r="C1218" s="1" t="n">
        <v>45192</v>
      </c>
      <c r="D1218" t="inlineStr">
        <is>
          <t>VÄSTERBOTTENS LÄN</t>
        </is>
      </c>
      <c r="E1218" t="inlineStr">
        <is>
          <t>SKELLEFTEÅ</t>
        </is>
      </c>
      <c r="G1218" t="n">
        <v>5.5</v>
      </c>
      <c r="H1218" t="n">
        <v>0</v>
      </c>
      <c r="I1218" t="n">
        <v>0</v>
      </c>
      <c r="J1218" t="n">
        <v>0</v>
      </c>
      <c r="K1218" t="n">
        <v>0</v>
      </c>
      <c r="L1218" t="n">
        <v>0</v>
      </c>
      <c r="M1218" t="n">
        <v>0</v>
      </c>
      <c r="N1218" t="n">
        <v>0</v>
      </c>
      <c r="O1218" t="n">
        <v>0</v>
      </c>
      <c r="P1218" t="n">
        <v>0</v>
      </c>
      <c r="Q1218" t="n">
        <v>0</v>
      </c>
      <c r="R1218" s="2" t="inlineStr"/>
    </row>
    <row r="1219" ht="15" customHeight="1">
      <c r="A1219" t="inlineStr">
        <is>
          <t>A 19803-2022</t>
        </is>
      </c>
      <c r="B1219" s="1" t="n">
        <v>44694</v>
      </c>
      <c r="C1219" s="1" t="n">
        <v>45192</v>
      </c>
      <c r="D1219" t="inlineStr">
        <is>
          <t>VÄSTERBOTTENS LÄN</t>
        </is>
      </c>
      <c r="E1219" t="inlineStr">
        <is>
          <t>SKELLEFTEÅ</t>
        </is>
      </c>
      <c r="F1219" t="inlineStr">
        <is>
          <t>SCA</t>
        </is>
      </c>
      <c r="G1219" t="n">
        <v>5.6</v>
      </c>
      <c r="H1219" t="n">
        <v>0</v>
      </c>
      <c r="I1219" t="n">
        <v>0</v>
      </c>
      <c r="J1219" t="n">
        <v>0</v>
      </c>
      <c r="K1219" t="n">
        <v>0</v>
      </c>
      <c r="L1219" t="n">
        <v>0</v>
      </c>
      <c r="M1219" t="n">
        <v>0</v>
      </c>
      <c r="N1219" t="n">
        <v>0</v>
      </c>
      <c r="O1219" t="n">
        <v>0</v>
      </c>
      <c r="P1219" t="n">
        <v>0</v>
      </c>
      <c r="Q1219" t="n">
        <v>0</v>
      </c>
      <c r="R1219" s="2" t="inlineStr"/>
    </row>
    <row r="1220" ht="15" customHeight="1">
      <c r="A1220" t="inlineStr">
        <is>
          <t>A 20515-2022</t>
        </is>
      </c>
      <c r="B1220" s="1" t="n">
        <v>44699</v>
      </c>
      <c r="C1220" s="1" t="n">
        <v>45192</v>
      </c>
      <c r="D1220" t="inlineStr">
        <is>
          <t>VÄSTERBOTTENS LÄN</t>
        </is>
      </c>
      <c r="E1220" t="inlineStr">
        <is>
          <t>SKELLEFTEÅ</t>
        </is>
      </c>
      <c r="G1220" t="n">
        <v>21.5</v>
      </c>
      <c r="H1220" t="n">
        <v>0</v>
      </c>
      <c r="I1220" t="n">
        <v>0</v>
      </c>
      <c r="J1220" t="n">
        <v>0</v>
      </c>
      <c r="K1220" t="n">
        <v>0</v>
      </c>
      <c r="L1220" t="n">
        <v>0</v>
      </c>
      <c r="M1220" t="n">
        <v>0</v>
      </c>
      <c r="N1220" t="n">
        <v>0</v>
      </c>
      <c r="O1220" t="n">
        <v>0</v>
      </c>
      <c r="P1220" t="n">
        <v>0</v>
      </c>
      <c r="Q1220" t="n">
        <v>0</v>
      </c>
      <c r="R1220" s="2" t="inlineStr"/>
    </row>
    <row r="1221" ht="15" customHeight="1">
      <c r="A1221" t="inlineStr">
        <is>
          <t>A 20610-2022</t>
        </is>
      </c>
      <c r="B1221" s="1" t="n">
        <v>44700</v>
      </c>
      <c r="C1221" s="1" t="n">
        <v>45192</v>
      </c>
      <c r="D1221" t="inlineStr">
        <is>
          <t>VÄSTERBOTTENS LÄN</t>
        </is>
      </c>
      <c r="E1221" t="inlineStr">
        <is>
          <t>SKELLEFTEÅ</t>
        </is>
      </c>
      <c r="G1221" t="n">
        <v>0.5</v>
      </c>
      <c r="H1221" t="n">
        <v>0</v>
      </c>
      <c r="I1221" t="n">
        <v>0</v>
      </c>
      <c r="J1221" t="n">
        <v>0</v>
      </c>
      <c r="K1221" t="n">
        <v>0</v>
      </c>
      <c r="L1221" t="n">
        <v>0</v>
      </c>
      <c r="M1221" t="n">
        <v>0</v>
      </c>
      <c r="N1221" t="n">
        <v>0</v>
      </c>
      <c r="O1221" t="n">
        <v>0</v>
      </c>
      <c r="P1221" t="n">
        <v>0</v>
      </c>
      <c r="Q1221" t="n">
        <v>0</v>
      </c>
      <c r="R1221" s="2" t="inlineStr"/>
    </row>
    <row r="1222" ht="15" customHeight="1">
      <c r="A1222" t="inlineStr">
        <is>
          <t>A 21035-2022</t>
        </is>
      </c>
      <c r="B1222" s="1" t="n">
        <v>44704</v>
      </c>
      <c r="C1222" s="1" t="n">
        <v>45192</v>
      </c>
      <c r="D1222" t="inlineStr">
        <is>
          <t>VÄSTERBOTTENS LÄN</t>
        </is>
      </c>
      <c r="E1222" t="inlineStr">
        <is>
          <t>SKELLEFTEÅ</t>
        </is>
      </c>
      <c r="G1222" t="n">
        <v>26.9</v>
      </c>
      <c r="H1222" t="n">
        <v>0</v>
      </c>
      <c r="I1222" t="n">
        <v>0</v>
      </c>
      <c r="J1222" t="n">
        <v>0</v>
      </c>
      <c r="K1222" t="n">
        <v>0</v>
      </c>
      <c r="L1222" t="n">
        <v>0</v>
      </c>
      <c r="M1222" t="n">
        <v>0</v>
      </c>
      <c r="N1222" t="n">
        <v>0</v>
      </c>
      <c r="O1222" t="n">
        <v>0</v>
      </c>
      <c r="P1222" t="n">
        <v>0</v>
      </c>
      <c r="Q1222" t="n">
        <v>0</v>
      </c>
      <c r="R1222" s="2" t="inlineStr"/>
    </row>
    <row r="1223" ht="15" customHeight="1">
      <c r="A1223" t="inlineStr">
        <is>
          <t>A 21136-2022</t>
        </is>
      </c>
      <c r="B1223" s="1" t="n">
        <v>44704</v>
      </c>
      <c r="C1223" s="1" t="n">
        <v>45192</v>
      </c>
      <c r="D1223" t="inlineStr">
        <is>
          <t>VÄSTERBOTTENS LÄN</t>
        </is>
      </c>
      <c r="E1223" t="inlineStr">
        <is>
          <t>SKELLEFTEÅ</t>
        </is>
      </c>
      <c r="F1223" t="inlineStr">
        <is>
          <t>Holmen skog AB</t>
        </is>
      </c>
      <c r="G1223" t="n">
        <v>22.6</v>
      </c>
      <c r="H1223" t="n">
        <v>0</v>
      </c>
      <c r="I1223" t="n">
        <v>0</v>
      </c>
      <c r="J1223" t="n">
        <v>0</v>
      </c>
      <c r="K1223" t="n">
        <v>0</v>
      </c>
      <c r="L1223" t="n">
        <v>0</v>
      </c>
      <c r="M1223" t="n">
        <v>0</v>
      </c>
      <c r="N1223" t="n">
        <v>0</v>
      </c>
      <c r="O1223" t="n">
        <v>0</v>
      </c>
      <c r="P1223" t="n">
        <v>0</v>
      </c>
      <c r="Q1223" t="n">
        <v>0</v>
      </c>
      <c r="R1223" s="2" t="inlineStr"/>
    </row>
    <row r="1224" ht="15" customHeight="1">
      <c r="A1224" t="inlineStr">
        <is>
          <t>A 21539-2022</t>
        </is>
      </c>
      <c r="B1224" s="1" t="n">
        <v>44706</v>
      </c>
      <c r="C1224" s="1" t="n">
        <v>45192</v>
      </c>
      <c r="D1224" t="inlineStr">
        <is>
          <t>VÄSTERBOTTENS LÄN</t>
        </is>
      </c>
      <c r="E1224" t="inlineStr">
        <is>
          <t>SKELLEFTEÅ</t>
        </is>
      </c>
      <c r="F1224" t="inlineStr">
        <is>
          <t>Holmen skog AB</t>
        </is>
      </c>
      <c r="G1224" t="n">
        <v>0.6</v>
      </c>
      <c r="H1224" t="n">
        <v>0</v>
      </c>
      <c r="I1224" t="n">
        <v>0</v>
      </c>
      <c r="J1224" t="n">
        <v>0</v>
      </c>
      <c r="K1224" t="n">
        <v>0</v>
      </c>
      <c r="L1224" t="n">
        <v>0</v>
      </c>
      <c r="M1224" t="n">
        <v>0</v>
      </c>
      <c r="N1224" t="n">
        <v>0</v>
      </c>
      <c r="O1224" t="n">
        <v>0</v>
      </c>
      <c r="P1224" t="n">
        <v>0</v>
      </c>
      <c r="Q1224" t="n">
        <v>0</v>
      </c>
      <c r="R1224" s="2" t="inlineStr"/>
    </row>
    <row r="1225" ht="15" customHeight="1">
      <c r="A1225" t="inlineStr">
        <is>
          <t>A 21883-2022</t>
        </is>
      </c>
      <c r="B1225" s="1" t="n">
        <v>44711</v>
      </c>
      <c r="C1225" s="1" t="n">
        <v>45192</v>
      </c>
      <c r="D1225" t="inlineStr">
        <is>
          <t>VÄSTERBOTTENS LÄN</t>
        </is>
      </c>
      <c r="E1225" t="inlineStr">
        <is>
          <t>SKELLEFTEÅ</t>
        </is>
      </c>
      <c r="F1225" t="inlineStr">
        <is>
          <t>Holmen skog AB</t>
        </is>
      </c>
      <c r="G1225" t="n">
        <v>9.9</v>
      </c>
      <c r="H1225" t="n">
        <v>0</v>
      </c>
      <c r="I1225" t="n">
        <v>0</v>
      </c>
      <c r="J1225" t="n">
        <v>0</v>
      </c>
      <c r="K1225" t="n">
        <v>0</v>
      </c>
      <c r="L1225" t="n">
        <v>0</v>
      </c>
      <c r="M1225" t="n">
        <v>0</v>
      </c>
      <c r="N1225" t="n">
        <v>0</v>
      </c>
      <c r="O1225" t="n">
        <v>0</v>
      </c>
      <c r="P1225" t="n">
        <v>0</v>
      </c>
      <c r="Q1225" t="n">
        <v>0</v>
      </c>
      <c r="R1225" s="2" t="inlineStr"/>
    </row>
    <row r="1226" ht="15" customHeight="1">
      <c r="A1226" t="inlineStr">
        <is>
          <t>A 21843-2022</t>
        </is>
      </c>
      <c r="B1226" s="1" t="n">
        <v>44711</v>
      </c>
      <c r="C1226" s="1" t="n">
        <v>45192</v>
      </c>
      <c r="D1226" t="inlineStr">
        <is>
          <t>VÄSTERBOTTENS LÄN</t>
        </is>
      </c>
      <c r="E1226" t="inlineStr">
        <is>
          <t>SKELLEFTEÅ</t>
        </is>
      </c>
      <c r="G1226" t="n">
        <v>4.7</v>
      </c>
      <c r="H1226" t="n">
        <v>0</v>
      </c>
      <c r="I1226" t="n">
        <v>0</v>
      </c>
      <c r="J1226" t="n">
        <v>0</v>
      </c>
      <c r="K1226" t="n">
        <v>0</v>
      </c>
      <c r="L1226" t="n">
        <v>0</v>
      </c>
      <c r="M1226" t="n">
        <v>0</v>
      </c>
      <c r="N1226" t="n">
        <v>0</v>
      </c>
      <c r="O1226" t="n">
        <v>0</v>
      </c>
      <c r="P1226" t="n">
        <v>0</v>
      </c>
      <c r="Q1226" t="n">
        <v>0</v>
      </c>
      <c r="R1226" s="2" t="inlineStr"/>
    </row>
    <row r="1227" ht="15" customHeight="1">
      <c r="A1227" t="inlineStr">
        <is>
          <t>A 22364-2022</t>
        </is>
      </c>
      <c r="B1227" s="1" t="n">
        <v>44713</v>
      </c>
      <c r="C1227" s="1" t="n">
        <v>45192</v>
      </c>
      <c r="D1227" t="inlineStr">
        <is>
          <t>VÄSTERBOTTENS LÄN</t>
        </is>
      </c>
      <c r="E1227" t="inlineStr">
        <is>
          <t>SKELLEFTEÅ</t>
        </is>
      </c>
      <c r="G1227" t="n">
        <v>3.7</v>
      </c>
      <c r="H1227" t="n">
        <v>0</v>
      </c>
      <c r="I1227" t="n">
        <v>0</v>
      </c>
      <c r="J1227" t="n">
        <v>0</v>
      </c>
      <c r="K1227" t="n">
        <v>0</v>
      </c>
      <c r="L1227" t="n">
        <v>0</v>
      </c>
      <c r="M1227" t="n">
        <v>0</v>
      </c>
      <c r="N1227" t="n">
        <v>0</v>
      </c>
      <c r="O1227" t="n">
        <v>0</v>
      </c>
      <c r="P1227" t="n">
        <v>0</v>
      </c>
      <c r="Q1227" t="n">
        <v>0</v>
      </c>
      <c r="R1227" s="2" t="inlineStr"/>
    </row>
    <row r="1228" ht="15" customHeight="1">
      <c r="A1228" t="inlineStr">
        <is>
          <t>A 22618-2022</t>
        </is>
      </c>
      <c r="B1228" s="1" t="n">
        <v>44714</v>
      </c>
      <c r="C1228" s="1" t="n">
        <v>45192</v>
      </c>
      <c r="D1228" t="inlineStr">
        <is>
          <t>VÄSTERBOTTENS LÄN</t>
        </is>
      </c>
      <c r="E1228" t="inlineStr">
        <is>
          <t>SKELLEFTEÅ</t>
        </is>
      </c>
      <c r="G1228" t="n">
        <v>5.1</v>
      </c>
      <c r="H1228" t="n">
        <v>0</v>
      </c>
      <c r="I1228" t="n">
        <v>0</v>
      </c>
      <c r="J1228" t="n">
        <v>0</v>
      </c>
      <c r="K1228" t="n">
        <v>0</v>
      </c>
      <c r="L1228" t="n">
        <v>0</v>
      </c>
      <c r="M1228" t="n">
        <v>0</v>
      </c>
      <c r="N1228" t="n">
        <v>0</v>
      </c>
      <c r="O1228" t="n">
        <v>0</v>
      </c>
      <c r="P1228" t="n">
        <v>0</v>
      </c>
      <c r="Q1228" t="n">
        <v>0</v>
      </c>
      <c r="R1228" s="2" t="inlineStr"/>
    </row>
    <row r="1229" ht="15" customHeight="1">
      <c r="A1229" t="inlineStr">
        <is>
          <t>A 22760-2022</t>
        </is>
      </c>
      <c r="B1229" s="1" t="n">
        <v>44714</v>
      </c>
      <c r="C1229" s="1" t="n">
        <v>45192</v>
      </c>
      <c r="D1229" t="inlineStr">
        <is>
          <t>VÄSTERBOTTENS LÄN</t>
        </is>
      </c>
      <c r="E1229" t="inlineStr">
        <is>
          <t>SKELLEFTEÅ</t>
        </is>
      </c>
      <c r="G1229" t="n">
        <v>12.2</v>
      </c>
      <c r="H1229" t="n">
        <v>0</v>
      </c>
      <c r="I1229" t="n">
        <v>0</v>
      </c>
      <c r="J1229" t="n">
        <v>0</v>
      </c>
      <c r="K1229" t="n">
        <v>0</v>
      </c>
      <c r="L1229" t="n">
        <v>0</v>
      </c>
      <c r="M1229" t="n">
        <v>0</v>
      </c>
      <c r="N1229" t="n">
        <v>0</v>
      </c>
      <c r="O1229" t="n">
        <v>0</v>
      </c>
      <c r="P1229" t="n">
        <v>0</v>
      </c>
      <c r="Q1229" t="n">
        <v>0</v>
      </c>
      <c r="R1229" s="2" t="inlineStr"/>
    </row>
    <row r="1230" ht="15" customHeight="1">
      <c r="A1230" t="inlineStr">
        <is>
          <t>A 22828-2022</t>
        </is>
      </c>
      <c r="B1230" s="1" t="n">
        <v>44714</v>
      </c>
      <c r="C1230" s="1" t="n">
        <v>45192</v>
      </c>
      <c r="D1230" t="inlineStr">
        <is>
          <t>VÄSTERBOTTENS LÄN</t>
        </is>
      </c>
      <c r="E1230" t="inlineStr">
        <is>
          <t>SKELLEFTEÅ</t>
        </is>
      </c>
      <c r="G1230" t="n">
        <v>0.6</v>
      </c>
      <c r="H1230" t="n">
        <v>0</v>
      </c>
      <c r="I1230" t="n">
        <v>0</v>
      </c>
      <c r="J1230" t="n">
        <v>0</v>
      </c>
      <c r="K1230" t="n">
        <v>0</v>
      </c>
      <c r="L1230" t="n">
        <v>0</v>
      </c>
      <c r="M1230" t="n">
        <v>0</v>
      </c>
      <c r="N1230" t="n">
        <v>0</v>
      </c>
      <c r="O1230" t="n">
        <v>0</v>
      </c>
      <c r="P1230" t="n">
        <v>0</v>
      </c>
      <c r="Q1230" t="n">
        <v>0</v>
      </c>
      <c r="R1230" s="2" t="inlineStr"/>
    </row>
    <row r="1231" ht="15" customHeight="1">
      <c r="A1231" t="inlineStr">
        <is>
          <t>A 22822-2022</t>
        </is>
      </c>
      <c r="B1231" s="1" t="n">
        <v>44714</v>
      </c>
      <c r="C1231" s="1" t="n">
        <v>45192</v>
      </c>
      <c r="D1231" t="inlineStr">
        <is>
          <t>VÄSTERBOTTENS LÄN</t>
        </is>
      </c>
      <c r="E1231" t="inlineStr">
        <is>
          <t>SKELLEFTEÅ</t>
        </is>
      </c>
      <c r="G1231" t="n">
        <v>0.8</v>
      </c>
      <c r="H1231" t="n">
        <v>0</v>
      </c>
      <c r="I1231" t="n">
        <v>0</v>
      </c>
      <c r="J1231" t="n">
        <v>0</v>
      </c>
      <c r="K1231" t="n">
        <v>0</v>
      </c>
      <c r="L1231" t="n">
        <v>0</v>
      </c>
      <c r="M1231" t="n">
        <v>0</v>
      </c>
      <c r="N1231" t="n">
        <v>0</v>
      </c>
      <c r="O1231" t="n">
        <v>0</v>
      </c>
      <c r="P1231" t="n">
        <v>0</v>
      </c>
      <c r="Q1231" t="n">
        <v>0</v>
      </c>
      <c r="R1231" s="2" t="inlineStr"/>
    </row>
    <row r="1232" ht="15" customHeight="1">
      <c r="A1232" t="inlineStr">
        <is>
          <t>A 22661-2022</t>
        </is>
      </c>
      <c r="B1232" s="1" t="n">
        <v>44714</v>
      </c>
      <c r="C1232" s="1" t="n">
        <v>45192</v>
      </c>
      <c r="D1232" t="inlineStr">
        <is>
          <t>VÄSTERBOTTENS LÄN</t>
        </is>
      </c>
      <c r="E1232" t="inlineStr">
        <is>
          <t>SKELLEFTEÅ</t>
        </is>
      </c>
      <c r="G1232" t="n">
        <v>1.4</v>
      </c>
      <c r="H1232" t="n">
        <v>0</v>
      </c>
      <c r="I1232" t="n">
        <v>0</v>
      </c>
      <c r="J1232" t="n">
        <v>0</v>
      </c>
      <c r="K1232" t="n">
        <v>0</v>
      </c>
      <c r="L1232" t="n">
        <v>0</v>
      </c>
      <c r="M1232" t="n">
        <v>0</v>
      </c>
      <c r="N1232" t="n">
        <v>0</v>
      </c>
      <c r="O1232" t="n">
        <v>0</v>
      </c>
      <c r="P1232" t="n">
        <v>0</v>
      </c>
      <c r="Q1232" t="n">
        <v>0</v>
      </c>
      <c r="R1232" s="2" t="inlineStr"/>
    </row>
    <row r="1233" ht="15" customHeight="1">
      <c r="A1233" t="inlineStr">
        <is>
          <t>A 22758-2022</t>
        </is>
      </c>
      <c r="B1233" s="1" t="n">
        <v>44714</v>
      </c>
      <c r="C1233" s="1" t="n">
        <v>45192</v>
      </c>
      <c r="D1233" t="inlineStr">
        <is>
          <t>VÄSTERBOTTENS LÄN</t>
        </is>
      </c>
      <c r="E1233" t="inlineStr">
        <is>
          <t>SKELLEFTEÅ</t>
        </is>
      </c>
      <c r="G1233" t="n">
        <v>2.2</v>
      </c>
      <c r="H1233" t="n">
        <v>0</v>
      </c>
      <c r="I1233" t="n">
        <v>0</v>
      </c>
      <c r="J1233" t="n">
        <v>0</v>
      </c>
      <c r="K1233" t="n">
        <v>0</v>
      </c>
      <c r="L1233" t="n">
        <v>0</v>
      </c>
      <c r="M1233" t="n">
        <v>0</v>
      </c>
      <c r="N1233" t="n">
        <v>0</v>
      </c>
      <c r="O1233" t="n">
        <v>0</v>
      </c>
      <c r="P1233" t="n">
        <v>0</v>
      </c>
      <c r="Q1233" t="n">
        <v>0</v>
      </c>
      <c r="R1233" s="2" t="inlineStr"/>
    </row>
    <row r="1234" ht="15" customHeight="1">
      <c r="A1234" t="inlineStr">
        <is>
          <t>A 22896-2022</t>
        </is>
      </c>
      <c r="B1234" s="1" t="n">
        <v>44715</v>
      </c>
      <c r="C1234" s="1" t="n">
        <v>45192</v>
      </c>
      <c r="D1234" t="inlineStr">
        <is>
          <t>VÄSTERBOTTENS LÄN</t>
        </is>
      </c>
      <c r="E1234" t="inlineStr">
        <is>
          <t>SKELLEFTEÅ</t>
        </is>
      </c>
      <c r="F1234" t="inlineStr">
        <is>
          <t>Holmen skog AB</t>
        </is>
      </c>
      <c r="G1234" t="n">
        <v>8.800000000000001</v>
      </c>
      <c r="H1234" t="n">
        <v>0</v>
      </c>
      <c r="I1234" t="n">
        <v>0</v>
      </c>
      <c r="J1234" t="n">
        <v>0</v>
      </c>
      <c r="K1234" t="n">
        <v>0</v>
      </c>
      <c r="L1234" t="n">
        <v>0</v>
      </c>
      <c r="M1234" t="n">
        <v>0</v>
      </c>
      <c r="N1234" t="n">
        <v>0</v>
      </c>
      <c r="O1234" t="n">
        <v>0</v>
      </c>
      <c r="P1234" t="n">
        <v>0</v>
      </c>
      <c r="Q1234" t="n">
        <v>0</v>
      </c>
      <c r="R1234" s="2" t="inlineStr"/>
    </row>
    <row r="1235" ht="15" customHeight="1">
      <c r="A1235" t="inlineStr">
        <is>
          <t>A 23042-2022</t>
        </is>
      </c>
      <c r="B1235" s="1" t="n">
        <v>44719</v>
      </c>
      <c r="C1235" s="1" t="n">
        <v>45192</v>
      </c>
      <c r="D1235" t="inlineStr">
        <is>
          <t>VÄSTERBOTTENS LÄN</t>
        </is>
      </c>
      <c r="E1235" t="inlineStr">
        <is>
          <t>SKELLEFTEÅ</t>
        </is>
      </c>
      <c r="G1235" t="n">
        <v>0.9</v>
      </c>
      <c r="H1235" t="n">
        <v>0</v>
      </c>
      <c r="I1235" t="n">
        <v>0</v>
      </c>
      <c r="J1235" t="n">
        <v>0</v>
      </c>
      <c r="K1235" t="n">
        <v>0</v>
      </c>
      <c r="L1235" t="n">
        <v>0</v>
      </c>
      <c r="M1235" t="n">
        <v>0</v>
      </c>
      <c r="N1235" t="n">
        <v>0</v>
      </c>
      <c r="O1235" t="n">
        <v>0</v>
      </c>
      <c r="P1235" t="n">
        <v>0</v>
      </c>
      <c r="Q1235" t="n">
        <v>0</v>
      </c>
      <c r="R1235" s="2" t="inlineStr"/>
    </row>
    <row r="1236" ht="15" customHeight="1">
      <c r="A1236" t="inlineStr">
        <is>
          <t>A 23715-2022</t>
        </is>
      </c>
      <c r="B1236" s="1" t="n">
        <v>44721</v>
      </c>
      <c r="C1236" s="1" t="n">
        <v>45192</v>
      </c>
      <c r="D1236" t="inlineStr">
        <is>
          <t>VÄSTERBOTTENS LÄN</t>
        </is>
      </c>
      <c r="E1236" t="inlineStr">
        <is>
          <t>SKELLEFTEÅ</t>
        </is>
      </c>
      <c r="G1236" t="n">
        <v>2.6</v>
      </c>
      <c r="H1236" t="n">
        <v>0</v>
      </c>
      <c r="I1236" t="n">
        <v>0</v>
      </c>
      <c r="J1236" t="n">
        <v>0</v>
      </c>
      <c r="K1236" t="n">
        <v>0</v>
      </c>
      <c r="L1236" t="n">
        <v>0</v>
      </c>
      <c r="M1236" t="n">
        <v>0</v>
      </c>
      <c r="N1236" t="n">
        <v>0</v>
      </c>
      <c r="O1236" t="n">
        <v>0</v>
      </c>
      <c r="P1236" t="n">
        <v>0</v>
      </c>
      <c r="Q1236" t="n">
        <v>0</v>
      </c>
      <c r="R1236" s="2" t="inlineStr"/>
    </row>
    <row r="1237" ht="15" customHeight="1">
      <c r="A1237" t="inlineStr">
        <is>
          <t>A 23986-2022</t>
        </is>
      </c>
      <c r="B1237" s="1" t="n">
        <v>44722</v>
      </c>
      <c r="C1237" s="1" t="n">
        <v>45192</v>
      </c>
      <c r="D1237" t="inlineStr">
        <is>
          <t>VÄSTERBOTTENS LÄN</t>
        </is>
      </c>
      <c r="E1237" t="inlineStr">
        <is>
          <t>SKELLEFTEÅ</t>
        </is>
      </c>
      <c r="G1237" t="n">
        <v>2.1</v>
      </c>
      <c r="H1237" t="n">
        <v>0</v>
      </c>
      <c r="I1237" t="n">
        <v>0</v>
      </c>
      <c r="J1237" t="n">
        <v>0</v>
      </c>
      <c r="K1237" t="n">
        <v>0</v>
      </c>
      <c r="L1237" t="n">
        <v>0</v>
      </c>
      <c r="M1237" t="n">
        <v>0</v>
      </c>
      <c r="N1237" t="n">
        <v>0</v>
      </c>
      <c r="O1237" t="n">
        <v>0</v>
      </c>
      <c r="P1237" t="n">
        <v>0</v>
      </c>
      <c r="Q1237" t="n">
        <v>0</v>
      </c>
      <c r="R1237" s="2" t="inlineStr"/>
    </row>
    <row r="1238" ht="15" customHeight="1">
      <c r="A1238" t="inlineStr">
        <is>
          <t>A 23729-2022</t>
        </is>
      </c>
      <c r="B1238" s="1" t="n">
        <v>44722</v>
      </c>
      <c r="C1238" s="1" t="n">
        <v>45192</v>
      </c>
      <c r="D1238" t="inlineStr">
        <is>
          <t>VÄSTERBOTTENS LÄN</t>
        </is>
      </c>
      <c r="E1238" t="inlineStr">
        <is>
          <t>SKELLEFTEÅ</t>
        </is>
      </c>
      <c r="G1238" t="n">
        <v>0.8</v>
      </c>
      <c r="H1238" t="n">
        <v>0</v>
      </c>
      <c r="I1238" t="n">
        <v>0</v>
      </c>
      <c r="J1238" t="n">
        <v>0</v>
      </c>
      <c r="K1238" t="n">
        <v>0</v>
      </c>
      <c r="L1238" t="n">
        <v>0</v>
      </c>
      <c r="M1238" t="n">
        <v>0</v>
      </c>
      <c r="N1238" t="n">
        <v>0</v>
      </c>
      <c r="O1238" t="n">
        <v>0</v>
      </c>
      <c r="P1238" t="n">
        <v>0</v>
      </c>
      <c r="Q1238" t="n">
        <v>0</v>
      </c>
      <c r="R1238" s="2" t="inlineStr"/>
    </row>
    <row r="1239" ht="15" customHeight="1">
      <c r="A1239" t="inlineStr">
        <is>
          <t>A 24323-2022</t>
        </is>
      </c>
      <c r="B1239" s="1" t="n">
        <v>44725</v>
      </c>
      <c r="C1239" s="1" t="n">
        <v>45192</v>
      </c>
      <c r="D1239" t="inlineStr">
        <is>
          <t>VÄSTERBOTTENS LÄN</t>
        </is>
      </c>
      <c r="E1239" t="inlineStr">
        <is>
          <t>SKELLEFTEÅ</t>
        </is>
      </c>
      <c r="F1239" t="inlineStr">
        <is>
          <t>SCA</t>
        </is>
      </c>
      <c r="G1239" t="n">
        <v>1.6</v>
      </c>
      <c r="H1239" t="n">
        <v>0</v>
      </c>
      <c r="I1239" t="n">
        <v>0</v>
      </c>
      <c r="J1239" t="n">
        <v>0</v>
      </c>
      <c r="K1239" t="n">
        <v>0</v>
      </c>
      <c r="L1239" t="n">
        <v>0</v>
      </c>
      <c r="M1239" t="n">
        <v>0</v>
      </c>
      <c r="N1239" t="n">
        <v>0</v>
      </c>
      <c r="O1239" t="n">
        <v>0</v>
      </c>
      <c r="P1239" t="n">
        <v>0</v>
      </c>
      <c r="Q1239" t="n">
        <v>0</v>
      </c>
      <c r="R1239" s="2" t="inlineStr"/>
    </row>
    <row r="1240" ht="15" customHeight="1">
      <c r="A1240" t="inlineStr">
        <is>
          <t>A 24577-2022</t>
        </is>
      </c>
      <c r="B1240" s="1" t="n">
        <v>44727</v>
      </c>
      <c r="C1240" s="1" t="n">
        <v>45192</v>
      </c>
      <c r="D1240" t="inlineStr">
        <is>
          <t>VÄSTERBOTTENS LÄN</t>
        </is>
      </c>
      <c r="E1240" t="inlineStr">
        <is>
          <t>SKELLEFTEÅ</t>
        </is>
      </c>
      <c r="G1240" t="n">
        <v>0.8</v>
      </c>
      <c r="H1240" t="n">
        <v>0</v>
      </c>
      <c r="I1240" t="n">
        <v>0</v>
      </c>
      <c r="J1240" t="n">
        <v>0</v>
      </c>
      <c r="K1240" t="n">
        <v>0</v>
      </c>
      <c r="L1240" t="n">
        <v>0</v>
      </c>
      <c r="M1240" t="n">
        <v>0</v>
      </c>
      <c r="N1240" t="n">
        <v>0</v>
      </c>
      <c r="O1240" t="n">
        <v>0</v>
      </c>
      <c r="P1240" t="n">
        <v>0</v>
      </c>
      <c r="Q1240" t="n">
        <v>0</v>
      </c>
      <c r="R1240" s="2" t="inlineStr"/>
    </row>
    <row r="1241" ht="15" customHeight="1">
      <c r="A1241" t="inlineStr">
        <is>
          <t>A 24583-2022</t>
        </is>
      </c>
      <c r="B1241" s="1" t="n">
        <v>44727</v>
      </c>
      <c r="C1241" s="1" t="n">
        <v>45192</v>
      </c>
      <c r="D1241" t="inlineStr">
        <is>
          <t>VÄSTERBOTTENS LÄN</t>
        </is>
      </c>
      <c r="E1241" t="inlineStr">
        <is>
          <t>SKELLEFTEÅ</t>
        </is>
      </c>
      <c r="G1241" t="n">
        <v>0.2</v>
      </c>
      <c r="H1241" t="n">
        <v>0</v>
      </c>
      <c r="I1241" t="n">
        <v>0</v>
      </c>
      <c r="J1241" t="n">
        <v>0</v>
      </c>
      <c r="K1241" t="n">
        <v>0</v>
      </c>
      <c r="L1241" t="n">
        <v>0</v>
      </c>
      <c r="M1241" t="n">
        <v>0</v>
      </c>
      <c r="N1241" t="n">
        <v>0</v>
      </c>
      <c r="O1241" t="n">
        <v>0</v>
      </c>
      <c r="P1241" t="n">
        <v>0</v>
      </c>
      <c r="Q1241" t="n">
        <v>0</v>
      </c>
      <c r="R1241" s="2" t="inlineStr"/>
    </row>
    <row r="1242" ht="15" customHeight="1">
      <c r="A1242" t="inlineStr">
        <is>
          <t>A 24832-2022</t>
        </is>
      </c>
      <c r="B1242" s="1" t="n">
        <v>44728</v>
      </c>
      <c r="C1242" s="1" t="n">
        <v>45192</v>
      </c>
      <c r="D1242" t="inlineStr">
        <is>
          <t>VÄSTERBOTTENS LÄN</t>
        </is>
      </c>
      <c r="E1242" t="inlineStr">
        <is>
          <t>SKELLEFTEÅ</t>
        </is>
      </c>
      <c r="G1242" t="n">
        <v>1.7</v>
      </c>
      <c r="H1242" t="n">
        <v>0</v>
      </c>
      <c r="I1242" t="n">
        <v>0</v>
      </c>
      <c r="J1242" t="n">
        <v>0</v>
      </c>
      <c r="K1242" t="n">
        <v>0</v>
      </c>
      <c r="L1242" t="n">
        <v>0</v>
      </c>
      <c r="M1242" t="n">
        <v>0</v>
      </c>
      <c r="N1242" t="n">
        <v>0</v>
      </c>
      <c r="O1242" t="n">
        <v>0</v>
      </c>
      <c r="P1242" t="n">
        <v>0</v>
      </c>
      <c r="Q1242" t="n">
        <v>0</v>
      </c>
      <c r="R1242" s="2" t="inlineStr"/>
    </row>
    <row r="1243" ht="15" customHeight="1">
      <c r="A1243" t="inlineStr">
        <is>
          <t>A 24663-2022</t>
        </is>
      </c>
      <c r="B1243" s="1" t="n">
        <v>44728</v>
      </c>
      <c r="C1243" s="1" t="n">
        <v>45192</v>
      </c>
      <c r="D1243" t="inlineStr">
        <is>
          <t>VÄSTERBOTTENS LÄN</t>
        </is>
      </c>
      <c r="E1243" t="inlineStr">
        <is>
          <t>SKELLEFTEÅ</t>
        </is>
      </c>
      <c r="G1243" t="n">
        <v>0.4</v>
      </c>
      <c r="H1243" t="n">
        <v>0</v>
      </c>
      <c r="I1243" t="n">
        <v>0</v>
      </c>
      <c r="J1243" t="n">
        <v>0</v>
      </c>
      <c r="K1243" t="n">
        <v>0</v>
      </c>
      <c r="L1243" t="n">
        <v>0</v>
      </c>
      <c r="M1243" t="n">
        <v>0</v>
      </c>
      <c r="N1243" t="n">
        <v>0</v>
      </c>
      <c r="O1243" t="n">
        <v>0</v>
      </c>
      <c r="P1243" t="n">
        <v>0</v>
      </c>
      <c r="Q1243" t="n">
        <v>0</v>
      </c>
      <c r="R1243" s="2" t="inlineStr"/>
    </row>
    <row r="1244" ht="15" customHeight="1">
      <c r="A1244" t="inlineStr">
        <is>
          <t>A 24899-2022</t>
        </is>
      </c>
      <c r="B1244" s="1" t="n">
        <v>44728</v>
      </c>
      <c r="C1244" s="1" t="n">
        <v>45192</v>
      </c>
      <c r="D1244" t="inlineStr">
        <is>
          <t>VÄSTERBOTTENS LÄN</t>
        </is>
      </c>
      <c r="E1244" t="inlineStr">
        <is>
          <t>SKELLEFTEÅ</t>
        </is>
      </c>
      <c r="G1244" t="n">
        <v>1.1</v>
      </c>
      <c r="H1244" t="n">
        <v>0</v>
      </c>
      <c r="I1244" t="n">
        <v>0</v>
      </c>
      <c r="J1244" t="n">
        <v>0</v>
      </c>
      <c r="K1244" t="n">
        <v>0</v>
      </c>
      <c r="L1244" t="n">
        <v>0</v>
      </c>
      <c r="M1244" t="n">
        <v>0</v>
      </c>
      <c r="N1244" t="n">
        <v>0</v>
      </c>
      <c r="O1244" t="n">
        <v>0</v>
      </c>
      <c r="P1244" t="n">
        <v>0</v>
      </c>
      <c r="Q1244" t="n">
        <v>0</v>
      </c>
      <c r="R1244" s="2" t="inlineStr"/>
    </row>
    <row r="1245" ht="15" customHeight="1">
      <c r="A1245" t="inlineStr">
        <is>
          <t>A 25596-2022</t>
        </is>
      </c>
      <c r="B1245" s="1" t="n">
        <v>44732</v>
      </c>
      <c r="C1245" s="1" t="n">
        <v>45192</v>
      </c>
      <c r="D1245" t="inlineStr">
        <is>
          <t>VÄSTERBOTTENS LÄN</t>
        </is>
      </c>
      <c r="E1245" t="inlineStr">
        <is>
          <t>SKELLEFTEÅ</t>
        </is>
      </c>
      <c r="G1245" t="n">
        <v>4.7</v>
      </c>
      <c r="H1245" t="n">
        <v>0</v>
      </c>
      <c r="I1245" t="n">
        <v>0</v>
      </c>
      <c r="J1245" t="n">
        <v>0</v>
      </c>
      <c r="K1245" t="n">
        <v>0</v>
      </c>
      <c r="L1245" t="n">
        <v>0</v>
      </c>
      <c r="M1245" t="n">
        <v>0</v>
      </c>
      <c r="N1245" t="n">
        <v>0</v>
      </c>
      <c r="O1245" t="n">
        <v>0</v>
      </c>
      <c r="P1245" t="n">
        <v>0</v>
      </c>
      <c r="Q1245" t="n">
        <v>0</v>
      </c>
      <c r="R1245" s="2" t="inlineStr"/>
    </row>
    <row r="1246" ht="15" customHeight="1">
      <c r="A1246" t="inlineStr">
        <is>
          <t>A 25404-2022</t>
        </is>
      </c>
      <c r="B1246" s="1" t="n">
        <v>44732</v>
      </c>
      <c r="C1246" s="1" t="n">
        <v>45192</v>
      </c>
      <c r="D1246" t="inlineStr">
        <is>
          <t>VÄSTERBOTTENS LÄN</t>
        </is>
      </c>
      <c r="E1246" t="inlineStr">
        <is>
          <t>SKELLEFTEÅ</t>
        </is>
      </c>
      <c r="G1246" t="n">
        <v>2</v>
      </c>
      <c r="H1246" t="n">
        <v>0</v>
      </c>
      <c r="I1246" t="n">
        <v>0</v>
      </c>
      <c r="J1246" t="n">
        <v>0</v>
      </c>
      <c r="K1246" t="n">
        <v>0</v>
      </c>
      <c r="L1246" t="n">
        <v>0</v>
      </c>
      <c r="M1246" t="n">
        <v>0</v>
      </c>
      <c r="N1246" t="n">
        <v>0</v>
      </c>
      <c r="O1246" t="n">
        <v>0</v>
      </c>
      <c r="P1246" t="n">
        <v>0</v>
      </c>
      <c r="Q1246" t="n">
        <v>0</v>
      </c>
      <c r="R1246" s="2" t="inlineStr"/>
    </row>
    <row r="1247" ht="15" customHeight="1">
      <c r="A1247" t="inlineStr">
        <is>
          <t>A 25674-2022</t>
        </is>
      </c>
      <c r="B1247" s="1" t="n">
        <v>44732</v>
      </c>
      <c r="C1247" s="1" t="n">
        <v>45192</v>
      </c>
      <c r="D1247" t="inlineStr">
        <is>
          <t>VÄSTERBOTTENS LÄN</t>
        </is>
      </c>
      <c r="E1247" t="inlineStr">
        <is>
          <t>SKELLEFTEÅ</t>
        </is>
      </c>
      <c r="G1247" t="n">
        <v>1.4</v>
      </c>
      <c r="H1247" t="n">
        <v>0</v>
      </c>
      <c r="I1247" t="n">
        <v>0</v>
      </c>
      <c r="J1247" t="n">
        <v>0</v>
      </c>
      <c r="K1247" t="n">
        <v>0</v>
      </c>
      <c r="L1247" t="n">
        <v>0</v>
      </c>
      <c r="M1247" t="n">
        <v>0</v>
      </c>
      <c r="N1247" t="n">
        <v>0</v>
      </c>
      <c r="O1247" t="n">
        <v>0</v>
      </c>
      <c r="P1247" t="n">
        <v>0</v>
      </c>
      <c r="Q1247" t="n">
        <v>0</v>
      </c>
      <c r="R1247" s="2" t="inlineStr"/>
    </row>
    <row r="1248" ht="15" customHeight="1">
      <c r="A1248" t="inlineStr">
        <is>
          <t>A 26483-2022</t>
        </is>
      </c>
      <c r="B1248" s="1" t="n">
        <v>44739</v>
      </c>
      <c r="C1248" s="1" t="n">
        <v>45192</v>
      </c>
      <c r="D1248" t="inlineStr">
        <is>
          <t>VÄSTERBOTTENS LÄN</t>
        </is>
      </c>
      <c r="E1248" t="inlineStr">
        <is>
          <t>SKELLEFTEÅ</t>
        </is>
      </c>
      <c r="G1248" t="n">
        <v>0.7</v>
      </c>
      <c r="H1248" t="n">
        <v>0</v>
      </c>
      <c r="I1248" t="n">
        <v>0</v>
      </c>
      <c r="J1248" t="n">
        <v>0</v>
      </c>
      <c r="K1248" t="n">
        <v>0</v>
      </c>
      <c r="L1248" t="n">
        <v>0</v>
      </c>
      <c r="M1248" t="n">
        <v>0</v>
      </c>
      <c r="N1248" t="n">
        <v>0</v>
      </c>
      <c r="O1248" t="n">
        <v>0</v>
      </c>
      <c r="P1248" t="n">
        <v>0</v>
      </c>
      <c r="Q1248" t="n">
        <v>0</v>
      </c>
      <c r="R1248" s="2" t="inlineStr"/>
    </row>
    <row r="1249" ht="15" customHeight="1">
      <c r="A1249" t="inlineStr">
        <is>
          <t>A 26798-2022</t>
        </is>
      </c>
      <c r="B1249" s="1" t="n">
        <v>44740</v>
      </c>
      <c r="C1249" s="1" t="n">
        <v>45192</v>
      </c>
      <c r="D1249" t="inlineStr">
        <is>
          <t>VÄSTERBOTTENS LÄN</t>
        </is>
      </c>
      <c r="E1249" t="inlineStr">
        <is>
          <t>SKELLEFTEÅ</t>
        </is>
      </c>
      <c r="G1249" t="n">
        <v>0.5</v>
      </c>
      <c r="H1249" t="n">
        <v>0</v>
      </c>
      <c r="I1249" t="n">
        <v>0</v>
      </c>
      <c r="J1249" t="n">
        <v>0</v>
      </c>
      <c r="K1249" t="n">
        <v>0</v>
      </c>
      <c r="L1249" t="n">
        <v>0</v>
      </c>
      <c r="M1249" t="n">
        <v>0</v>
      </c>
      <c r="N1249" t="n">
        <v>0</v>
      </c>
      <c r="O1249" t="n">
        <v>0</v>
      </c>
      <c r="P1249" t="n">
        <v>0</v>
      </c>
      <c r="Q1249" t="n">
        <v>0</v>
      </c>
      <c r="R1249" s="2" t="inlineStr"/>
    </row>
    <row r="1250" ht="15" customHeight="1">
      <c r="A1250" t="inlineStr">
        <is>
          <t>A 27000-2022</t>
        </is>
      </c>
      <c r="B1250" s="1" t="n">
        <v>44740</v>
      </c>
      <c r="C1250" s="1" t="n">
        <v>45192</v>
      </c>
      <c r="D1250" t="inlineStr">
        <is>
          <t>VÄSTERBOTTENS LÄN</t>
        </is>
      </c>
      <c r="E1250" t="inlineStr">
        <is>
          <t>SKELLEFTEÅ</t>
        </is>
      </c>
      <c r="G1250" t="n">
        <v>1.7</v>
      </c>
      <c r="H1250" t="n">
        <v>0</v>
      </c>
      <c r="I1250" t="n">
        <v>0</v>
      </c>
      <c r="J1250" t="n">
        <v>0</v>
      </c>
      <c r="K1250" t="n">
        <v>0</v>
      </c>
      <c r="L1250" t="n">
        <v>0</v>
      </c>
      <c r="M1250" t="n">
        <v>0</v>
      </c>
      <c r="N1250" t="n">
        <v>0</v>
      </c>
      <c r="O1250" t="n">
        <v>0</v>
      </c>
      <c r="P1250" t="n">
        <v>0</v>
      </c>
      <c r="Q1250" t="n">
        <v>0</v>
      </c>
      <c r="R1250" s="2" t="inlineStr"/>
    </row>
    <row r="1251" ht="15" customHeight="1">
      <c r="A1251" t="inlineStr">
        <is>
          <t>A 26999-2022</t>
        </is>
      </c>
      <c r="B1251" s="1" t="n">
        <v>44740</v>
      </c>
      <c r="C1251" s="1" t="n">
        <v>45192</v>
      </c>
      <c r="D1251" t="inlineStr">
        <is>
          <t>VÄSTERBOTTENS LÄN</t>
        </is>
      </c>
      <c r="E1251" t="inlineStr">
        <is>
          <t>SKELLEFTEÅ</t>
        </is>
      </c>
      <c r="G1251" t="n">
        <v>0.6</v>
      </c>
      <c r="H1251" t="n">
        <v>0</v>
      </c>
      <c r="I1251" t="n">
        <v>0</v>
      </c>
      <c r="J1251" t="n">
        <v>0</v>
      </c>
      <c r="K1251" t="n">
        <v>0</v>
      </c>
      <c r="L1251" t="n">
        <v>0</v>
      </c>
      <c r="M1251" t="n">
        <v>0</v>
      </c>
      <c r="N1251" t="n">
        <v>0</v>
      </c>
      <c r="O1251" t="n">
        <v>0</v>
      </c>
      <c r="P1251" t="n">
        <v>0</v>
      </c>
      <c r="Q1251" t="n">
        <v>0</v>
      </c>
      <c r="R1251" s="2" t="inlineStr"/>
    </row>
    <row r="1252" ht="15" customHeight="1">
      <c r="A1252" t="inlineStr">
        <is>
          <t>A 27002-2022</t>
        </is>
      </c>
      <c r="B1252" s="1" t="n">
        <v>44740</v>
      </c>
      <c r="C1252" s="1" t="n">
        <v>45192</v>
      </c>
      <c r="D1252" t="inlineStr">
        <is>
          <t>VÄSTERBOTTENS LÄN</t>
        </is>
      </c>
      <c r="E1252" t="inlineStr">
        <is>
          <t>SKELLEFTEÅ</t>
        </is>
      </c>
      <c r="G1252" t="n">
        <v>1.8</v>
      </c>
      <c r="H1252" t="n">
        <v>0</v>
      </c>
      <c r="I1252" t="n">
        <v>0</v>
      </c>
      <c r="J1252" t="n">
        <v>0</v>
      </c>
      <c r="K1252" t="n">
        <v>0</v>
      </c>
      <c r="L1252" t="n">
        <v>0</v>
      </c>
      <c r="M1252" t="n">
        <v>0</v>
      </c>
      <c r="N1252" t="n">
        <v>0</v>
      </c>
      <c r="O1252" t="n">
        <v>0</v>
      </c>
      <c r="P1252" t="n">
        <v>0</v>
      </c>
      <c r="Q1252" t="n">
        <v>0</v>
      </c>
      <c r="R1252" s="2" t="inlineStr"/>
    </row>
    <row r="1253" ht="15" customHeight="1">
      <c r="A1253" t="inlineStr">
        <is>
          <t>A 27028-2022</t>
        </is>
      </c>
      <c r="B1253" s="1" t="n">
        <v>44740</v>
      </c>
      <c r="C1253" s="1" t="n">
        <v>45192</v>
      </c>
      <c r="D1253" t="inlineStr">
        <is>
          <t>VÄSTERBOTTENS LÄN</t>
        </is>
      </c>
      <c r="E1253" t="inlineStr">
        <is>
          <t>SKELLEFTEÅ</t>
        </is>
      </c>
      <c r="F1253" t="inlineStr">
        <is>
          <t>SCA</t>
        </is>
      </c>
      <c r="G1253" t="n">
        <v>2</v>
      </c>
      <c r="H1253" t="n">
        <v>0</v>
      </c>
      <c r="I1253" t="n">
        <v>0</v>
      </c>
      <c r="J1253" t="n">
        <v>0</v>
      </c>
      <c r="K1253" t="n">
        <v>0</v>
      </c>
      <c r="L1253" t="n">
        <v>0</v>
      </c>
      <c r="M1253" t="n">
        <v>0</v>
      </c>
      <c r="N1253" t="n">
        <v>0</v>
      </c>
      <c r="O1253" t="n">
        <v>0</v>
      </c>
      <c r="P1253" t="n">
        <v>0</v>
      </c>
      <c r="Q1253" t="n">
        <v>0</v>
      </c>
      <c r="R1253" s="2" t="inlineStr"/>
    </row>
    <row r="1254" ht="15" customHeight="1">
      <c r="A1254" t="inlineStr">
        <is>
          <t>A 26803-2022</t>
        </is>
      </c>
      <c r="B1254" s="1" t="n">
        <v>44740</v>
      </c>
      <c r="C1254" s="1" t="n">
        <v>45192</v>
      </c>
      <c r="D1254" t="inlineStr">
        <is>
          <t>VÄSTERBOTTENS LÄN</t>
        </is>
      </c>
      <c r="E1254" t="inlineStr">
        <is>
          <t>SKELLEFTEÅ</t>
        </is>
      </c>
      <c r="G1254" t="n">
        <v>0.1</v>
      </c>
      <c r="H1254" t="n">
        <v>0</v>
      </c>
      <c r="I1254" t="n">
        <v>0</v>
      </c>
      <c r="J1254" t="n">
        <v>0</v>
      </c>
      <c r="K1254" t="n">
        <v>0</v>
      </c>
      <c r="L1254" t="n">
        <v>0</v>
      </c>
      <c r="M1254" t="n">
        <v>0</v>
      </c>
      <c r="N1254" t="n">
        <v>0</v>
      </c>
      <c r="O1254" t="n">
        <v>0</v>
      </c>
      <c r="P1254" t="n">
        <v>0</v>
      </c>
      <c r="Q1254" t="n">
        <v>0</v>
      </c>
      <c r="R1254" s="2" t="inlineStr"/>
    </row>
    <row r="1255" ht="15" customHeight="1">
      <c r="A1255" t="inlineStr">
        <is>
          <t>A 27001-2022</t>
        </is>
      </c>
      <c r="B1255" s="1" t="n">
        <v>44740</v>
      </c>
      <c r="C1255" s="1" t="n">
        <v>45192</v>
      </c>
      <c r="D1255" t="inlineStr">
        <is>
          <t>VÄSTERBOTTENS LÄN</t>
        </is>
      </c>
      <c r="E1255" t="inlineStr">
        <is>
          <t>SKELLEFTEÅ</t>
        </is>
      </c>
      <c r="G1255" t="n">
        <v>1.6</v>
      </c>
      <c r="H1255" t="n">
        <v>0</v>
      </c>
      <c r="I1255" t="n">
        <v>0</v>
      </c>
      <c r="J1255" t="n">
        <v>0</v>
      </c>
      <c r="K1255" t="n">
        <v>0</v>
      </c>
      <c r="L1255" t="n">
        <v>0</v>
      </c>
      <c r="M1255" t="n">
        <v>0</v>
      </c>
      <c r="N1255" t="n">
        <v>0</v>
      </c>
      <c r="O1255" t="n">
        <v>0</v>
      </c>
      <c r="P1255" t="n">
        <v>0</v>
      </c>
      <c r="Q1255" t="n">
        <v>0</v>
      </c>
      <c r="R1255" s="2" t="inlineStr"/>
    </row>
    <row r="1256" ht="15" customHeight="1">
      <c r="A1256" t="inlineStr">
        <is>
          <t>A 27631-2022</t>
        </is>
      </c>
      <c r="B1256" s="1" t="n">
        <v>44743</v>
      </c>
      <c r="C1256" s="1" t="n">
        <v>45192</v>
      </c>
      <c r="D1256" t="inlineStr">
        <is>
          <t>VÄSTERBOTTENS LÄN</t>
        </is>
      </c>
      <c r="E1256" t="inlineStr">
        <is>
          <t>SKELLEFTEÅ</t>
        </is>
      </c>
      <c r="G1256" t="n">
        <v>0.4</v>
      </c>
      <c r="H1256" t="n">
        <v>0</v>
      </c>
      <c r="I1256" t="n">
        <v>0</v>
      </c>
      <c r="J1256" t="n">
        <v>0</v>
      </c>
      <c r="K1256" t="n">
        <v>0</v>
      </c>
      <c r="L1256" t="n">
        <v>0</v>
      </c>
      <c r="M1256" t="n">
        <v>0</v>
      </c>
      <c r="N1256" t="n">
        <v>0</v>
      </c>
      <c r="O1256" t="n">
        <v>0</v>
      </c>
      <c r="P1256" t="n">
        <v>0</v>
      </c>
      <c r="Q1256" t="n">
        <v>0</v>
      </c>
      <c r="R1256" s="2" t="inlineStr"/>
    </row>
    <row r="1257" ht="15" customHeight="1">
      <c r="A1257" t="inlineStr">
        <is>
          <t>A 27907-2022</t>
        </is>
      </c>
      <c r="B1257" s="1" t="n">
        <v>44743</v>
      </c>
      <c r="C1257" s="1" t="n">
        <v>45192</v>
      </c>
      <c r="D1257" t="inlineStr">
        <is>
          <t>VÄSTERBOTTENS LÄN</t>
        </is>
      </c>
      <c r="E1257" t="inlineStr">
        <is>
          <t>SKELLEFTEÅ</t>
        </is>
      </c>
      <c r="G1257" t="n">
        <v>1.2</v>
      </c>
      <c r="H1257" t="n">
        <v>0</v>
      </c>
      <c r="I1257" t="n">
        <v>0</v>
      </c>
      <c r="J1257" t="n">
        <v>0</v>
      </c>
      <c r="K1257" t="n">
        <v>0</v>
      </c>
      <c r="L1257" t="n">
        <v>0</v>
      </c>
      <c r="M1257" t="n">
        <v>0</v>
      </c>
      <c r="N1257" t="n">
        <v>0</v>
      </c>
      <c r="O1257" t="n">
        <v>0</v>
      </c>
      <c r="P1257" t="n">
        <v>0</v>
      </c>
      <c r="Q1257" t="n">
        <v>0</v>
      </c>
      <c r="R1257" s="2" t="inlineStr"/>
    </row>
    <row r="1258" ht="15" customHeight="1">
      <c r="A1258" t="inlineStr">
        <is>
          <t>A 27636-2022</t>
        </is>
      </c>
      <c r="B1258" s="1" t="n">
        <v>44743</v>
      </c>
      <c r="C1258" s="1" t="n">
        <v>45192</v>
      </c>
      <c r="D1258" t="inlineStr">
        <is>
          <t>VÄSTERBOTTENS LÄN</t>
        </is>
      </c>
      <c r="E1258" t="inlineStr">
        <is>
          <t>SKELLEFTEÅ</t>
        </is>
      </c>
      <c r="G1258" t="n">
        <v>1.3</v>
      </c>
      <c r="H1258" t="n">
        <v>0</v>
      </c>
      <c r="I1258" t="n">
        <v>0</v>
      </c>
      <c r="J1258" t="n">
        <v>0</v>
      </c>
      <c r="K1258" t="n">
        <v>0</v>
      </c>
      <c r="L1258" t="n">
        <v>0</v>
      </c>
      <c r="M1258" t="n">
        <v>0</v>
      </c>
      <c r="N1258" t="n">
        <v>0</v>
      </c>
      <c r="O1258" t="n">
        <v>0</v>
      </c>
      <c r="P1258" t="n">
        <v>0</v>
      </c>
      <c r="Q1258" t="n">
        <v>0</v>
      </c>
      <c r="R1258" s="2" t="inlineStr"/>
    </row>
    <row r="1259" ht="15" customHeight="1">
      <c r="A1259" t="inlineStr">
        <is>
          <t>A 27901-2022</t>
        </is>
      </c>
      <c r="B1259" s="1" t="n">
        <v>44743</v>
      </c>
      <c r="C1259" s="1" t="n">
        <v>45192</v>
      </c>
      <c r="D1259" t="inlineStr">
        <is>
          <t>VÄSTERBOTTENS LÄN</t>
        </is>
      </c>
      <c r="E1259" t="inlineStr">
        <is>
          <t>SKELLEFTEÅ</t>
        </is>
      </c>
      <c r="G1259" t="n">
        <v>2</v>
      </c>
      <c r="H1259" t="n">
        <v>0</v>
      </c>
      <c r="I1259" t="n">
        <v>0</v>
      </c>
      <c r="J1259" t="n">
        <v>0</v>
      </c>
      <c r="K1259" t="n">
        <v>0</v>
      </c>
      <c r="L1259" t="n">
        <v>0</v>
      </c>
      <c r="M1259" t="n">
        <v>0</v>
      </c>
      <c r="N1259" t="n">
        <v>0</v>
      </c>
      <c r="O1259" t="n">
        <v>0</v>
      </c>
      <c r="P1259" t="n">
        <v>0</v>
      </c>
      <c r="Q1259" t="n">
        <v>0</v>
      </c>
      <c r="R1259" s="2" t="inlineStr"/>
    </row>
    <row r="1260" ht="15" customHeight="1">
      <c r="A1260" t="inlineStr">
        <is>
          <t>A 27637-2022</t>
        </is>
      </c>
      <c r="B1260" s="1" t="n">
        <v>44743</v>
      </c>
      <c r="C1260" s="1" t="n">
        <v>45192</v>
      </c>
      <c r="D1260" t="inlineStr">
        <is>
          <t>VÄSTERBOTTENS LÄN</t>
        </is>
      </c>
      <c r="E1260" t="inlineStr">
        <is>
          <t>SKELLEFTEÅ</t>
        </is>
      </c>
      <c r="G1260" t="n">
        <v>5.4</v>
      </c>
      <c r="H1260" t="n">
        <v>0</v>
      </c>
      <c r="I1260" t="n">
        <v>0</v>
      </c>
      <c r="J1260" t="n">
        <v>0</v>
      </c>
      <c r="K1260" t="n">
        <v>0</v>
      </c>
      <c r="L1260" t="n">
        <v>0</v>
      </c>
      <c r="M1260" t="n">
        <v>0</v>
      </c>
      <c r="N1260" t="n">
        <v>0</v>
      </c>
      <c r="O1260" t="n">
        <v>0</v>
      </c>
      <c r="P1260" t="n">
        <v>0</v>
      </c>
      <c r="Q1260" t="n">
        <v>0</v>
      </c>
      <c r="R1260" s="2" t="inlineStr"/>
    </row>
    <row r="1261" ht="15" customHeight="1">
      <c r="A1261" t="inlineStr">
        <is>
          <t>A 27817-2022</t>
        </is>
      </c>
      <c r="B1261" s="1" t="n">
        <v>44743</v>
      </c>
      <c r="C1261" s="1" t="n">
        <v>45192</v>
      </c>
      <c r="D1261" t="inlineStr">
        <is>
          <t>VÄSTERBOTTENS LÄN</t>
        </is>
      </c>
      <c r="E1261" t="inlineStr">
        <is>
          <t>SKELLEFTEÅ</t>
        </is>
      </c>
      <c r="G1261" t="n">
        <v>1.3</v>
      </c>
      <c r="H1261" t="n">
        <v>0</v>
      </c>
      <c r="I1261" t="n">
        <v>0</v>
      </c>
      <c r="J1261" t="n">
        <v>0</v>
      </c>
      <c r="K1261" t="n">
        <v>0</v>
      </c>
      <c r="L1261" t="n">
        <v>0</v>
      </c>
      <c r="M1261" t="n">
        <v>0</v>
      </c>
      <c r="N1261" t="n">
        <v>0</v>
      </c>
      <c r="O1261" t="n">
        <v>0</v>
      </c>
      <c r="P1261" t="n">
        <v>0</v>
      </c>
      <c r="Q1261" t="n">
        <v>0</v>
      </c>
      <c r="R1261" s="2" t="inlineStr"/>
    </row>
    <row r="1262" ht="15" customHeight="1">
      <c r="A1262" t="inlineStr">
        <is>
          <t>A 28374-2022</t>
        </is>
      </c>
      <c r="B1262" s="1" t="n">
        <v>44747</v>
      </c>
      <c r="C1262" s="1" t="n">
        <v>45192</v>
      </c>
      <c r="D1262" t="inlineStr">
        <is>
          <t>VÄSTERBOTTENS LÄN</t>
        </is>
      </c>
      <c r="E1262" t="inlineStr">
        <is>
          <t>SKELLEFTEÅ</t>
        </is>
      </c>
      <c r="G1262" t="n">
        <v>3.8</v>
      </c>
      <c r="H1262" t="n">
        <v>0</v>
      </c>
      <c r="I1262" t="n">
        <v>0</v>
      </c>
      <c r="J1262" t="n">
        <v>0</v>
      </c>
      <c r="K1262" t="n">
        <v>0</v>
      </c>
      <c r="L1262" t="n">
        <v>0</v>
      </c>
      <c r="M1262" t="n">
        <v>0</v>
      </c>
      <c r="N1262" t="n">
        <v>0</v>
      </c>
      <c r="O1262" t="n">
        <v>0</v>
      </c>
      <c r="P1262" t="n">
        <v>0</v>
      </c>
      <c r="Q1262" t="n">
        <v>0</v>
      </c>
      <c r="R1262" s="2" t="inlineStr"/>
    </row>
    <row r="1263" ht="15" customHeight="1">
      <c r="A1263" t="inlineStr">
        <is>
          <t>A 28360-2022</t>
        </is>
      </c>
      <c r="B1263" s="1" t="n">
        <v>44747</v>
      </c>
      <c r="C1263" s="1" t="n">
        <v>45192</v>
      </c>
      <c r="D1263" t="inlineStr">
        <is>
          <t>VÄSTERBOTTENS LÄN</t>
        </is>
      </c>
      <c r="E1263" t="inlineStr">
        <is>
          <t>SKELLEFTEÅ</t>
        </is>
      </c>
      <c r="G1263" t="n">
        <v>8</v>
      </c>
      <c r="H1263" t="n">
        <v>0</v>
      </c>
      <c r="I1263" t="n">
        <v>0</v>
      </c>
      <c r="J1263" t="n">
        <v>0</v>
      </c>
      <c r="K1263" t="n">
        <v>0</v>
      </c>
      <c r="L1263" t="n">
        <v>0</v>
      </c>
      <c r="M1263" t="n">
        <v>0</v>
      </c>
      <c r="N1263" t="n">
        <v>0</v>
      </c>
      <c r="O1263" t="n">
        <v>0</v>
      </c>
      <c r="P1263" t="n">
        <v>0</v>
      </c>
      <c r="Q1263" t="n">
        <v>0</v>
      </c>
      <c r="R1263" s="2" t="inlineStr"/>
    </row>
    <row r="1264" ht="15" customHeight="1">
      <c r="A1264" t="inlineStr">
        <is>
          <t>A 28352-2022</t>
        </is>
      </c>
      <c r="B1264" s="1" t="n">
        <v>44747</v>
      </c>
      <c r="C1264" s="1" t="n">
        <v>45192</v>
      </c>
      <c r="D1264" t="inlineStr">
        <is>
          <t>VÄSTERBOTTENS LÄN</t>
        </is>
      </c>
      <c r="E1264" t="inlineStr">
        <is>
          <t>SKELLEFTEÅ</t>
        </is>
      </c>
      <c r="F1264" t="inlineStr">
        <is>
          <t>Holmen skog AB</t>
        </is>
      </c>
      <c r="G1264" t="n">
        <v>21.1</v>
      </c>
      <c r="H1264" t="n">
        <v>0</v>
      </c>
      <c r="I1264" t="n">
        <v>0</v>
      </c>
      <c r="J1264" t="n">
        <v>0</v>
      </c>
      <c r="K1264" t="n">
        <v>0</v>
      </c>
      <c r="L1264" t="n">
        <v>0</v>
      </c>
      <c r="M1264" t="n">
        <v>0</v>
      </c>
      <c r="N1264" t="n">
        <v>0</v>
      </c>
      <c r="O1264" t="n">
        <v>0</v>
      </c>
      <c r="P1264" t="n">
        <v>0</v>
      </c>
      <c r="Q1264" t="n">
        <v>0</v>
      </c>
      <c r="R1264" s="2" t="inlineStr"/>
    </row>
    <row r="1265" ht="15" customHeight="1">
      <c r="A1265" t="inlineStr">
        <is>
          <t>A 29030-2022</t>
        </is>
      </c>
      <c r="B1265" s="1" t="n">
        <v>44749</v>
      </c>
      <c r="C1265" s="1" t="n">
        <v>45192</v>
      </c>
      <c r="D1265" t="inlineStr">
        <is>
          <t>VÄSTERBOTTENS LÄN</t>
        </is>
      </c>
      <c r="E1265" t="inlineStr">
        <is>
          <t>SKELLEFTEÅ</t>
        </is>
      </c>
      <c r="G1265" t="n">
        <v>14</v>
      </c>
      <c r="H1265" t="n">
        <v>0</v>
      </c>
      <c r="I1265" t="n">
        <v>0</v>
      </c>
      <c r="J1265" t="n">
        <v>0</v>
      </c>
      <c r="K1265" t="n">
        <v>0</v>
      </c>
      <c r="L1265" t="n">
        <v>0</v>
      </c>
      <c r="M1265" t="n">
        <v>0</v>
      </c>
      <c r="N1265" t="n">
        <v>0</v>
      </c>
      <c r="O1265" t="n">
        <v>0</v>
      </c>
      <c r="P1265" t="n">
        <v>0</v>
      </c>
      <c r="Q1265" t="n">
        <v>0</v>
      </c>
      <c r="R1265" s="2" t="inlineStr"/>
    </row>
    <row r="1266" ht="15" customHeight="1">
      <c r="A1266" t="inlineStr">
        <is>
          <t>A 29028-2022</t>
        </is>
      </c>
      <c r="B1266" s="1" t="n">
        <v>44749</v>
      </c>
      <c r="C1266" s="1" t="n">
        <v>45192</v>
      </c>
      <c r="D1266" t="inlineStr">
        <is>
          <t>VÄSTERBOTTENS LÄN</t>
        </is>
      </c>
      <c r="E1266" t="inlineStr">
        <is>
          <t>SKELLEFTEÅ</t>
        </is>
      </c>
      <c r="G1266" t="n">
        <v>1.4</v>
      </c>
      <c r="H1266" t="n">
        <v>0</v>
      </c>
      <c r="I1266" t="n">
        <v>0</v>
      </c>
      <c r="J1266" t="n">
        <v>0</v>
      </c>
      <c r="K1266" t="n">
        <v>0</v>
      </c>
      <c r="L1266" t="n">
        <v>0</v>
      </c>
      <c r="M1266" t="n">
        <v>0</v>
      </c>
      <c r="N1266" t="n">
        <v>0</v>
      </c>
      <c r="O1266" t="n">
        <v>0</v>
      </c>
      <c r="P1266" t="n">
        <v>0</v>
      </c>
      <c r="Q1266" t="n">
        <v>0</v>
      </c>
      <c r="R1266" s="2" t="inlineStr"/>
    </row>
    <row r="1267" ht="15" customHeight="1">
      <c r="A1267" t="inlineStr">
        <is>
          <t>A 29029-2022</t>
        </is>
      </c>
      <c r="B1267" s="1" t="n">
        <v>44749</v>
      </c>
      <c r="C1267" s="1" t="n">
        <v>45192</v>
      </c>
      <c r="D1267" t="inlineStr">
        <is>
          <t>VÄSTERBOTTENS LÄN</t>
        </is>
      </c>
      <c r="E1267" t="inlineStr">
        <is>
          <t>SKELLEFTEÅ</t>
        </is>
      </c>
      <c r="G1267" t="n">
        <v>0.7</v>
      </c>
      <c r="H1267" t="n">
        <v>0</v>
      </c>
      <c r="I1267" t="n">
        <v>0</v>
      </c>
      <c r="J1267" t="n">
        <v>0</v>
      </c>
      <c r="K1267" t="n">
        <v>0</v>
      </c>
      <c r="L1267" t="n">
        <v>0</v>
      </c>
      <c r="M1267" t="n">
        <v>0</v>
      </c>
      <c r="N1267" t="n">
        <v>0</v>
      </c>
      <c r="O1267" t="n">
        <v>0</v>
      </c>
      <c r="P1267" t="n">
        <v>0</v>
      </c>
      <c r="Q1267" t="n">
        <v>0</v>
      </c>
      <c r="R1267" s="2" t="inlineStr"/>
    </row>
    <row r="1268" ht="15" customHeight="1">
      <c r="A1268" t="inlineStr">
        <is>
          <t>A 29085-2022</t>
        </is>
      </c>
      <c r="B1268" s="1" t="n">
        <v>44749</v>
      </c>
      <c r="C1268" s="1" t="n">
        <v>45192</v>
      </c>
      <c r="D1268" t="inlineStr">
        <is>
          <t>VÄSTERBOTTENS LÄN</t>
        </is>
      </c>
      <c r="E1268" t="inlineStr">
        <is>
          <t>SKELLEFTEÅ</t>
        </is>
      </c>
      <c r="G1268" t="n">
        <v>3.2</v>
      </c>
      <c r="H1268" t="n">
        <v>0</v>
      </c>
      <c r="I1268" t="n">
        <v>0</v>
      </c>
      <c r="J1268" t="n">
        <v>0</v>
      </c>
      <c r="K1268" t="n">
        <v>0</v>
      </c>
      <c r="L1268" t="n">
        <v>0</v>
      </c>
      <c r="M1268" t="n">
        <v>0</v>
      </c>
      <c r="N1268" t="n">
        <v>0</v>
      </c>
      <c r="O1268" t="n">
        <v>0</v>
      </c>
      <c r="P1268" t="n">
        <v>0</v>
      </c>
      <c r="Q1268" t="n">
        <v>0</v>
      </c>
      <c r="R1268" s="2" t="inlineStr"/>
    </row>
    <row r="1269" ht="15" customHeight="1">
      <c r="A1269" t="inlineStr">
        <is>
          <t>A 29092-2022</t>
        </is>
      </c>
      <c r="B1269" s="1" t="n">
        <v>44750</v>
      </c>
      <c r="C1269" s="1" t="n">
        <v>45192</v>
      </c>
      <c r="D1269" t="inlineStr">
        <is>
          <t>VÄSTERBOTTENS LÄN</t>
        </is>
      </c>
      <c r="E1269" t="inlineStr">
        <is>
          <t>SKELLEFTEÅ</t>
        </is>
      </c>
      <c r="G1269" t="n">
        <v>1.5</v>
      </c>
      <c r="H1269" t="n">
        <v>0</v>
      </c>
      <c r="I1269" t="n">
        <v>0</v>
      </c>
      <c r="J1269" t="n">
        <v>0</v>
      </c>
      <c r="K1269" t="n">
        <v>0</v>
      </c>
      <c r="L1269" t="n">
        <v>0</v>
      </c>
      <c r="M1269" t="n">
        <v>0</v>
      </c>
      <c r="N1269" t="n">
        <v>0</v>
      </c>
      <c r="O1269" t="n">
        <v>0</v>
      </c>
      <c r="P1269" t="n">
        <v>0</v>
      </c>
      <c r="Q1269" t="n">
        <v>0</v>
      </c>
      <c r="R1269" s="2" t="inlineStr"/>
    </row>
    <row r="1270" ht="15" customHeight="1">
      <c r="A1270" t="inlineStr">
        <is>
          <t>A 29802-2022</t>
        </is>
      </c>
      <c r="B1270" s="1" t="n">
        <v>44755</v>
      </c>
      <c r="C1270" s="1" t="n">
        <v>45192</v>
      </c>
      <c r="D1270" t="inlineStr">
        <is>
          <t>VÄSTERBOTTENS LÄN</t>
        </is>
      </c>
      <c r="E1270" t="inlineStr">
        <is>
          <t>SKELLEFTEÅ</t>
        </is>
      </c>
      <c r="G1270" t="n">
        <v>4.3</v>
      </c>
      <c r="H1270" t="n">
        <v>0</v>
      </c>
      <c r="I1270" t="n">
        <v>0</v>
      </c>
      <c r="J1270" t="n">
        <v>0</v>
      </c>
      <c r="K1270" t="n">
        <v>0</v>
      </c>
      <c r="L1270" t="n">
        <v>0</v>
      </c>
      <c r="M1270" t="n">
        <v>0</v>
      </c>
      <c r="N1270" t="n">
        <v>0</v>
      </c>
      <c r="O1270" t="n">
        <v>0</v>
      </c>
      <c r="P1270" t="n">
        <v>0</v>
      </c>
      <c r="Q1270" t="n">
        <v>0</v>
      </c>
      <c r="R1270" s="2" t="inlineStr"/>
    </row>
    <row r="1271" ht="15" customHeight="1">
      <c r="A1271" t="inlineStr">
        <is>
          <t>A 30278-2022</t>
        </is>
      </c>
      <c r="B1271" s="1" t="n">
        <v>44759</v>
      </c>
      <c r="C1271" s="1" t="n">
        <v>45192</v>
      </c>
      <c r="D1271" t="inlineStr">
        <is>
          <t>VÄSTERBOTTENS LÄN</t>
        </is>
      </c>
      <c r="E1271" t="inlineStr">
        <is>
          <t>SKELLEFTEÅ</t>
        </is>
      </c>
      <c r="G1271" t="n">
        <v>2.2</v>
      </c>
      <c r="H1271" t="n">
        <v>0</v>
      </c>
      <c r="I1271" t="n">
        <v>0</v>
      </c>
      <c r="J1271" t="n">
        <v>0</v>
      </c>
      <c r="K1271" t="n">
        <v>0</v>
      </c>
      <c r="L1271" t="n">
        <v>0</v>
      </c>
      <c r="M1271" t="n">
        <v>0</v>
      </c>
      <c r="N1271" t="n">
        <v>0</v>
      </c>
      <c r="O1271" t="n">
        <v>0</v>
      </c>
      <c r="P1271" t="n">
        <v>0</v>
      </c>
      <c r="Q1271" t="n">
        <v>0</v>
      </c>
      <c r="R1271" s="2" t="inlineStr"/>
    </row>
    <row r="1272" ht="15" customHeight="1">
      <c r="A1272" t="inlineStr">
        <is>
          <t>A 31891-2022</t>
        </is>
      </c>
      <c r="B1272" s="1" t="n">
        <v>44777</v>
      </c>
      <c r="C1272" s="1" t="n">
        <v>45192</v>
      </c>
      <c r="D1272" t="inlineStr">
        <is>
          <t>VÄSTERBOTTENS LÄN</t>
        </is>
      </c>
      <c r="E1272" t="inlineStr">
        <is>
          <t>SKELLEFTEÅ</t>
        </is>
      </c>
      <c r="F1272" t="inlineStr">
        <is>
          <t>Holmen skog AB</t>
        </is>
      </c>
      <c r="G1272" t="n">
        <v>7</v>
      </c>
      <c r="H1272" t="n">
        <v>0</v>
      </c>
      <c r="I1272" t="n">
        <v>0</v>
      </c>
      <c r="J1272" t="n">
        <v>0</v>
      </c>
      <c r="K1272" t="n">
        <v>0</v>
      </c>
      <c r="L1272" t="n">
        <v>0</v>
      </c>
      <c r="M1272" t="n">
        <v>0</v>
      </c>
      <c r="N1272" t="n">
        <v>0</v>
      </c>
      <c r="O1272" t="n">
        <v>0</v>
      </c>
      <c r="P1272" t="n">
        <v>0</v>
      </c>
      <c r="Q1272" t="n">
        <v>0</v>
      </c>
      <c r="R1272" s="2" t="inlineStr"/>
    </row>
    <row r="1273" ht="15" customHeight="1">
      <c r="A1273" t="inlineStr">
        <is>
          <t>A 32244-2022</t>
        </is>
      </c>
      <c r="B1273" s="1" t="n">
        <v>44781</v>
      </c>
      <c r="C1273" s="1" t="n">
        <v>45192</v>
      </c>
      <c r="D1273" t="inlineStr">
        <is>
          <t>VÄSTERBOTTENS LÄN</t>
        </is>
      </c>
      <c r="E1273" t="inlineStr">
        <is>
          <t>SKELLEFTEÅ</t>
        </is>
      </c>
      <c r="F1273" t="inlineStr">
        <is>
          <t>Holmen skog AB</t>
        </is>
      </c>
      <c r="G1273" t="n">
        <v>7</v>
      </c>
      <c r="H1273" t="n">
        <v>0</v>
      </c>
      <c r="I1273" t="n">
        <v>0</v>
      </c>
      <c r="J1273" t="n">
        <v>0</v>
      </c>
      <c r="K1273" t="n">
        <v>0</v>
      </c>
      <c r="L1273" t="n">
        <v>0</v>
      </c>
      <c r="M1273" t="n">
        <v>0</v>
      </c>
      <c r="N1273" t="n">
        <v>0</v>
      </c>
      <c r="O1273" t="n">
        <v>0</v>
      </c>
      <c r="P1273" t="n">
        <v>0</v>
      </c>
      <c r="Q1273" t="n">
        <v>0</v>
      </c>
      <c r="R1273" s="2" t="inlineStr"/>
    </row>
    <row r="1274" ht="15" customHeight="1">
      <c r="A1274" t="inlineStr">
        <is>
          <t>A 32279-2022</t>
        </is>
      </c>
      <c r="B1274" s="1" t="n">
        <v>44781</v>
      </c>
      <c r="C1274" s="1" t="n">
        <v>45192</v>
      </c>
      <c r="D1274" t="inlineStr">
        <is>
          <t>VÄSTERBOTTENS LÄN</t>
        </is>
      </c>
      <c r="E1274" t="inlineStr">
        <is>
          <t>SKELLEFTEÅ</t>
        </is>
      </c>
      <c r="G1274" t="n">
        <v>2</v>
      </c>
      <c r="H1274" t="n">
        <v>0</v>
      </c>
      <c r="I1274" t="n">
        <v>0</v>
      </c>
      <c r="J1274" t="n">
        <v>0</v>
      </c>
      <c r="K1274" t="n">
        <v>0</v>
      </c>
      <c r="L1274" t="n">
        <v>0</v>
      </c>
      <c r="M1274" t="n">
        <v>0</v>
      </c>
      <c r="N1274" t="n">
        <v>0</v>
      </c>
      <c r="O1274" t="n">
        <v>0</v>
      </c>
      <c r="P1274" t="n">
        <v>0</v>
      </c>
      <c r="Q1274" t="n">
        <v>0</v>
      </c>
      <c r="R1274" s="2" t="inlineStr"/>
    </row>
    <row r="1275" ht="15" customHeight="1">
      <c r="A1275" t="inlineStr">
        <is>
          <t>A 32173-2022</t>
        </is>
      </c>
      <c r="B1275" s="1" t="n">
        <v>44781</v>
      </c>
      <c r="C1275" s="1" t="n">
        <v>45192</v>
      </c>
      <c r="D1275" t="inlineStr">
        <is>
          <t>VÄSTERBOTTENS LÄN</t>
        </is>
      </c>
      <c r="E1275" t="inlineStr">
        <is>
          <t>SKELLEFTEÅ</t>
        </is>
      </c>
      <c r="F1275" t="inlineStr">
        <is>
          <t>Kommuner</t>
        </is>
      </c>
      <c r="G1275" t="n">
        <v>18.6</v>
      </c>
      <c r="H1275" t="n">
        <v>0</v>
      </c>
      <c r="I1275" t="n">
        <v>0</v>
      </c>
      <c r="J1275" t="n">
        <v>0</v>
      </c>
      <c r="K1275" t="n">
        <v>0</v>
      </c>
      <c r="L1275" t="n">
        <v>0</v>
      </c>
      <c r="M1275" t="n">
        <v>0</v>
      </c>
      <c r="N1275" t="n">
        <v>0</v>
      </c>
      <c r="O1275" t="n">
        <v>0</v>
      </c>
      <c r="P1275" t="n">
        <v>0</v>
      </c>
      <c r="Q1275" t="n">
        <v>0</v>
      </c>
      <c r="R1275" s="2" t="inlineStr"/>
    </row>
    <row r="1276" ht="15" customHeight="1">
      <c r="A1276" t="inlineStr">
        <is>
          <t>A 32427-2022</t>
        </is>
      </c>
      <c r="B1276" s="1" t="n">
        <v>44782</v>
      </c>
      <c r="C1276" s="1" t="n">
        <v>45192</v>
      </c>
      <c r="D1276" t="inlineStr">
        <is>
          <t>VÄSTERBOTTENS LÄN</t>
        </is>
      </c>
      <c r="E1276" t="inlineStr">
        <is>
          <t>SKELLEFTEÅ</t>
        </is>
      </c>
      <c r="F1276" t="inlineStr">
        <is>
          <t>Kommuner</t>
        </is>
      </c>
      <c r="G1276" t="n">
        <v>7.9</v>
      </c>
      <c r="H1276" t="n">
        <v>0</v>
      </c>
      <c r="I1276" t="n">
        <v>0</v>
      </c>
      <c r="J1276" t="n">
        <v>0</v>
      </c>
      <c r="K1276" t="n">
        <v>0</v>
      </c>
      <c r="L1276" t="n">
        <v>0</v>
      </c>
      <c r="M1276" t="n">
        <v>0</v>
      </c>
      <c r="N1276" t="n">
        <v>0</v>
      </c>
      <c r="O1276" t="n">
        <v>0</v>
      </c>
      <c r="P1276" t="n">
        <v>0</v>
      </c>
      <c r="Q1276" t="n">
        <v>0</v>
      </c>
      <c r="R1276" s="2" t="inlineStr"/>
    </row>
    <row r="1277" ht="15" customHeight="1">
      <c r="A1277" t="inlineStr">
        <is>
          <t>A 32436-2022</t>
        </is>
      </c>
      <c r="B1277" s="1" t="n">
        <v>44782</v>
      </c>
      <c r="C1277" s="1" t="n">
        <v>45192</v>
      </c>
      <c r="D1277" t="inlineStr">
        <is>
          <t>VÄSTERBOTTENS LÄN</t>
        </is>
      </c>
      <c r="E1277" t="inlineStr">
        <is>
          <t>SKELLEFTEÅ</t>
        </is>
      </c>
      <c r="G1277" t="n">
        <v>2.3</v>
      </c>
      <c r="H1277" t="n">
        <v>0</v>
      </c>
      <c r="I1277" t="n">
        <v>0</v>
      </c>
      <c r="J1277" t="n">
        <v>0</v>
      </c>
      <c r="K1277" t="n">
        <v>0</v>
      </c>
      <c r="L1277" t="n">
        <v>0</v>
      </c>
      <c r="M1277" t="n">
        <v>0</v>
      </c>
      <c r="N1277" t="n">
        <v>0</v>
      </c>
      <c r="O1277" t="n">
        <v>0</v>
      </c>
      <c r="P1277" t="n">
        <v>0</v>
      </c>
      <c r="Q1277" t="n">
        <v>0</v>
      </c>
      <c r="R1277" s="2" t="inlineStr"/>
    </row>
    <row r="1278" ht="15" customHeight="1">
      <c r="A1278" t="inlineStr">
        <is>
          <t>A 32415-2022</t>
        </is>
      </c>
      <c r="B1278" s="1" t="n">
        <v>44782</v>
      </c>
      <c r="C1278" s="1" t="n">
        <v>45192</v>
      </c>
      <c r="D1278" t="inlineStr">
        <is>
          <t>VÄSTERBOTTENS LÄN</t>
        </is>
      </c>
      <c r="E1278" t="inlineStr">
        <is>
          <t>SKELLEFTEÅ</t>
        </is>
      </c>
      <c r="F1278" t="inlineStr">
        <is>
          <t>Kommuner</t>
        </is>
      </c>
      <c r="G1278" t="n">
        <v>4.5</v>
      </c>
      <c r="H1278" t="n">
        <v>0</v>
      </c>
      <c r="I1278" t="n">
        <v>0</v>
      </c>
      <c r="J1278" t="n">
        <v>0</v>
      </c>
      <c r="K1278" t="n">
        <v>0</v>
      </c>
      <c r="L1278" t="n">
        <v>0</v>
      </c>
      <c r="M1278" t="n">
        <v>0</v>
      </c>
      <c r="N1278" t="n">
        <v>0</v>
      </c>
      <c r="O1278" t="n">
        <v>0</v>
      </c>
      <c r="P1278" t="n">
        <v>0</v>
      </c>
      <c r="Q1278" t="n">
        <v>0</v>
      </c>
      <c r="R1278" s="2" t="inlineStr"/>
    </row>
    <row r="1279" ht="15" customHeight="1">
      <c r="A1279" t="inlineStr">
        <is>
          <t>A 32420-2022</t>
        </is>
      </c>
      <c r="B1279" s="1" t="n">
        <v>44782</v>
      </c>
      <c r="C1279" s="1" t="n">
        <v>45192</v>
      </c>
      <c r="D1279" t="inlineStr">
        <is>
          <t>VÄSTERBOTTENS LÄN</t>
        </is>
      </c>
      <c r="E1279" t="inlineStr">
        <is>
          <t>SKELLEFTEÅ</t>
        </is>
      </c>
      <c r="F1279" t="inlineStr">
        <is>
          <t>Kommuner</t>
        </is>
      </c>
      <c r="G1279" t="n">
        <v>1.3</v>
      </c>
      <c r="H1279" t="n">
        <v>0</v>
      </c>
      <c r="I1279" t="n">
        <v>0</v>
      </c>
      <c r="J1279" t="n">
        <v>0</v>
      </c>
      <c r="K1279" t="n">
        <v>0</v>
      </c>
      <c r="L1279" t="n">
        <v>0</v>
      </c>
      <c r="M1279" t="n">
        <v>0</v>
      </c>
      <c r="N1279" t="n">
        <v>0</v>
      </c>
      <c r="O1279" t="n">
        <v>0</v>
      </c>
      <c r="P1279" t="n">
        <v>0</v>
      </c>
      <c r="Q1279" t="n">
        <v>0</v>
      </c>
      <c r="R1279" s="2" t="inlineStr"/>
    </row>
    <row r="1280" ht="15" customHeight="1">
      <c r="A1280" t="inlineStr">
        <is>
          <t>A 32434-2022</t>
        </is>
      </c>
      <c r="B1280" s="1" t="n">
        <v>44782</v>
      </c>
      <c r="C1280" s="1" t="n">
        <v>45192</v>
      </c>
      <c r="D1280" t="inlineStr">
        <is>
          <t>VÄSTERBOTTENS LÄN</t>
        </is>
      </c>
      <c r="E1280" t="inlineStr">
        <is>
          <t>SKELLEFTEÅ</t>
        </is>
      </c>
      <c r="G1280" t="n">
        <v>12.3</v>
      </c>
      <c r="H1280" t="n">
        <v>0</v>
      </c>
      <c r="I1280" t="n">
        <v>0</v>
      </c>
      <c r="J1280" t="n">
        <v>0</v>
      </c>
      <c r="K1280" t="n">
        <v>0</v>
      </c>
      <c r="L1280" t="n">
        <v>0</v>
      </c>
      <c r="M1280" t="n">
        <v>0</v>
      </c>
      <c r="N1280" t="n">
        <v>0</v>
      </c>
      <c r="O1280" t="n">
        <v>0</v>
      </c>
      <c r="P1280" t="n">
        <v>0</v>
      </c>
      <c r="Q1280" t="n">
        <v>0</v>
      </c>
      <c r="R1280" s="2" t="inlineStr"/>
    </row>
    <row r="1281" ht="15" customHeight="1">
      <c r="A1281" t="inlineStr">
        <is>
          <t>A 32984-2022</t>
        </is>
      </c>
      <c r="B1281" s="1" t="n">
        <v>44784</v>
      </c>
      <c r="C1281" s="1" t="n">
        <v>45192</v>
      </c>
      <c r="D1281" t="inlineStr">
        <is>
          <t>VÄSTERBOTTENS LÄN</t>
        </is>
      </c>
      <c r="E1281" t="inlineStr">
        <is>
          <t>SKELLEFTEÅ</t>
        </is>
      </c>
      <c r="F1281" t="inlineStr">
        <is>
          <t>SCA</t>
        </is>
      </c>
      <c r="G1281" t="n">
        <v>5.6</v>
      </c>
      <c r="H1281" t="n">
        <v>0</v>
      </c>
      <c r="I1281" t="n">
        <v>0</v>
      </c>
      <c r="J1281" t="n">
        <v>0</v>
      </c>
      <c r="K1281" t="n">
        <v>0</v>
      </c>
      <c r="L1281" t="n">
        <v>0</v>
      </c>
      <c r="M1281" t="n">
        <v>0</v>
      </c>
      <c r="N1281" t="n">
        <v>0</v>
      </c>
      <c r="O1281" t="n">
        <v>0</v>
      </c>
      <c r="P1281" t="n">
        <v>0</v>
      </c>
      <c r="Q1281" t="n">
        <v>0</v>
      </c>
      <c r="R1281" s="2" t="inlineStr"/>
    </row>
    <row r="1282" ht="15" customHeight="1">
      <c r="A1282" t="inlineStr">
        <is>
          <t>A 33629-2022</t>
        </is>
      </c>
      <c r="B1282" s="1" t="n">
        <v>44789</v>
      </c>
      <c r="C1282" s="1" t="n">
        <v>45192</v>
      </c>
      <c r="D1282" t="inlineStr">
        <is>
          <t>VÄSTERBOTTENS LÄN</t>
        </is>
      </c>
      <c r="E1282" t="inlineStr">
        <is>
          <t>SKELLEFTEÅ</t>
        </is>
      </c>
      <c r="G1282" t="n">
        <v>8.1</v>
      </c>
      <c r="H1282" t="n">
        <v>0</v>
      </c>
      <c r="I1282" t="n">
        <v>0</v>
      </c>
      <c r="J1282" t="n">
        <v>0</v>
      </c>
      <c r="K1282" t="n">
        <v>0</v>
      </c>
      <c r="L1282" t="n">
        <v>0</v>
      </c>
      <c r="M1282" t="n">
        <v>0</v>
      </c>
      <c r="N1282" t="n">
        <v>0</v>
      </c>
      <c r="O1282" t="n">
        <v>0</v>
      </c>
      <c r="P1282" t="n">
        <v>0</v>
      </c>
      <c r="Q1282" t="n">
        <v>0</v>
      </c>
      <c r="R1282" s="2" t="inlineStr"/>
    </row>
    <row r="1283" ht="15" customHeight="1">
      <c r="A1283" t="inlineStr">
        <is>
          <t>A 34094-2022</t>
        </is>
      </c>
      <c r="B1283" s="1" t="n">
        <v>44791</v>
      </c>
      <c r="C1283" s="1" t="n">
        <v>45192</v>
      </c>
      <c r="D1283" t="inlineStr">
        <is>
          <t>VÄSTERBOTTENS LÄN</t>
        </is>
      </c>
      <c r="E1283" t="inlineStr">
        <is>
          <t>SKELLEFTEÅ</t>
        </is>
      </c>
      <c r="G1283" t="n">
        <v>1.7</v>
      </c>
      <c r="H1283" t="n">
        <v>0</v>
      </c>
      <c r="I1283" t="n">
        <v>0</v>
      </c>
      <c r="J1283" t="n">
        <v>0</v>
      </c>
      <c r="K1283" t="n">
        <v>0</v>
      </c>
      <c r="L1283" t="n">
        <v>0</v>
      </c>
      <c r="M1283" t="n">
        <v>0</v>
      </c>
      <c r="N1283" t="n">
        <v>0</v>
      </c>
      <c r="O1283" t="n">
        <v>0</v>
      </c>
      <c r="P1283" t="n">
        <v>0</v>
      </c>
      <c r="Q1283" t="n">
        <v>0</v>
      </c>
      <c r="R1283" s="2" t="inlineStr"/>
    </row>
    <row r="1284" ht="15" customHeight="1">
      <c r="A1284" t="inlineStr">
        <is>
          <t>A 34104-2022</t>
        </is>
      </c>
      <c r="B1284" s="1" t="n">
        <v>44791</v>
      </c>
      <c r="C1284" s="1" t="n">
        <v>45192</v>
      </c>
      <c r="D1284" t="inlineStr">
        <is>
          <t>VÄSTERBOTTENS LÄN</t>
        </is>
      </c>
      <c r="E1284" t="inlineStr">
        <is>
          <t>SKELLEFTEÅ</t>
        </is>
      </c>
      <c r="G1284" t="n">
        <v>0.9</v>
      </c>
      <c r="H1284" t="n">
        <v>0</v>
      </c>
      <c r="I1284" t="n">
        <v>0</v>
      </c>
      <c r="J1284" t="n">
        <v>0</v>
      </c>
      <c r="K1284" t="n">
        <v>0</v>
      </c>
      <c r="L1284" t="n">
        <v>0</v>
      </c>
      <c r="M1284" t="n">
        <v>0</v>
      </c>
      <c r="N1284" t="n">
        <v>0</v>
      </c>
      <c r="O1284" t="n">
        <v>0</v>
      </c>
      <c r="P1284" t="n">
        <v>0</v>
      </c>
      <c r="Q1284" t="n">
        <v>0</v>
      </c>
      <c r="R1284" s="2" t="inlineStr"/>
    </row>
    <row r="1285" ht="15" customHeight="1">
      <c r="A1285" t="inlineStr">
        <is>
          <t>A 34082-2022</t>
        </is>
      </c>
      <c r="B1285" s="1" t="n">
        <v>44791</v>
      </c>
      <c r="C1285" s="1" t="n">
        <v>45192</v>
      </c>
      <c r="D1285" t="inlineStr">
        <is>
          <t>VÄSTERBOTTENS LÄN</t>
        </is>
      </c>
      <c r="E1285" t="inlineStr">
        <is>
          <t>SKELLEFTEÅ</t>
        </is>
      </c>
      <c r="G1285" t="n">
        <v>1.1</v>
      </c>
      <c r="H1285" t="n">
        <v>0</v>
      </c>
      <c r="I1285" t="n">
        <v>0</v>
      </c>
      <c r="J1285" t="n">
        <v>0</v>
      </c>
      <c r="K1285" t="n">
        <v>0</v>
      </c>
      <c r="L1285" t="n">
        <v>0</v>
      </c>
      <c r="M1285" t="n">
        <v>0</v>
      </c>
      <c r="N1285" t="n">
        <v>0</v>
      </c>
      <c r="O1285" t="n">
        <v>0</v>
      </c>
      <c r="P1285" t="n">
        <v>0</v>
      </c>
      <c r="Q1285" t="n">
        <v>0</v>
      </c>
      <c r="R1285" s="2" t="inlineStr"/>
    </row>
    <row r="1286" ht="15" customHeight="1">
      <c r="A1286" t="inlineStr">
        <is>
          <t>A 34639-2022</t>
        </is>
      </c>
      <c r="B1286" s="1" t="n">
        <v>44795</v>
      </c>
      <c r="C1286" s="1" t="n">
        <v>45192</v>
      </c>
      <c r="D1286" t="inlineStr">
        <is>
          <t>VÄSTERBOTTENS LÄN</t>
        </is>
      </c>
      <c r="E1286" t="inlineStr">
        <is>
          <t>SKELLEFTEÅ</t>
        </is>
      </c>
      <c r="G1286" t="n">
        <v>0.5</v>
      </c>
      <c r="H1286" t="n">
        <v>0</v>
      </c>
      <c r="I1286" t="n">
        <v>0</v>
      </c>
      <c r="J1286" t="n">
        <v>0</v>
      </c>
      <c r="K1286" t="n">
        <v>0</v>
      </c>
      <c r="L1286" t="n">
        <v>0</v>
      </c>
      <c r="M1286" t="n">
        <v>0</v>
      </c>
      <c r="N1286" t="n">
        <v>0</v>
      </c>
      <c r="O1286" t="n">
        <v>0</v>
      </c>
      <c r="P1286" t="n">
        <v>0</v>
      </c>
      <c r="Q1286" t="n">
        <v>0</v>
      </c>
      <c r="R1286" s="2" t="inlineStr"/>
    </row>
    <row r="1287" ht="15" customHeight="1">
      <c r="A1287" t="inlineStr">
        <is>
          <t>A 34895-2022</t>
        </is>
      </c>
      <c r="B1287" s="1" t="n">
        <v>44796</v>
      </c>
      <c r="C1287" s="1" t="n">
        <v>45192</v>
      </c>
      <c r="D1287" t="inlineStr">
        <is>
          <t>VÄSTERBOTTENS LÄN</t>
        </is>
      </c>
      <c r="E1287" t="inlineStr">
        <is>
          <t>SKELLEFTEÅ</t>
        </is>
      </c>
      <c r="G1287" t="n">
        <v>1</v>
      </c>
      <c r="H1287" t="n">
        <v>0</v>
      </c>
      <c r="I1287" t="n">
        <v>0</v>
      </c>
      <c r="J1287" t="n">
        <v>0</v>
      </c>
      <c r="K1287" t="n">
        <v>0</v>
      </c>
      <c r="L1287" t="n">
        <v>0</v>
      </c>
      <c r="M1287" t="n">
        <v>0</v>
      </c>
      <c r="N1287" t="n">
        <v>0</v>
      </c>
      <c r="O1287" t="n">
        <v>0</v>
      </c>
      <c r="P1287" t="n">
        <v>0</v>
      </c>
      <c r="Q1287" t="n">
        <v>0</v>
      </c>
      <c r="R1287" s="2" t="inlineStr"/>
    </row>
    <row r="1288" ht="15" customHeight="1">
      <c r="A1288" t="inlineStr">
        <is>
          <t>A 35119-2022</t>
        </is>
      </c>
      <c r="B1288" s="1" t="n">
        <v>44797</v>
      </c>
      <c r="C1288" s="1" t="n">
        <v>45192</v>
      </c>
      <c r="D1288" t="inlineStr">
        <is>
          <t>VÄSTERBOTTENS LÄN</t>
        </is>
      </c>
      <c r="E1288" t="inlineStr">
        <is>
          <t>SKELLEFTEÅ</t>
        </is>
      </c>
      <c r="G1288" t="n">
        <v>2.2</v>
      </c>
      <c r="H1288" t="n">
        <v>0</v>
      </c>
      <c r="I1288" t="n">
        <v>0</v>
      </c>
      <c r="J1288" t="n">
        <v>0</v>
      </c>
      <c r="K1288" t="n">
        <v>0</v>
      </c>
      <c r="L1288" t="n">
        <v>0</v>
      </c>
      <c r="M1288" t="n">
        <v>0</v>
      </c>
      <c r="N1288" t="n">
        <v>0</v>
      </c>
      <c r="O1288" t="n">
        <v>0</v>
      </c>
      <c r="P1288" t="n">
        <v>0</v>
      </c>
      <c r="Q1288" t="n">
        <v>0</v>
      </c>
      <c r="R1288" s="2" t="inlineStr"/>
    </row>
    <row r="1289" ht="15" customHeight="1">
      <c r="A1289" t="inlineStr">
        <is>
          <t>A 35189-2022</t>
        </is>
      </c>
      <c r="B1289" s="1" t="n">
        <v>44797</v>
      </c>
      <c r="C1289" s="1" t="n">
        <v>45192</v>
      </c>
      <c r="D1289" t="inlineStr">
        <is>
          <t>VÄSTERBOTTENS LÄN</t>
        </is>
      </c>
      <c r="E1289" t="inlineStr">
        <is>
          <t>SKELLEFTEÅ</t>
        </is>
      </c>
      <c r="F1289" t="inlineStr">
        <is>
          <t>Holmen skog AB</t>
        </is>
      </c>
      <c r="G1289" t="n">
        <v>3.5</v>
      </c>
      <c r="H1289" t="n">
        <v>0</v>
      </c>
      <c r="I1289" t="n">
        <v>0</v>
      </c>
      <c r="J1289" t="n">
        <v>0</v>
      </c>
      <c r="K1289" t="n">
        <v>0</v>
      </c>
      <c r="L1289" t="n">
        <v>0</v>
      </c>
      <c r="M1289" t="n">
        <v>0</v>
      </c>
      <c r="N1289" t="n">
        <v>0</v>
      </c>
      <c r="O1289" t="n">
        <v>0</v>
      </c>
      <c r="P1289" t="n">
        <v>0</v>
      </c>
      <c r="Q1289" t="n">
        <v>0</v>
      </c>
      <c r="R1289" s="2" t="inlineStr"/>
    </row>
    <row r="1290" ht="15" customHeight="1">
      <c r="A1290" t="inlineStr">
        <is>
          <t>A 35491-2022</t>
        </is>
      </c>
      <c r="B1290" s="1" t="n">
        <v>44798</v>
      </c>
      <c r="C1290" s="1" t="n">
        <v>45192</v>
      </c>
      <c r="D1290" t="inlineStr">
        <is>
          <t>VÄSTERBOTTENS LÄN</t>
        </is>
      </c>
      <c r="E1290" t="inlineStr">
        <is>
          <t>SKELLEFTEÅ</t>
        </is>
      </c>
      <c r="F1290" t="inlineStr">
        <is>
          <t>Sveaskog</t>
        </is>
      </c>
      <c r="G1290" t="n">
        <v>2.8</v>
      </c>
      <c r="H1290" t="n">
        <v>0</v>
      </c>
      <c r="I1290" t="n">
        <v>0</v>
      </c>
      <c r="J1290" t="n">
        <v>0</v>
      </c>
      <c r="K1290" t="n">
        <v>0</v>
      </c>
      <c r="L1290" t="n">
        <v>0</v>
      </c>
      <c r="M1290" t="n">
        <v>0</v>
      </c>
      <c r="N1290" t="n">
        <v>0</v>
      </c>
      <c r="O1290" t="n">
        <v>0</v>
      </c>
      <c r="P1290" t="n">
        <v>0</v>
      </c>
      <c r="Q1290" t="n">
        <v>0</v>
      </c>
      <c r="R1290" s="2" t="inlineStr"/>
    </row>
    <row r="1291" ht="15" customHeight="1">
      <c r="A1291" t="inlineStr">
        <is>
          <t>A 35609-2022</t>
        </is>
      </c>
      <c r="B1291" s="1" t="n">
        <v>44799</v>
      </c>
      <c r="C1291" s="1" t="n">
        <v>45192</v>
      </c>
      <c r="D1291" t="inlineStr">
        <is>
          <t>VÄSTERBOTTENS LÄN</t>
        </is>
      </c>
      <c r="E1291" t="inlineStr">
        <is>
          <t>SKELLEFTEÅ</t>
        </is>
      </c>
      <c r="F1291" t="inlineStr">
        <is>
          <t>Holmen skog AB</t>
        </is>
      </c>
      <c r="G1291" t="n">
        <v>4.2</v>
      </c>
      <c r="H1291" t="n">
        <v>0</v>
      </c>
      <c r="I1291" t="n">
        <v>0</v>
      </c>
      <c r="J1291" t="n">
        <v>0</v>
      </c>
      <c r="K1291" t="n">
        <v>0</v>
      </c>
      <c r="L1291" t="n">
        <v>0</v>
      </c>
      <c r="M1291" t="n">
        <v>0</v>
      </c>
      <c r="N1291" t="n">
        <v>0</v>
      </c>
      <c r="O1291" t="n">
        <v>0</v>
      </c>
      <c r="P1291" t="n">
        <v>0</v>
      </c>
      <c r="Q1291" t="n">
        <v>0</v>
      </c>
      <c r="R1291" s="2" t="inlineStr"/>
    </row>
    <row r="1292" ht="15" customHeight="1">
      <c r="A1292" t="inlineStr">
        <is>
          <t>A 35608-2022</t>
        </is>
      </c>
      <c r="B1292" s="1" t="n">
        <v>44799</v>
      </c>
      <c r="C1292" s="1" t="n">
        <v>45192</v>
      </c>
      <c r="D1292" t="inlineStr">
        <is>
          <t>VÄSTERBOTTENS LÄN</t>
        </is>
      </c>
      <c r="E1292" t="inlineStr">
        <is>
          <t>SKELLEFTEÅ</t>
        </is>
      </c>
      <c r="F1292" t="inlineStr">
        <is>
          <t>Sveaskog</t>
        </is>
      </c>
      <c r="G1292" t="n">
        <v>1.5</v>
      </c>
      <c r="H1292" t="n">
        <v>0</v>
      </c>
      <c r="I1292" t="n">
        <v>0</v>
      </c>
      <c r="J1292" t="n">
        <v>0</v>
      </c>
      <c r="K1292" t="n">
        <v>0</v>
      </c>
      <c r="L1292" t="n">
        <v>0</v>
      </c>
      <c r="M1292" t="n">
        <v>0</v>
      </c>
      <c r="N1292" t="n">
        <v>0</v>
      </c>
      <c r="O1292" t="n">
        <v>0</v>
      </c>
      <c r="P1292" t="n">
        <v>0</v>
      </c>
      <c r="Q1292" t="n">
        <v>0</v>
      </c>
      <c r="R1292" s="2" t="inlineStr"/>
    </row>
    <row r="1293" ht="15" customHeight="1">
      <c r="A1293" t="inlineStr">
        <is>
          <t>A 35635-2022</t>
        </is>
      </c>
      <c r="B1293" s="1" t="n">
        <v>44799</v>
      </c>
      <c r="C1293" s="1" t="n">
        <v>45192</v>
      </c>
      <c r="D1293" t="inlineStr">
        <is>
          <t>VÄSTERBOTTENS LÄN</t>
        </is>
      </c>
      <c r="E1293" t="inlineStr">
        <is>
          <t>SKELLEFTEÅ</t>
        </is>
      </c>
      <c r="F1293" t="inlineStr">
        <is>
          <t>Holmen skog AB</t>
        </is>
      </c>
      <c r="G1293" t="n">
        <v>15.6</v>
      </c>
      <c r="H1293" t="n">
        <v>0</v>
      </c>
      <c r="I1293" t="n">
        <v>0</v>
      </c>
      <c r="J1293" t="n">
        <v>0</v>
      </c>
      <c r="K1293" t="n">
        <v>0</v>
      </c>
      <c r="L1293" t="n">
        <v>0</v>
      </c>
      <c r="M1293" t="n">
        <v>0</v>
      </c>
      <c r="N1293" t="n">
        <v>0</v>
      </c>
      <c r="O1293" t="n">
        <v>0</v>
      </c>
      <c r="P1293" t="n">
        <v>0</v>
      </c>
      <c r="Q1293" t="n">
        <v>0</v>
      </c>
      <c r="R1293" s="2" t="inlineStr"/>
    </row>
    <row r="1294" ht="15" customHeight="1">
      <c r="A1294" t="inlineStr">
        <is>
          <t>A 35771-2022</t>
        </is>
      </c>
      <c r="B1294" s="1" t="n">
        <v>44801</v>
      </c>
      <c r="C1294" s="1" t="n">
        <v>45192</v>
      </c>
      <c r="D1294" t="inlineStr">
        <is>
          <t>VÄSTERBOTTENS LÄN</t>
        </is>
      </c>
      <c r="E1294" t="inlineStr">
        <is>
          <t>SKELLEFTEÅ</t>
        </is>
      </c>
      <c r="G1294" t="n">
        <v>1.7</v>
      </c>
      <c r="H1294" t="n">
        <v>0</v>
      </c>
      <c r="I1294" t="n">
        <v>0</v>
      </c>
      <c r="J1294" t="n">
        <v>0</v>
      </c>
      <c r="K1294" t="n">
        <v>0</v>
      </c>
      <c r="L1294" t="n">
        <v>0</v>
      </c>
      <c r="M1294" t="n">
        <v>0</v>
      </c>
      <c r="N1294" t="n">
        <v>0</v>
      </c>
      <c r="O1294" t="n">
        <v>0</v>
      </c>
      <c r="P1294" t="n">
        <v>0</v>
      </c>
      <c r="Q1294" t="n">
        <v>0</v>
      </c>
      <c r="R1294" s="2" t="inlineStr"/>
    </row>
    <row r="1295" ht="15" customHeight="1">
      <c r="A1295" t="inlineStr">
        <is>
          <t>A 36116-2022</t>
        </is>
      </c>
      <c r="B1295" s="1" t="n">
        <v>44802</v>
      </c>
      <c r="C1295" s="1" t="n">
        <v>45192</v>
      </c>
      <c r="D1295" t="inlineStr">
        <is>
          <t>VÄSTERBOTTENS LÄN</t>
        </is>
      </c>
      <c r="E1295" t="inlineStr">
        <is>
          <t>SKELLEFTEÅ</t>
        </is>
      </c>
      <c r="G1295" t="n">
        <v>19.9</v>
      </c>
      <c r="H1295" t="n">
        <v>0</v>
      </c>
      <c r="I1295" t="n">
        <v>0</v>
      </c>
      <c r="J1295" t="n">
        <v>0</v>
      </c>
      <c r="K1295" t="n">
        <v>0</v>
      </c>
      <c r="L1295" t="n">
        <v>0</v>
      </c>
      <c r="M1295" t="n">
        <v>0</v>
      </c>
      <c r="N1295" t="n">
        <v>0</v>
      </c>
      <c r="O1295" t="n">
        <v>0</v>
      </c>
      <c r="P1295" t="n">
        <v>0</v>
      </c>
      <c r="Q1295" t="n">
        <v>0</v>
      </c>
      <c r="R1295" s="2" t="inlineStr"/>
    </row>
    <row r="1296" ht="15" customHeight="1">
      <c r="A1296" t="inlineStr">
        <is>
          <t>A 35809-2022</t>
        </is>
      </c>
      <c r="B1296" s="1" t="n">
        <v>44802</v>
      </c>
      <c r="C1296" s="1" t="n">
        <v>45192</v>
      </c>
      <c r="D1296" t="inlineStr">
        <is>
          <t>VÄSTERBOTTENS LÄN</t>
        </is>
      </c>
      <c r="E1296" t="inlineStr">
        <is>
          <t>SKELLEFTEÅ</t>
        </is>
      </c>
      <c r="G1296" t="n">
        <v>4.2</v>
      </c>
      <c r="H1296" t="n">
        <v>0</v>
      </c>
      <c r="I1296" t="n">
        <v>0</v>
      </c>
      <c r="J1296" t="n">
        <v>0</v>
      </c>
      <c r="K1296" t="n">
        <v>0</v>
      </c>
      <c r="L1296" t="n">
        <v>0</v>
      </c>
      <c r="M1296" t="n">
        <v>0</v>
      </c>
      <c r="N1296" t="n">
        <v>0</v>
      </c>
      <c r="O1296" t="n">
        <v>0</v>
      </c>
      <c r="P1296" t="n">
        <v>0</v>
      </c>
      <c r="Q1296" t="n">
        <v>0</v>
      </c>
      <c r="R1296" s="2" t="inlineStr"/>
    </row>
    <row r="1297" ht="15" customHeight="1">
      <c r="A1297" t="inlineStr">
        <is>
          <t>A 36208-2022</t>
        </is>
      </c>
      <c r="B1297" s="1" t="n">
        <v>44803</v>
      </c>
      <c r="C1297" s="1" t="n">
        <v>45192</v>
      </c>
      <c r="D1297" t="inlineStr">
        <is>
          <t>VÄSTERBOTTENS LÄN</t>
        </is>
      </c>
      <c r="E1297" t="inlineStr">
        <is>
          <t>SKELLEFTEÅ</t>
        </is>
      </c>
      <c r="G1297" t="n">
        <v>0.9</v>
      </c>
      <c r="H1297" t="n">
        <v>0</v>
      </c>
      <c r="I1297" t="n">
        <v>0</v>
      </c>
      <c r="J1297" t="n">
        <v>0</v>
      </c>
      <c r="K1297" t="n">
        <v>0</v>
      </c>
      <c r="L1297" t="n">
        <v>0</v>
      </c>
      <c r="M1297" t="n">
        <v>0</v>
      </c>
      <c r="N1297" t="n">
        <v>0</v>
      </c>
      <c r="O1297" t="n">
        <v>0</v>
      </c>
      <c r="P1297" t="n">
        <v>0</v>
      </c>
      <c r="Q1297" t="n">
        <v>0</v>
      </c>
      <c r="R1297" s="2" t="inlineStr"/>
    </row>
    <row r="1298" ht="15" customHeight="1">
      <c r="A1298" t="inlineStr">
        <is>
          <t>A 35888-2022</t>
        </is>
      </c>
      <c r="B1298" s="1" t="n">
        <v>44803</v>
      </c>
      <c r="C1298" s="1" t="n">
        <v>45192</v>
      </c>
      <c r="D1298" t="inlineStr">
        <is>
          <t>VÄSTERBOTTENS LÄN</t>
        </is>
      </c>
      <c r="E1298" t="inlineStr">
        <is>
          <t>SKELLEFTEÅ</t>
        </is>
      </c>
      <c r="G1298" t="n">
        <v>4.7</v>
      </c>
      <c r="H1298" t="n">
        <v>0</v>
      </c>
      <c r="I1298" t="n">
        <v>0</v>
      </c>
      <c r="J1298" t="n">
        <v>0</v>
      </c>
      <c r="K1298" t="n">
        <v>0</v>
      </c>
      <c r="L1298" t="n">
        <v>0</v>
      </c>
      <c r="M1298" t="n">
        <v>0</v>
      </c>
      <c r="N1298" t="n">
        <v>0</v>
      </c>
      <c r="O1298" t="n">
        <v>0</v>
      </c>
      <c r="P1298" t="n">
        <v>0</v>
      </c>
      <c r="Q1298" t="n">
        <v>0</v>
      </c>
      <c r="R1298" s="2" t="inlineStr"/>
    </row>
    <row r="1299" ht="15" customHeight="1">
      <c r="A1299" t="inlineStr">
        <is>
          <t>A 36190-2022</t>
        </is>
      </c>
      <c r="B1299" s="1" t="n">
        <v>44803</v>
      </c>
      <c r="C1299" s="1" t="n">
        <v>45192</v>
      </c>
      <c r="D1299" t="inlineStr">
        <is>
          <t>VÄSTERBOTTENS LÄN</t>
        </is>
      </c>
      <c r="E1299" t="inlineStr">
        <is>
          <t>SKELLEFTEÅ</t>
        </is>
      </c>
      <c r="G1299" t="n">
        <v>4.5</v>
      </c>
      <c r="H1299" t="n">
        <v>0</v>
      </c>
      <c r="I1299" t="n">
        <v>0</v>
      </c>
      <c r="J1299" t="n">
        <v>0</v>
      </c>
      <c r="K1299" t="n">
        <v>0</v>
      </c>
      <c r="L1299" t="n">
        <v>0</v>
      </c>
      <c r="M1299" t="n">
        <v>0</v>
      </c>
      <c r="N1299" t="n">
        <v>0</v>
      </c>
      <c r="O1299" t="n">
        <v>0</v>
      </c>
      <c r="P1299" t="n">
        <v>0</v>
      </c>
      <c r="Q1299" t="n">
        <v>0</v>
      </c>
      <c r="R1299" s="2" t="inlineStr"/>
    </row>
    <row r="1300" ht="15" customHeight="1">
      <c r="A1300" t="inlineStr">
        <is>
          <t>A 36539-2022</t>
        </is>
      </c>
      <c r="B1300" s="1" t="n">
        <v>44804</v>
      </c>
      <c r="C1300" s="1" t="n">
        <v>45192</v>
      </c>
      <c r="D1300" t="inlineStr">
        <is>
          <t>VÄSTERBOTTENS LÄN</t>
        </is>
      </c>
      <c r="E1300" t="inlineStr">
        <is>
          <t>SKELLEFTEÅ</t>
        </is>
      </c>
      <c r="F1300" t="inlineStr">
        <is>
          <t>Kommuner</t>
        </is>
      </c>
      <c r="G1300" t="n">
        <v>2.7</v>
      </c>
      <c r="H1300" t="n">
        <v>0</v>
      </c>
      <c r="I1300" t="n">
        <v>0</v>
      </c>
      <c r="J1300" t="n">
        <v>0</v>
      </c>
      <c r="K1300" t="n">
        <v>0</v>
      </c>
      <c r="L1300" t="n">
        <v>0</v>
      </c>
      <c r="M1300" t="n">
        <v>0</v>
      </c>
      <c r="N1300" t="n">
        <v>0</v>
      </c>
      <c r="O1300" t="n">
        <v>0</v>
      </c>
      <c r="P1300" t="n">
        <v>0</v>
      </c>
      <c r="Q1300" t="n">
        <v>0</v>
      </c>
      <c r="R1300" s="2" t="inlineStr"/>
    </row>
    <row r="1301" ht="15" customHeight="1">
      <c r="A1301" t="inlineStr">
        <is>
          <t>A 36723-2022</t>
        </is>
      </c>
      <c r="B1301" s="1" t="n">
        <v>44804</v>
      </c>
      <c r="C1301" s="1" t="n">
        <v>45192</v>
      </c>
      <c r="D1301" t="inlineStr">
        <is>
          <t>VÄSTERBOTTENS LÄN</t>
        </is>
      </c>
      <c r="E1301" t="inlineStr">
        <is>
          <t>SKELLEFTEÅ</t>
        </is>
      </c>
      <c r="G1301" t="n">
        <v>2.8</v>
      </c>
      <c r="H1301" t="n">
        <v>0</v>
      </c>
      <c r="I1301" t="n">
        <v>0</v>
      </c>
      <c r="J1301" t="n">
        <v>0</v>
      </c>
      <c r="K1301" t="n">
        <v>0</v>
      </c>
      <c r="L1301" t="n">
        <v>0</v>
      </c>
      <c r="M1301" t="n">
        <v>0</v>
      </c>
      <c r="N1301" t="n">
        <v>0</v>
      </c>
      <c r="O1301" t="n">
        <v>0</v>
      </c>
      <c r="P1301" t="n">
        <v>0</v>
      </c>
      <c r="Q1301" t="n">
        <v>0</v>
      </c>
      <c r="R1301" s="2" t="inlineStr"/>
    </row>
    <row r="1302" ht="15" customHeight="1">
      <c r="A1302" t="inlineStr">
        <is>
          <t>A 36728-2022</t>
        </is>
      </c>
      <c r="B1302" s="1" t="n">
        <v>44804</v>
      </c>
      <c r="C1302" s="1" t="n">
        <v>45192</v>
      </c>
      <c r="D1302" t="inlineStr">
        <is>
          <t>VÄSTERBOTTENS LÄN</t>
        </is>
      </c>
      <c r="E1302" t="inlineStr">
        <is>
          <t>SKELLEFTEÅ</t>
        </is>
      </c>
      <c r="G1302" t="n">
        <v>1.6</v>
      </c>
      <c r="H1302" t="n">
        <v>0</v>
      </c>
      <c r="I1302" t="n">
        <v>0</v>
      </c>
      <c r="J1302" t="n">
        <v>0</v>
      </c>
      <c r="K1302" t="n">
        <v>0</v>
      </c>
      <c r="L1302" t="n">
        <v>0</v>
      </c>
      <c r="M1302" t="n">
        <v>0</v>
      </c>
      <c r="N1302" t="n">
        <v>0</v>
      </c>
      <c r="O1302" t="n">
        <v>0</v>
      </c>
      <c r="P1302" t="n">
        <v>0</v>
      </c>
      <c r="Q1302" t="n">
        <v>0</v>
      </c>
      <c r="R1302" s="2" t="inlineStr"/>
    </row>
    <row r="1303" ht="15" customHeight="1">
      <c r="A1303" t="inlineStr">
        <is>
          <t>A 37669-2022</t>
        </is>
      </c>
      <c r="B1303" s="1" t="n">
        <v>44810</v>
      </c>
      <c r="C1303" s="1" t="n">
        <v>45192</v>
      </c>
      <c r="D1303" t="inlineStr">
        <is>
          <t>VÄSTERBOTTENS LÄN</t>
        </is>
      </c>
      <c r="E1303" t="inlineStr">
        <is>
          <t>SKELLEFTEÅ</t>
        </is>
      </c>
      <c r="G1303" t="n">
        <v>10.9</v>
      </c>
      <c r="H1303" t="n">
        <v>0</v>
      </c>
      <c r="I1303" t="n">
        <v>0</v>
      </c>
      <c r="J1303" t="n">
        <v>0</v>
      </c>
      <c r="K1303" t="n">
        <v>0</v>
      </c>
      <c r="L1303" t="n">
        <v>0</v>
      </c>
      <c r="M1303" t="n">
        <v>0</v>
      </c>
      <c r="N1303" t="n">
        <v>0</v>
      </c>
      <c r="O1303" t="n">
        <v>0</v>
      </c>
      <c r="P1303" t="n">
        <v>0</v>
      </c>
      <c r="Q1303" t="n">
        <v>0</v>
      </c>
      <c r="R1303" s="2" t="inlineStr"/>
    </row>
    <row r="1304" ht="15" customHeight="1">
      <c r="A1304" t="inlineStr">
        <is>
          <t>A 37819-2022</t>
        </is>
      </c>
      <c r="B1304" s="1" t="n">
        <v>44810</v>
      </c>
      <c r="C1304" s="1" t="n">
        <v>45192</v>
      </c>
      <c r="D1304" t="inlineStr">
        <is>
          <t>VÄSTERBOTTENS LÄN</t>
        </is>
      </c>
      <c r="E1304" t="inlineStr">
        <is>
          <t>SKELLEFTEÅ</t>
        </is>
      </c>
      <c r="G1304" t="n">
        <v>1.9</v>
      </c>
      <c r="H1304" t="n">
        <v>0</v>
      </c>
      <c r="I1304" t="n">
        <v>0</v>
      </c>
      <c r="J1304" t="n">
        <v>0</v>
      </c>
      <c r="K1304" t="n">
        <v>0</v>
      </c>
      <c r="L1304" t="n">
        <v>0</v>
      </c>
      <c r="M1304" t="n">
        <v>0</v>
      </c>
      <c r="N1304" t="n">
        <v>0</v>
      </c>
      <c r="O1304" t="n">
        <v>0</v>
      </c>
      <c r="P1304" t="n">
        <v>0</v>
      </c>
      <c r="Q1304" t="n">
        <v>0</v>
      </c>
      <c r="R1304" s="2" t="inlineStr"/>
    </row>
    <row r="1305" ht="15" customHeight="1">
      <c r="A1305" t="inlineStr">
        <is>
          <t>A 37940-2022</t>
        </is>
      </c>
      <c r="B1305" s="1" t="n">
        <v>44811</v>
      </c>
      <c r="C1305" s="1" t="n">
        <v>45192</v>
      </c>
      <c r="D1305" t="inlineStr">
        <is>
          <t>VÄSTERBOTTENS LÄN</t>
        </is>
      </c>
      <c r="E1305" t="inlineStr">
        <is>
          <t>SKELLEFTEÅ</t>
        </is>
      </c>
      <c r="G1305" t="n">
        <v>1.6</v>
      </c>
      <c r="H1305" t="n">
        <v>0</v>
      </c>
      <c r="I1305" t="n">
        <v>0</v>
      </c>
      <c r="J1305" t="n">
        <v>0</v>
      </c>
      <c r="K1305" t="n">
        <v>0</v>
      </c>
      <c r="L1305" t="n">
        <v>0</v>
      </c>
      <c r="M1305" t="n">
        <v>0</v>
      </c>
      <c r="N1305" t="n">
        <v>0</v>
      </c>
      <c r="O1305" t="n">
        <v>0</v>
      </c>
      <c r="P1305" t="n">
        <v>0</v>
      </c>
      <c r="Q1305" t="n">
        <v>0</v>
      </c>
      <c r="R1305" s="2" t="inlineStr"/>
    </row>
    <row r="1306" ht="15" customHeight="1">
      <c r="A1306" t="inlineStr">
        <is>
          <t>A 38457-2022</t>
        </is>
      </c>
      <c r="B1306" s="1" t="n">
        <v>44813</v>
      </c>
      <c r="C1306" s="1" t="n">
        <v>45192</v>
      </c>
      <c r="D1306" t="inlineStr">
        <is>
          <t>VÄSTERBOTTENS LÄN</t>
        </is>
      </c>
      <c r="E1306" t="inlineStr">
        <is>
          <t>SKELLEFTEÅ</t>
        </is>
      </c>
      <c r="F1306" t="inlineStr">
        <is>
          <t>Holmen skog AB</t>
        </is>
      </c>
      <c r="G1306" t="n">
        <v>6.7</v>
      </c>
      <c r="H1306" t="n">
        <v>0</v>
      </c>
      <c r="I1306" t="n">
        <v>0</v>
      </c>
      <c r="J1306" t="n">
        <v>0</v>
      </c>
      <c r="K1306" t="n">
        <v>0</v>
      </c>
      <c r="L1306" t="n">
        <v>0</v>
      </c>
      <c r="M1306" t="n">
        <v>0</v>
      </c>
      <c r="N1306" t="n">
        <v>0</v>
      </c>
      <c r="O1306" t="n">
        <v>0</v>
      </c>
      <c r="P1306" t="n">
        <v>0</v>
      </c>
      <c r="Q1306" t="n">
        <v>0</v>
      </c>
      <c r="R1306" s="2" t="inlineStr"/>
    </row>
    <row r="1307" ht="15" customHeight="1">
      <c r="A1307" t="inlineStr">
        <is>
          <t>A 38767-2022</t>
        </is>
      </c>
      <c r="B1307" s="1" t="n">
        <v>44816</v>
      </c>
      <c r="C1307" s="1" t="n">
        <v>45192</v>
      </c>
      <c r="D1307" t="inlineStr">
        <is>
          <t>VÄSTERBOTTENS LÄN</t>
        </is>
      </c>
      <c r="E1307" t="inlineStr">
        <is>
          <t>SKELLEFTEÅ</t>
        </is>
      </c>
      <c r="G1307" t="n">
        <v>2.9</v>
      </c>
      <c r="H1307" t="n">
        <v>0</v>
      </c>
      <c r="I1307" t="n">
        <v>0</v>
      </c>
      <c r="J1307" t="n">
        <v>0</v>
      </c>
      <c r="K1307" t="n">
        <v>0</v>
      </c>
      <c r="L1307" t="n">
        <v>0</v>
      </c>
      <c r="M1307" t="n">
        <v>0</v>
      </c>
      <c r="N1307" t="n">
        <v>0</v>
      </c>
      <c r="O1307" t="n">
        <v>0</v>
      </c>
      <c r="P1307" t="n">
        <v>0</v>
      </c>
      <c r="Q1307" t="n">
        <v>0</v>
      </c>
      <c r="R1307" s="2" t="inlineStr"/>
    </row>
    <row r="1308" ht="15" customHeight="1">
      <c r="A1308" t="inlineStr">
        <is>
          <t>A 38994-2022</t>
        </is>
      </c>
      <c r="B1308" s="1" t="n">
        <v>44816</v>
      </c>
      <c r="C1308" s="1" t="n">
        <v>45192</v>
      </c>
      <c r="D1308" t="inlineStr">
        <is>
          <t>VÄSTERBOTTENS LÄN</t>
        </is>
      </c>
      <c r="E1308" t="inlineStr">
        <is>
          <t>SKELLEFTEÅ</t>
        </is>
      </c>
      <c r="G1308" t="n">
        <v>7.3</v>
      </c>
      <c r="H1308" t="n">
        <v>0</v>
      </c>
      <c r="I1308" t="n">
        <v>0</v>
      </c>
      <c r="J1308" t="n">
        <v>0</v>
      </c>
      <c r="K1308" t="n">
        <v>0</v>
      </c>
      <c r="L1308" t="n">
        <v>0</v>
      </c>
      <c r="M1308" t="n">
        <v>0</v>
      </c>
      <c r="N1308" t="n">
        <v>0</v>
      </c>
      <c r="O1308" t="n">
        <v>0</v>
      </c>
      <c r="P1308" t="n">
        <v>0</v>
      </c>
      <c r="Q1308" t="n">
        <v>0</v>
      </c>
      <c r="R1308" s="2" t="inlineStr"/>
    </row>
    <row r="1309" ht="15" customHeight="1">
      <c r="A1309" t="inlineStr">
        <is>
          <t>A 38876-2022</t>
        </is>
      </c>
      <c r="B1309" s="1" t="n">
        <v>44816</v>
      </c>
      <c r="C1309" s="1" t="n">
        <v>45192</v>
      </c>
      <c r="D1309" t="inlineStr">
        <is>
          <t>VÄSTERBOTTENS LÄN</t>
        </is>
      </c>
      <c r="E1309" t="inlineStr">
        <is>
          <t>SKELLEFTEÅ</t>
        </is>
      </c>
      <c r="G1309" t="n">
        <v>0.3</v>
      </c>
      <c r="H1309" t="n">
        <v>0</v>
      </c>
      <c r="I1309" t="n">
        <v>0</v>
      </c>
      <c r="J1309" t="n">
        <v>0</v>
      </c>
      <c r="K1309" t="n">
        <v>0</v>
      </c>
      <c r="L1309" t="n">
        <v>0</v>
      </c>
      <c r="M1309" t="n">
        <v>0</v>
      </c>
      <c r="N1309" t="n">
        <v>0</v>
      </c>
      <c r="O1309" t="n">
        <v>0</v>
      </c>
      <c r="P1309" t="n">
        <v>0</v>
      </c>
      <c r="Q1309" t="n">
        <v>0</v>
      </c>
      <c r="R1309" s="2" t="inlineStr"/>
    </row>
    <row r="1310" ht="15" customHeight="1">
      <c r="A1310" t="inlineStr">
        <is>
          <t>A 38995-2022</t>
        </is>
      </c>
      <c r="B1310" s="1" t="n">
        <v>44816</v>
      </c>
      <c r="C1310" s="1" t="n">
        <v>45192</v>
      </c>
      <c r="D1310" t="inlineStr">
        <is>
          <t>VÄSTERBOTTENS LÄN</t>
        </is>
      </c>
      <c r="E1310" t="inlineStr">
        <is>
          <t>SKELLEFTEÅ</t>
        </is>
      </c>
      <c r="G1310" t="n">
        <v>2.1</v>
      </c>
      <c r="H1310" t="n">
        <v>0</v>
      </c>
      <c r="I1310" t="n">
        <v>0</v>
      </c>
      <c r="J1310" t="n">
        <v>0</v>
      </c>
      <c r="K1310" t="n">
        <v>0</v>
      </c>
      <c r="L1310" t="n">
        <v>0</v>
      </c>
      <c r="M1310" t="n">
        <v>0</v>
      </c>
      <c r="N1310" t="n">
        <v>0</v>
      </c>
      <c r="O1310" t="n">
        <v>0</v>
      </c>
      <c r="P1310" t="n">
        <v>0</v>
      </c>
      <c r="Q1310" t="n">
        <v>0</v>
      </c>
      <c r="R1310" s="2" t="inlineStr"/>
    </row>
    <row r="1311" ht="15" customHeight="1">
      <c r="A1311" t="inlineStr">
        <is>
          <t>A 38940-2022</t>
        </is>
      </c>
      <c r="B1311" s="1" t="n">
        <v>44816</v>
      </c>
      <c r="C1311" s="1" t="n">
        <v>45192</v>
      </c>
      <c r="D1311" t="inlineStr">
        <is>
          <t>VÄSTERBOTTENS LÄN</t>
        </is>
      </c>
      <c r="E1311" t="inlineStr">
        <is>
          <t>SKELLEFTEÅ</t>
        </is>
      </c>
      <c r="G1311" t="n">
        <v>0.8</v>
      </c>
      <c r="H1311" t="n">
        <v>0</v>
      </c>
      <c r="I1311" t="n">
        <v>0</v>
      </c>
      <c r="J1311" t="n">
        <v>0</v>
      </c>
      <c r="K1311" t="n">
        <v>0</v>
      </c>
      <c r="L1311" t="n">
        <v>0</v>
      </c>
      <c r="M1311" t="n">
        <v>0</v>
      </c>
      <c r="N1311" t="n">
        <v>0</v>
      </c>
      <c r="O1311" t="n">
        <v>0</v>
      </c>
      <c r="P1311" t="n">
        <v>0</v>
      </c>
      <c r="Q1311" t="n">
        <v>0</v>
      </c>
      <c r="R1311" s="2" t="inlineStr"/>
    </row>
    <row r="1312" ht="15" customHeight="1">
      <c r="A1312" t="inlineStr">
        <is>
          <t>A 38873-2022</t>
        </is>
      </c>
      <c r="B1312" s="1" t="n">
        <v>44816</v>
      </c>
      <c r="C1312" s="1" t="n">
        <v>45192</v>
      </c>
      <c r="D1312" t="inlineStr">
        <is>
          <t>VÄSTERBOTTENS LÄN</t>
        </is>
      </c>
      <c r="E1312" t="inlineStr">
        <is>
          <t>SKELLEFTEÅ</t>
        </is>
      </c>
      <c r="G1312" t="n">
        <v>0.2</v>
      </c>
      <c r="H1312" t="n">
        <v>0</v>
      </c>
      <c r="I1312" t="n">
        <v>0</v>
      </c>
      <c r="J1312" t="n">
        <v>0</v>
      </c>
      <c r="K1312" t="n">
        <v>0</v>
      </c>
      <c r="L1312" t="n">
        <v>0</v>
      </c>
      <c r="M1312" t="n">
        <v>0</v>
      </c>
      <c r="N1312" t="n">
        <v>0</v>
      </c>
      <c r="O1312" t="n">
        <v>0</v>
      </c>
      <c r="P1312" t="n">
        <v>0</v>
      </c>
      <c r="Q1312" t="n">
        <v>0</v>
      </c>
      <c r="R1312" s="2" t="inlineStr"/>
    </row>
    <row r="1313" ht="15" customHeight="1">
      <c r="A1313" t="inlineStr">
        <is>
          <t>A 38932-2022</t>
        </is>
      </c>
      <c r="B1313" s="1" t="n">
        <v>44816</v>
      </c>
      <c r="C1313" s="1" t="n">
        <v>45192</v>
      </c>
      <c r="D1313" t="inlineStr">
        <is>
          <t>VÄSTERBOTTENS LÄN</t>
        </is>
      </c>
      <c r="E1313" t="inlineStr">
        <is>
          <t>SKELLEFTEÅ</t>
        </is>
      </c>
      <c r="G1313" t="n">
        <v>1.6</v>
      </c>
      <c r="H1313" t="n">
        <v>0</v>
      </c>
      <c r="I1313" t="n">
        <v>0</v>
      </c>
      <c r="J1313" t="n">
        <v>0</v>
      </c>
      <c r="K1313" t="n">
        <v>0</v>
      </c>
      <c r="L1313" t="n">
        <v>0</v>
      </c>
      <c r="M1313" t="n">
        <v>0</v>
      </c>
      <c r="N1313" t="n">
        <v>0</v>
      </c>
      <c r="O1313" t="n">
        <v>0</v>
      </c>
      <c r="P1313" t="n">
        <v>0</v>
      </c>
      <c r="Q1313" t="n">
        <v>0</v>
      </c>
      <c r="R1313" s="2" t="inlineStr"/>
    </row>
    <row r="1314" ht="15" customHeight="1">
      <c r="A1314" t="inlineStr">
        <is>
          <t>A 38993-2022</t>
        </is>
      </c>
      <c r="B1314" s="1" t="n">
        <v>44816</v>
      </c>
      <c r="C1314" s="1" t="n">
        <v>45192</v>
      </c>
      <c r="D1314" t="inlineStr">
        <is>
          <t>VÄSTERBOTTENS LÄN</t>
        </is>
      </c>
      <c r="E1314" t="inlineStr">
        <is>
          <t>SKELLEFTEÅ</t>
        </is>
      </c>
      <c r="G1314" t="n">
        <v>2</v>
      </c>
      <c r="H1314" t="n">
        <v>0</v>
      </c>
      <c r="I1314" t="n">
        <v>0</v>
      </c>
      <c r="J1314" t="n">
        <v>0</v>
      </c>
      <c r="K1314" t="n">
        <v>0</v>
      </c>
      <c r="L1314" t="n">
        <v>0</v>
      </c>
      <c r="M1314" t="n">
        <v>0</v>
      </c>
      <c r="N1314" t="n">
        <v>0</v>
      </c>
      <c r="O1314" t="n">
        <v>0</v>
      </c>
      <c r="P1314" t="n">
        <v>0</v>
      </c>
      <c r="Q1314" t="n">
        <v>0</v>
      </c>
      <c r="R1314" s="2" t="inlineStr"/>
    </row>
    <row r="1315" ht="15" customHeight="1">
      <c r="A1315" t="inlineStr">
        <is>
          <t>A 39019-2022</t>
        </is>
      </c>
      <c r="B1315" s="1" t="n">
        <v>44817</v>
      </c>
      <c r="C1315" s="1" t="n">
        <v>45192</v>
      </c>
      <c r="D1315" t="inlineStr">
        <is>
          <t>VÄSTERBOTTENS LÄN</t>
        </is>
      </c>
      <c r="E1315" t="inlineStr">
        <is>
          <t>SKELLEFTEÅ</t>
        </is>
      </c>
      <c r="G1315" t="n">
        <v>1</v>
      </c>
      <c r="H1315" t="n">
        <v>0</v>
      </c>
      <c r="I1315" t="n">
        <v>0</v>
      </c>
      <c r="J1315" t="n">
        <v>0</v>
      </c>
      <c r="K1315" t="n">
        <v>0</v>
      </c>
      <c r="L1315" t="n">
        <v>0</v>
      </c>
      <c r="M1315" t="n">
        <v>0</v>
      </c>
      <c r="N1315" t="n">
        <v>0</v>
      </c>
      <c r="O1315" t="n">
        <v>0</v>
      </c>
      <c r="P1315" t="n">
        <v>0</v>
      </c>
      <c r="Q1315" t="n">
        <v>0</v>
      </c>
      <c r="R1315" s="2" t="inlineStr"/>
    </row>
    <row r="1316" ht="15" customHeight="1">
      <c r="A1316" t="inlineStr">
        <is>
          <t>A 39668-2022</t>
        </is>
      </c>
      <c r="B1316" s="1" t="n">
        <v>44818</v>
      </c>
      <c r="C1316" s="1" t="n">
        <v>45192</v>
      </c>
      <c r="D1316" t="inlineStr">
        <is>
          <t>VÄSTERBOTTENS LÄN</t>
        </is>
      </c>
      <c r="E1316" t="inlineStr">
        <is>
          <t>SKELLEFTEÅ</t>
        </is>
      </c>
      <c r="G1316" t="n">
        <v>13.2</v>
      </c>
      <c r="H1316" t="n">
        <v>0</v>
      </c>
      <c r="I1316" t="n">
        <v>0</v>
      </c>
      <c r="J1316" t="n">
        <v>0</v>
      </c>
      <c r="K1316" t="n">
        <v>0</v>
      </c>
      <c r="L1316" t="n">
        <v>0</v>
      </c>
      <c r="M1316" t="n">
        <v>0</v>
      </c>
      <c r="N1316" t="n">
        <v>0</v>
      </c>
      <c r="O1316" t="n">
        <v>0</v>
      </c>
      <c r="P1316" t="n">
        <v>0</v>
      </c>
      <c r="Q1316" t="n">
        <v>0</v>
      </c>
      <c r="R1316" s="2" t="inlineStr"/>
    </row>
    <row r="1317" ht="15" customHeight="1">
      <c r="A1317" t="inlineStr">
        <is>
          <t>A 40219-2022</t>
        </is>
      </c>
      <c r="B1317" s="1" t="n">
        <v>44820</v>
      </c>
      <c r="C1317" s="1" t="n">
        <v>45192</v>
      </c>
      <c r="D1317" t="inlineStr">
        <is>
          <t>VÄSTERBOTTENS LÄN</t>
        </is>
      </c>
      <c r="E1317" t="inlineStr">
        <is>
          <t>SKELLEFTEÅ</t>
        </is>
      </c>
      <c r="F1317" t="inlineStr">
        <is>
          <t>Sveaskog</t>
        </is>
      </c>
      <c r="G1317" t="n">
        <v>12.7</v>
      </c>
      <c r="H1317" t="n">
        <v>0</v>
      </c>
      <c r="I1317" t="n">
        <v>0</v>
      </c>
      <c r="J1317" t="n">
        <v>0</v>
      </c>
      <c r="K1317" t="n">
        <v>0</v>
      </c>
      <c r="L1317" t="n">
        <v>0</v>
      </c>
      <c r="M1317" t="n">
        <v>0</v>
      </c>
      <c r="N1317" t="n">
        <v>0</v>
      </c>
      <c r="O1317" t="n">
        <v>0</v>
      </c>
      <c r="P1317" t="n">
        <v>0</v>
      </c>
      <c r="Q1317" t="n">
        <v>0</v>
      </c>
      <c r="R1317" s="2" t="inlineStr"/>
    </row>
    <row r="1318" ht="15" customHeight="1">
      <c r="A1318" t="inlineStr">
        <is>
          <t>A 40905-2022</t>
        </is>
      </c>
      <c r="B1318" s="1" t="n">
        <v>44820</v>
      </c>
      <c r="C1318" s="1" t="n">
        <v>45192</v>
      </c>
      <c r="D1318" t="inlineStr">
        <is>
          <t>VÄSTERBOTTENS LÄN</t>
        </is>
      </c>
      <c r="E1318" t="inlineStr">
        <is>
          <t>SKELLEFTEÅ</t>
        </is>
      </c>
      <c r="G1318" t="n">
        <v>0.6</v>
      </c>
      <c r="H1318" t="n">
        <v>0</v>
      </c>
      <c r="I1318" t="n">
        <v>0</v>
      </c>
      <c r="J1318" t="n">
        <v>0</v>
      </c>
      <c r="K1318" t="n">
        <v>0</v>
      </c>
      <c r="L1318" t="n">
        <v>0</v>
      </c>
      <c r="M1318" t="n">
        <v>0</v>
      </c>
      <c r="N1318" t="n">
        <v>0</v>
      </c>
      <c r="O1318" t="n">
        <v>0</v>
      </c>
      <c r="P1318" t="n">
        <v>0</v>
      </c>
      <c r="Q1318" t="n">
        <v>0</v>
      </c>
      <c r="R1318" s="2" t="inlineStr"/>
    </row>
    <row r="1319" ht="15" customHeight="1">
      <c r="A1319" t="inlineStr">
        <is>
          <t>A 40345-2022</t>
        </is>
      </c>
      <c r="B1319" s="1" t="n">
        <v>44823</v>
      </c>
      <c r="C1319" s="1" t="n">
        <v>45192</v>
      </c>
      <c r="D1319" t="inlineStr">
        <is>
          <t>VÄSTERBOTTENS LÄN</t>
        </is>
      </c>
      <c r="E1319" t="inlineStr">
        <is>
          <t>SKELLEFTEÅ</t>
        </is>
      </c>
      <c r="F1319" t="inlineStr">
        <is>
          <t>Holmen skog AB</t>
        </is>
      </c>
      <c r="G1319" t="n">
        <v>3.3</v>
      </c>
      <c r="H1319" t="n">
        <v>0</v>
      </c>
      <c r="I1319" t="n">
        <v>0</v>
      </c>
      <c r="J1319" t="n">
        <v>0</v>
      </c>
      <c r="K1319" t="n">
        <v>0</v>
      </c>
      <c r="L1319" t="n">
        <v>0</v>
      </c>
      <c r="M1319" t="n">
        <v>0</v>
      </c>
      <c r="N1319" t="n">
        <v>0</v>
      </c>
      <c r="O1319" t="n">
        <v>0</v>
      </c>
      <c r="P1319" t="n">
        <v>0</v>
      </c>
      <c r="Q1319" t="n">
        <v>0</v>
      </c>
      <c r="R1319" s="2" t="inlineStr"/>
    </row>
    <row r="1320" ht="15" customHeight="1">
      <c r="A1320" t="inlineStr">
        <is>
          <t>A 40964-2022</t>
        </is>
      </c>
      <c r="B1320" s="1" t="n">
        <v>44823</v>
      </c>
      <c r="C1320" s="1" t="n">
        <v>45192</v>
      </c>
      <c r="D1320" t="inlineStr">
        <is>
          <t>VÄSTERBOTTENS LÄN</t>
        </is>
      </c>
      <c r="E1320" t="inlineStr">
        <is>
          <t>SKELLEFTEÅ</t>
        </is>
      </c>
      <c r="G1320" t="n">
        <v>2.6</v>
      </c>
      <c r="H1320" t="n">
        <v>0</v>
      </c>
      <c r="I1320" t="n">
        <v>0</v>
      </c>
      <c r="J1320" t="n">
        <v>0</v>
      </c>
      <c r="K1320" t="n">
        <v>0</v>
      </c>
      <c r="L1320" t="n">
        <v>0</v>
      </c>
      <c r="M1320" t="n">
        <v>0</v>
      </c>
      <c r="N1320" t="n">
        <v>0</v>
      </c>
      <c r="O1320" t="n">
        <v>0</v>
      </c>
      <c r="P1320" t="n">
        <v>0</v>
      </c>
      <c r="Q1320" t="n">
        <v>0</v>
      </c>
      <c r="R1320" s="2" t="inlineStr"/>
    </row>
    <row r="1321" ht="15" customHeight="1">
      <c r="A1321" t="inlineStr">
        <is>
          <t>A 40329-2022</t>
        </is>
      </c>
      <c r="B1321" s="1" t="n">
        <v>44823</v>
      </c>
      <c r="C1321" s="1" t="n">
        <v>45192</v>
      </c>
      <c r="D1321" t="inlineStr">
        <is>
          <t>VÄSTERBOTTENS LÄN</t>
        </is>
      </c>
      <c r="E1321" t="inlineStr">
        <is>
          <t>SKELLEFTEÅ</t>
        </is>
      </c>
      <c r="G1321" t="n">
        <v>3.2</v>
      </c>
      <c r="H1321" t="n">
        <v>0</v>
      </c>
      <c r="I1321" t="n">
        <v>0</v>
      </c>
      <c r="J1321" t="n">
        <v>0</v>
      </c>
      <c r="K1321" t="n">
        <v>0</v>
      </c>
      <c r="L1321" t="n">
        <v>0</v>
      </c>
      <c r="M1321" t="n">
        <v>0</v>
      </c>
      <c r="N1321" t="n">
        <v>0</v>
      </c>
      <c r="O1321" t="n">
        <v>0</v>
      </c>
      <c r="P1321" t="n">
        <v>0</v>
      </c>
      <c r="Q1321" t="n">
        <v>0</v>
      </c>
      <c r="R1321" s="2" t="inlineStr"/>
    </row>
    <row r="1322" ht="15" customHeight="1">
      <c r="A1322" t="inlineStr">
        <is>
          <t>A 40969-2022</t>
        </is>
      </c>
      <c r="B1322" s="1" t="n">
        <v>44824</v>
      </c>
      <c r="C1322" s="1" t="n">
        <v>45192</v>
      </c>
      <c r="D1322" t="inlineStr">
        <is>
          <t>VÄSTERBOTTENS LÄN</t>
        </is>
      </c>
      <c r="E1322" t="inlineStr">
        <is>
          <t>SKELLEFTEÅ</t>
        </is>
      </c>
      <c r="G1322" t="n">
        <v>1.5</v>
      </c>
      <c r="H1322" t="n">
        <v>0</v>
      </c>
      <c r="I1322" t="n">
        <v>0</v>
      </c>
      <c r="J1322" t="n">
        <v>0</v>
      </c>
      <c r="K1322" t="n">
        <v>0</v>
      </c>
      <c r="L1322" t="n">
        <v>0</v>
      </c>
      <c r="M1322" t="n">
        <v>0</v>
      </c>
      <c r="N1322" t="n">
        <v>0</v>
      </c>
      <c r="O1322" t="n">
        <v>0</v>
      </c>
      <c r="P1322" t="n">
        <v>0</v>
      </c>
      <c r="Q1322" t="n">
        <v>0</v>
      </c>
      <c r="R1322" s="2" t="inlineStr"/>
    </row>
    <row r="1323" ht="15" customHeight="1">
      <c r="A1323" t="inlineStr">
        <is>
          <t>A 41010-2022</t>
        </is>
      </c>
      <c r="B1323" s="1" t="n">
        <v>44825</v>
      </c>
      <c r="C1323" s="1" t="n">
        <v>45192</v>
      </c>
      <c r="D1323" t="inlineStr">
        <is>
          <t>VÄSTERBOTTENS LÄN</t>
        </is>
      </c>
      <c r="E1323" t="inlineStr">
        <is>
          <t>SKELLEFTEÅ</t>
        </is>
      </c>
      <c r="F1323" t="inlineStr">
        <is>
          <t>Kyrkan</t>
        </is>
      </c>
      <c r="G1323" t="n">
        <v>8.1</v>
      </c>
      <c r="H1323" t="n">
        <v>0</v>
      </c>
      <c r="I1323" t="n">
        <v>0</v>
      </c>
      <c r="J1323" t="n">
        <v>0</v>
      </c>
      <c r="K1323" t="n">
        <v>0</v>
      </c>
      <c r="L1323" t="n">
        <v>0</v>
      </c>
      <c r="M1323" t="n">
        <v>0</v>
      </c>
      <c r="N1323" t="n">
        <v>0</v>
      </c>
      <c r="O1323" t="n">
        <v>0</v>
      </c>
      <c r="P1323" t="n">
        <v>0</v>
      </c>
      <c r="Q1323" t="n">
        <v>0</v>
      </c>
      <c r="R1323" s="2" t="inlineStr"/>
    </row>
    <row r="1324" ht="15" customHeight="1">
      <c r="A1324" t="inlineStr">
        <is>
          <t>A 41360-2022</t>
        </is>
      </c>
      <c r="B1324" s="1" t="n">
        <v>44825</v>
      </c>
      <c r="C1324" s="1" t="n">
        <v>45192</v>
      </c>
      <c r="D1324" t="inlineStr">
        <is>
          <t>VÄSTERBOTTENS LÄN</t>
        </is>
      </c>
      <c r="E1324" t="inlineStr">
        <is>
          <t>SKELLEFTEÅ</t>
        </is>
      </c>
      <c r="G1324" t="n">
        <v>4.3</v>
      </c>
      <c r="H1324" t="n">
        <v>0</v>
      </c>
      <c r="I1324" t="n">
        <v>0</v>
      </c>
      <c r="J1324" t="n">
        <v>0</v>
      </c>
      <c r="K1324" t="n">
        <v>0</v>
      </c>
      <c r="L1324" t="n">
        <v>0</v>
      </c>
      <c r="M1324" t="n">
        <v>0</v>
      </c>
      <c r="N1324" t="n">
        <v>0</v>
      </c>
      <c r="O1324" t="n">
        <v>0</v>
      </c>
      <c r="P1324" t="n">
        <v>0</v>
      </c>
      <c r="Q1324" t="n">
        <v>0</v>
      </c>
      <c r="R1324" s="2" t="inlineStr"/>
    </row>
    <row r="1325" ht="15" customHeight="1">
      <c r="A1325" t="inlineStr">
        <is>
          <t>A 41513-2022</t>
        </is>
      </c>
      <c r="B1325" s="1" t="n">
        <v>44827</v>
      </c>
      <c r="C1325" s="1" t="n">
        <v>45192</v>
      </c>
      <c r="D1325" t="inlineStr">
        <is>
          <t>VÄSTERBOTTENS LÄN</t>
        </is>
      </c>
      <c r="E1325" t="inlineStr">
        <is>
          <t>SKELLEFTEÅ</t>
        </is>
      </c>
      <c r="G1325" t="n">
        <v>6.4</v>
      </c>
      <c r="H1325" t="n">
        <v>0</v>
      </c>
      <c r="I1325" t="n">
        <v>0</v>
      </c>
      <c r="J1325" t="n">
        <v>0</v>
      </c>
      <c r="K1325" t="n">
        <v>0</v>
      </c>
      <c r="L1325" t="n">
        <v>0</v>
      </c>
      <c r="M1325" t="n">
        <v>0</v>
      </c>
      <c r="N1325" t="n">
        <v>0</v>
      </c>
      <c r="O1325" t="n">
        <v>0</v>
      </c>
      <c r="P1325" t="n">
        <v>0</v>
      </c>
      <c r="Q1325" t="n">
        <v>0</v>
      </c>
      <c r="R1325" s="2" t="inlineStr"/>
    </row>
    <row r="1326" ht="15" customHeight="1">
      <c r="A1326" t="inlineStr">
        <is>
          <t>A 42109-2022</t>
        </is>
      </c>
      <c r="B1326" s="1" t="n">
        <v>44827</v>
      </c>
      <c r="C1326" s="1" t="n">
        <v>45192</v>
      </c>
      <c r="D1326" t="inlineStr">
        <is>
          <t>VÄSTERBOTTENS LÄN</t>
        </is>
      </c>
      <c r="E1326" t="inlineStr">
        <is>
          <t>SKELLEFTEÅ</t>
        </is>
      </c>
      <c r="G1326" t="n">
        <v>1.8</v>
      </c>
      <c r="H1326" t="n">
        <v>0</v>
      </c>
      <c r="I1326" t="n">
        <v>0</v>
      </c>
      <c r="J1326" t="n">
        <v>0</v>
      </c>
      <c r="K1326" t="n">
        <v>0</v>
      </c>
      <c r="L1326" t="n">
        <v>0</v>
      </c>
      <c r="M1326" t="n">
        <v>0</v>
      </c>
      <c r="N1326" t="n">
        <v>0</v>
      </c>
      <c r="O1326" t="n">
        <v>0</v>
      </c>
      <c r="P1326" t="n">
        <v>0</v>
      </c>
      <c r="Q1326" t="n">
        <v>0</v>
      </c>
      <c r="R1326" s="2" t="inlineStr"/>
    </row>
    <row r="1327" ht="15" customHeight="1">
      <c r="A1327" t="inlineStr">
        <is>
          <t>A 42348-2022</t>
        </is>
      </c>
      <c r="B1327" s="1" t="n">
        <v>44827</v>
      </c>
      <c r="C1327" s="1" t="n">
        <v>45192</v>
      </c>
      <c r="D1327" t="inlineStr">
        <is>
          <t>VÄSTERBOTTENS LÄN</t>
        </is>
      </c>
      <c r="E1327" t="inlineStr">
        <is>
          <t>SKELLEFTEÅ</t>
        </is>
      </c>
      <c r="G1327" t="n">
        <v>0.5</v>
      </c>
      <c r="H1327" t="n">
        <v>0</v>
      </c>
      <c r="I1327" t="n">
        <v>0</v>
      </c>
      <c r="J1327" t="n">
        <v>0</v>
      </c>
      <c r="K1327" t="n">
        <v>0</v>
      </c>
      <c r="L1327" t="n">
        <v>0</v>
      </c>
      <c r="M1327" t="n">
        <v>0</v>
      </c>
      <c r="N1327" t="n">
        <v>0</v>
      </c>
      <c r="O1327" t="n">
        <v>0</v>
      </c>
      <c r="P1327" t="n">
        <v>0</v>
      </c>
      <c r="Q1327" t="n">
        <v>0</v>
      </c>
      <c r="R1327" s="2" t="inlineStr"/>
    </row>
    <row r="1328" ht="15" customHeight="1">
      <c r="A1328" t="inlineStr">
        <is>
          <t>A 41802-2022</t>
        </is>
      </c>
      <c r="B1328" s="1" t="n">
        <v>44827</v>
      </c>
      <c r="C1328" s="1" t="n">
        <v>45192</v>
      </c>
      <c r="D1328" t="inlineStr">
        <is>
          <t>VÄSTERBOTTENS LÄN</t>
        </is>
      </c>
      <c r="E1328" t="inlineStr">
        <is>
          <t>SKELLEFTEÅ</t>
        </is>
      </c>
      <c r="G1328" t="n">
        <v>3.7</v>
      </c>
      <c r="H1328" t="n">
        <v>0</v>
      </c>
      <c r="I1328" t="n">
        <v>0</v>
      </c>
      <c r="J1328" t="n">
        <v>0</v>
      </c>
      <c r="K1328" t="n">
        <v>0</v>
      </c>
      <c r="L1328" t="n">
        <v>0</v>
      </c>
      <c r="M1328" t="n">
        <v>0</v>
      </c>
      <c r="N1328" t="n">
        <v>0</v>
      </c>
      <c r="O1328" t="n">
        <v>0</v>
      </c>
      <c r="P1328" t="n">
        <v>0</v>
      </c>
      <c r="Q1328" t="n">
        <v>0</v>
      </c>
      <c r="R1328" s="2" t="inlineStr"/>
    </row>
    <row r="1329" ht="15" customHeight="1">
      <c r="A1329" t="inlineStr">
        <is>
          <t>A 42099-2022</t>
        </is>
      </c>
      <c r="B1329" s="1" t="n">
        <v>44827</v>
      </c>
      <c r="C1329" s="1" t="n">
        <v>45192</v>
      </c>
      <c r="D1329" t="inlineStr">
        <is>
          <t>VÄSTERBOTTENS LÄN</t>
        </is>
      </c>
      <c r="E1329" t="inlineStr">
        <is>
          <t>SKELLEFTEÅ</t>
        </is>
      </c>
      <c r="G1329" t="n">
        <v>1.7</v>
      </c>
      <c r="H1329" t="n">
        <v>0</v>
      </c>
      <c r="I1329" t="n">
        <v>0</v>
      </c>
      <c r="J1329" t="n">
        <v>0</v>
      </c>
      <c r="K1329" t="n">
        <v>0</v>
      </c>
      <c r="L1329" t="n">
        <v>0</v>
      </c>
      <c r="M1329" t="n">
        <v>0</v>
      </c>
      <c r="N1329" t="n">
        <v>0</v>
      </c>
      <c r="O1329" t="n">
        <v>0</v>
      </c>
      <c r="P1329" t="n">
        <v>0</v>
      </c>
      <c r="Q1329" t="n">
        <v>0</v>
      </c>
      <c r="R1329" s="2" t="inlineStr"/>
    </row>
    <row r="1330" ht="15" customHeight="1">
      <c r="A1330" t="inlineStr">
        <is>
          <t>A 42357-2022</t>
        </is>
      </c>
      <c r="B1330" s="1" t="n">
        <v>44827</v>
      </c>
      <c r="C1330" s="1" t="n">
        <v>45192</v>
      </c>
      <c r="D1330" t="inlineStr">
        <is>
          <t>VÄSTERBOTTENS LÄN</t>
        </is>
      </c>
      <c r="E1330" t="inlineStr">
        <is>
          <t>SKELLEFTEÅ</t>
        </is>
      </c>
      <c r="G1330" t="n">
        <v>2.4</v>
      </c>
      <c r="H1330" t="n">
        <v>0</v>
      </c>
      <c r="I1330" t="n">
        <v>0</v>
      </c>
      <c r="J1330" t="n">
        <v>0</v>
      </c>
      <c r="K1330" t="n">
        <v>0</v>
      </c>
      <c r="L1330" t="n">
        <v>0</v>
      </c>
      <c r="M1330" t="n">
        <v>0</v>
      </c>
      <c r="N1330" t="n">
        <v>0</v>
      </c>
      <c r="O1330" t="n">
        <v>0</v>
      </c>
      <c r="P1330" t="n">
        <v>0</v>
      </c>
      <c r="Q1330" t="n">
        <v>0</v>
      </c>
      <c r="R1330" s="2" t="inlineStr"/>
    </row>
    <row r="1331" ht="15" customHeight="1">
      <c r="A1331" t="inlineStr">
        <is>
          <t>A 41889-2022</t>
        </is>
      </c>
      <c r="B1331" s="1" t="n">
        <v>44830</v>
      </c>
      <c r="C1331" s="1" t="n">
        <v>45192</v>
      </c>
      <c r="D1331" t="inlineStr">
        <is>
          <t>VÄSTERBOTTENS LÄN</t>
        </is>
      </c>
      <c r="E1331" t="inlineStr">
        <is>
          <t>SKELLEFTEÅ</t>
        </is>
      </c>
      <c r="G1331" t="n">
        <v>15.3</v>
      </c>
      <c r="H1331" t="n">
        <v>0</v>
      </c>
      <c r="I1331" t="n">
        <v>0</v>
      </c>
      <c r="J1331" t="n">
        <v>0</v>
      </c>
      <c r="K1331" t="n">
        <v>0</v>
      </c>
      <c r="L1331" t="n">
        <v>0</v>
      </c>
      <c r="M1331" t="n">
        <v>0</v>
      </c>
      <c r="N1331" t="n">
        <v>0</v>
      </c>
      <c r="O1331" t="n">
        <v>0</v>
      </c>
      <c r="P1331" t="n">
        <v>0</v>
      </c>
      <c r="Q1331" t="n">
        <v>0</v>
      </c>
      <c r="R1331" s="2" t="inlineStr"/>
    </row>
    <row r="1332" ht="15" customHeight="1">
      <c r="A1332" t="inlineStr">
        <is>
          <t>A 42259-2022</t>
        </is>
      </c>
      <c r="B1332" s="1" t="n">
        <v>44830</v>
      </c>
      <c r="C1332" s="1" t="n">
        <v>45192</v>
      </c>
      <c r="D1332" t="inlineStr">
        <is>
          <t>VÄSTERBOTTENS LÄN</t>
        </is>
      </c>
      <c r="E1332" t="inlineStr">
        <is>
          <t>SKELLEFTEÅ</t>
        </is>
      </c>
      <c r="G1332" t="n">
        <v>3.4</v>
      </c>
      <c r="H1332" t="n">
        <v>0</v>
      </c>
      <c r="I1332" t="n">
        <v>0</v>
      </c>
      <c r="J1332" t="n">
        <v>0</v>
      </c>
      <c r="K1332" t="n">
        <v>0</v>
      </c>
      <c r="L1332" t="n">
        <v>0</v>
      </c>
      <c r="M1332" t="n">
        <v>0</v>
      </c>
      <c r="N1332" t="n">
        <v>0</v>
      </c>
      <c r="O1332" t="n">
        <v>0</v>
      </c>
      <c r="P1332" t="n">
        <v>0</v>
      </c>
      <c r="Q1332" t="n">
        <v>0</v>
      </c>
      <c r="R1332" s="2" t="inlineStr"/>
    </row>
    <row r="1333" ht="15" customHeight="1">
      <c r="A1333" t="inlineStr">
        <is>
          <t>A 42260-2022</t>
        </is>
      </c>
      <c r="B1333" s="1" t="n">
        <v>44830</v>
      </c>
      <c r="C1333" s="1" t="n">
        <v>45192</v>
      </c>
      <c r="D1333" t="inlineStr">
        <is>
          <t>VÄSTERBOTTENS LÄN</t>
        </is>
      </c>
      <c r="E1333" t="inlineStr">
        <is>
          <t>SKELLEFTEÅ</t>
        </is>
      </c>
      <c r="G1333" t="n">
        <v>2.5</v>
      </c>
      <c r="H1333" t="n">
        <v>0</v>
      </c>
      <c r="I1333" t="n">
        <v>0</v>
      </c>
      <c r="J1333" t="n">
        <v>0</v>
      </c>
      <c r="K1333" t="n">
        <v>0</v>
      </c>
      <c r="L1333" t="n">
        <v>0</v>
      </c>
      <c r="M1333" t="n">
        <v>0</v>
      </c>
      <c r="N1333" t="n">
        <v>0</v>
      </c>
      <c r="O1333" t="n">
        <v>0</v>
      </c>
      <c r="P1333" t="n">
        <v>0</v>
      </c>
      <c r="Q1333" t="n">
        <v>0</v>
      </c>
      <c r="R1333" s="2" t="inlineStr"/>
    </row>
    <row r="1334" ht="15" customHeight="1">
      <c r="A1334" t="inlineStr">
        <is>
          <t>A 42255-2022</t>
        </is>
      </c>
      <c r="B1334" s="1" t="n">
        <v>44830</v>
      </c>
      <c r="C1334" s="1" t="n">
        <v>45192</v>
      </c>
      <c r="D1334" t="inlineStr">
        <is>
          <t>VÄSTERBOTTENS LÄN</t>
        </is>
      </c>
      <c r="E1334" t="inlineStr">
        <is>
          <t>SKELLEFTEÅ</t>
        </is>
      </c>
      <c r="G1334" t="n">
        <v>3.7</v>
      </c>
      <c r="H1334" t="n">
        <v>0</v>
      </c>
      <c r="I1334" t="n">
        <v>0</v>
      </c>
      <c r="J1334" t="n">
        <v>0</v>
      </c>
      <c r="K1334" t="n">
        <v>0</v>
      </c>
      <c r="L1334" t="n">
        <v>0</v>
      </c>
      <c r="M1334" t="n">
        <v>0</v>
      </c>
      <c r="N1334" t="n">
        <v>0</v>
      </c>
      <c r="O1334" t="n">
        <v>0</v>
      </c>
      <c r="P1334" t="n">
        <v>0</v>
      </c>
      <c r="Q1334" t="n">
        <v>0</v>
      </c>
      <c r="R1334" s="2" t="inlineStr"/>
    </row>
    <row r="1335" ht="15" customHeight="1">
      <c r="A1335" t="inlineStr">
        <is>
          <t>A 42682-2022</t>
        </is>
      </c>
      <c r="B1335" s="1" t="n">
        <v>44831</v>
      </c>
      <c r="C1335" s="1" t="n">
        <v>45192</v>
      </c>
      <c r="D1335" t="inlineStr">
        <is>
          <t>VÄSTERBOTTENS LÄN</t>
        </is>
      </c>
      <c r="E1335" t="inlineStr">
        <is>
          <t>SKELLEFTEÅ</t>
        </is>
      </c>
      <c r="G1335" t="n">
        <v>0.4</v>
      </c>
      <c r="H1335" t="n">
        <v>0</v>
      </c>
      <c r="I1335" t="n">
        <v>0</v>
      </c>
      <c r="J1335" t="n">
        <v>0</v>
      </c>
      <c r="K1335" t="n">
        <v>0</v>
      </c>
      <c r="L1335" t="n">
        <v>0</v>
      </c>
      <c r="M1335" t="n">
        <v>0</v>
      </c>
      <c r="N1335" t="n">
        <v>0</v>
      </c>
      <c r="O1335" t="n">
        <v>0</v>
      </c>
      <c r="P1335" t="n">
        <v>0</v>
      </c>
      <c r="Q1335" t="n">
        <v>0</v>
      </c>
      <c r="R1335" s="2" t="inlineStr"/>
    </row>
    <row r="1336" ht="15" customHeight="1">
      <c r="A1336" t="inlineStr">
        <is>
          <t>A 42808-2022</t>
        </is>
      </c>
      <c r="B1336" s="1" t="n">
        <v>44832</v>
      </c>
      <c r="C1336" s="1" t="n">
        <v>45192</v>
      </c>
      <c r="D1336" t="inlineStr">
        <is>
          <t>VÄSTERBOTTENS LÄN</t>
        </is>
      </c>
      <c r="E1336" t="inlineStr">
        <is>
          <t>SKELLEFTEÅ</t>
        </is>
      </c>
      <c r="G1336" t="n">
        <v>4.8</v>
      </c>
      <c r="H1336" t="n">
        <v>0</v>
      </c>
      <c r="I1336" t="n">
        <v>0</v>
      </c>
      <c r="J1336" t="n">
        <v>0</v>
      </c>
      <c r="K1336" t="n">
        <v>0</v>
      </c>
      <c r="L1336" t="n">
        <v>0</v>
      </c>
      <c r="M1336" t="n">
        <v>0</v>
      </c>
      <c r="N1336" t="n">
        <v>0</v>
      </c>
      <c r="O1336" t="n">
        <v>0</v>
      </c>
      <c r="P1336" t="n">
        <v>0</v>
      </c>
      <c r="Q1336" t="n">
        <v>0</v>
      </c>
      <c r="R1336" s="2" t="inlineStr"/>
    </row>
    <row r="1337" ht="15" customHeight="1">
      <c r="A1337" t="inlineStr">
        <is>
          <t>A 42798-2022</t>
        </is>
      </c>
      <c r="B1337" s="1" t="n">
        <v>44832</v>
      </c>
      <c r="C1337" s="1" t="n">
        <v>45192</v>
      </c>
      <c r="D1337" t="inlineStr">
        <is>
          <t>VÄSTERBOTTENS LÄN</t>
        </is>
      </c>
      <c r="E1337" t="inlineStr">
        <is>
          <t>SKELLEFTEÅ</t>
        </is>
      </c>
      <c r="G1337" t="n">
        <v>4.5</v>
      </c>
      <c r="H1337" t="n">
        <v>0</v>
      </c>
      <c r="I1337" t="n">
        <v>0</v>
      </c>
      <c r="J1337" t="n">
        <v>0</v>
      </c>
      <c r="K1337" t="n">
        <v>0</v>
      </c>
      <c r="L1337" t="n">
        <v>0</v>
      </c>
      <c r="M1337" t="n">
        <v>0</v>
      </c>
      <c r="N1337" t="n">
        <v>0</v>
      </c>
      <c r="O1337" t="n">
        <v>0</v>
      </c>
      <c r="P1337" t="n">
        <v>0</v>
      </c>
      <c r="Q1337" t="n">
        <v>0</v>
      </c>
      <c r="R1337" s="2" t="inlineStr"/>
    </row>
    <row r="1338" ht="15" customHeight="1">
      <c r="A1338" t="inlineStr">
        <is>
          <t>A 44621-2022</t>
        </is>
      </c>
      <c r="B1338" s="1" t="n">
        <v>44838</v>
      </c>
      <c r="C1338" s="1" t="n">
        <v>45192</v>
      </c>
      <c r="D1338" t="inlineStr">
        <is>
          <t>VÄSTERBOTTENS LÄN</t>
        </is>
      </c>
      <c r="E1338" t="inlineStr">
        <is>
          <t>SKELLEFTEÅ</t>
        </is>
      </c>
      <c r="G1338" t="n">
        <v>0.8</v>
      </c>
      <c r="H1338" t="n">
        <v>0</v>
      </c>
      <c r="I1338" t="n">
        <v>0</v>
      </c>
      <c r="J1338" t="n">
        <v>0</v>
      </c>
      <c r="K1338" t="n">
        <v>0</v>
      </c>
      <c r="L1338" t="n">
        <v>0</v>
      </c>
      <c r="M1338" t="n">
        <v>0</v>
      </c>
      <c r="N1338" t="n">
        <v>0</v>
      </c>
      <c r="O1338" t="n">
        <v>0</v>
      </c>
      <c r="P1338" t="n">
        <v>0</v>
      </c>
      <c r="Q1338" t="n">
        <v>0</v>
      </c>
      <c r="R1338" s="2" t="inlineStr"/>
    </row>
    <row r="1339" ht="15" customHeight="1">
      <c r="A1339" t="inlineStr">
        <is>
          <t>A 44616-2022</t>
        </is>
      </c>
      <c r="B1339" s="1" t="n">
        <v>44839</v>
      </c>
      <c r="C1339" s="1" t="n">
        <v>45192</v>
      </c>
      <c r="D1339" t="inlineStr">
        <is>
          <t>VÄSTERBOTTENS LÄN</t>
        </is>
      </c>
      <c r="E1339" t="inlineStr">
        <is>
          <t>SKELLEFTEÅ</t>
        </is>
      </c>
      <c r="G1339" t="n">
        <v>4.8</v>
      </c>
      <c r="H1339" t="n">
        <v>0</v>
      </c>
      <c r="I1339" t="n">
        <v>0</v>
      </c>
      <c r="J1339" t="n">
        <v>0</v>
      </c>
      <c r="K1339" t="n">
        <v>0</v>
      </c>
      <c r="L1339" t="n">
        <v>0</v>
      </c>
      <c r="M1339" t="n">
        <v>0</v>
      </c>
      <c r="N1339" t="n">
        <v>0</v>
      </c>
      <c r="O1339" t="n">
        <v>0</v>
      </c>
      <c r="P1339" t="n">
        <v>0</v>
      </c>
      <c r="Q1339" t="n">
        <v>0</v>
      </c>
      <c r="R1339" s="2" t="inlineStr"/>
    </row>
    <row r="1340" ht="15" customHeight="1">
      <c r="A1340" t="inlineStr">
        <is>
          <t>A 44959-2022</t>
        </is>
      </c>
      <c r="B1340" s="1" t="n">
        <v>44839</v>
      </c>
      <c r="C1340" s="1" t="n">
        <v>45192</v>
      </c>
      <c r="D1340" t="inlineStr">
        <is>
          <t>VÄSTERBOTTENS LÄN</t>
        </is>
      </c>
      <c r="E1340" t="inlineStr">
        <is>
          <t>SKELLEFTEÅ</t>
        </is>
      </c>
      <c r="G1340" t="n">
        <v>17.3</v>
      </c>
      <c r="H1340" t="n">
        <v>0</v>
      </c>
      <c r="I1340" t="n">
        <v>0</v>
      </c>
      <c r="J1340" t="n">
        <v>0</v>
      </c>
      <c r="K1340" t="n">
        <v>0</v>
      </c>
      <c r="L1340" t="n">
        <v>0</v>
      </c>
      <c r="M1340" t="n">
        <v>0</v>
      </c>
      <c r="N1340" t="n">
        <v>0</v>
      </c>
      <c r="O1340" t="n">
        <v>0</v>
      </c>
      <c r="P1340" t="n">
        <v>0</v>
      </c>
      <c r="Q1340" t="n">
        <v>0</v>
      </c>
      <c r="R1340" s="2" t="inlineStr"/>
    </row>
    <row r="1341" ht="15" customHeight="1">
      <c r="A1341" t="inlineStr">
        <is>
          <t>A 44611-2022</t>
        </is>
      </c>
      <c r="B1341" s="1" t="n">
        <v>44839</v>
      </c>
      <c r="C1341" s="1" t="n">
        <v>45192</v>
      </c>
      <c r="D1341" t="inlineStr">
        <is>
          <t>VÄSTERBOTTENS LÄN</t>
        </is>
      </c>
      <c r="E1341" t="inlineStr">
        <is>
          <t>SKELLEFTEÅ</t>
        </is>
      </c>
      <c r="G1341" t="n">
        <v>1.3</v>
      </c>
      <c r="H1341" t="n">
        <v>0</v>
      </c>
      <c r="I1341" t="n">
        <v>0</v>
      </c>
      <c r="J1341" t="n">
        <v>0</v>
      </c>
      <c r="K1341" t="n">
        <v>0</v>
      </c>
      <c r="L1341" t="n">
        <v>0</v>
      </c>
      <c r="M1341" t="n">
        <v>0</v>
      </c>
      <c r="N1341" t="n">
        <v>0</v>
      </c>
      <c r="O1341" t="n">
        <v>0</v>
      </c>
      <c r="P1341" t="n">
        <v>0</v>
      </c>
      <c r="Q1341" t="n">
        <v>0</v>
      </c>
      <c r="R1341" s="2" t="inlineStr"/>
    </row>
    <row r="1342" ht="15" customHeight="1">
      <c r="A1342" t="inlineStr">
        <is>
          <t>A 44397-2022</t>
        </is>
      </c>
      <c r="B1342" s="1" t="n">
        <v>44839</v>
      </c>
      <c r="C1342" s="1" t="n">
        <v>45192</v>
      </c>
      <c r="D1342" t="inlineStr">
        <is>
          <t>VÄSTERBOTTENS LÄN</t>
        </is>
      </c>
      <c r="E1342" t="inlineStr">
        <is>
          <t>SKELLEFTEÅ</t>
        </is>
      </c>
      <c r="F1342" t="inlineStr">
        <is>
          <t>Sveaskog</t>
        </is>
      </c>
      <c r="G1342" t="n">
        <v>31.1</v>
      </c>
      <c r="H1342" t="n">
        <v>0</v>
      </c>
      <c r="I1342" t="n">
        <v>0</v>
      </c>
      <c r="J1342" t="n">
        <v>0</v>
      </c>
      <c r="K1342" t="n">
        <v>0</v>
      </c>
      <c r="L1342" t="n">
        <v>0</v>
      </c>
      <c r="M1342" t="n">
        <v>0</v>
      </c>
      <c r="N1342" t="n">
        <v>0</v>
      </c>
      <c r="O1342" t="n">
        <v>0</v>
      </c>
      <c r="P1342" t="n">
        <v>0</v>
      </c>
      <c r="Q1342" t="n">
        <v>0</v>
      </c>
      <c r="R1342" s="2" t="inlineStr"/>
    </row>
    <row r="1343" ht="15" customHeight="1">
      <c r="A1343" t="inlineStr">
        <is>
          <t>A 44398-2022</t>
        </is>
      </c>
      <c r="B1343" s="1" t="n">
        <v>44839</v>
      </c>
      <c r="C1343" s="1" t="n">
        <v>45192</v>
      </c>
      <c r="D1343" t="inlineStr">
        <is>
          <t>VÄSTERBOTTENS LÄN</t>
        </is>
      </c>
      <c r="E1343" t="inlineStr">
        <is>
          <t>SKELLEFTEÅ</t>
        </is>
      </c>
      <c r="F1343" t="inlineStr">
        <is>
          <t>Sveaskog</t>
        </is>
      </c>
      <c r="G1343" t="n">
        <v>22.3</v>
      </c>
      <c r="H1343" t="n">
        <v>0</v>
      </c>
      <c r="I1343" t="n">
        <v>0</v>
      </c>
      <c r="J1343" t="n">
        <v>0</v>
      </c>
      <c r="K1343" t="n">
        <v>0</v>
      </c>
      <c r="L1343" t="n">
        <v>0</v>
      </c>
      <c r="M1343" t="n">
        <v>0</v>
      </c>
      <c r="N1343" t="n">
        <v>0</v>
      </c>
      <c r="O1343" t="n">
        <v>0</v>
      </c>
      <c r="P1343" t="n">
        <v>0</v>
      </c>
      <c r="Q1343" t="n">
        <v>0</v>
      </c>
      <c r="R1343" s="2" t="inlineStr"/>
    </row>
    <row r="1344" ht="15" customHeight="1">
      <c r="A1344" t="inlineStr">
        <is>
          <t>A 45011-2022</t>
        </is>
      </c>
      <c r="B1344" s="1" t="n">
        <v>44840</v>
      </c>
      <c r="C1344" s="1" t="n">
        <v>45192</v>
      </c>
      <c r="D1344" t="inlineStr">
        <is>
          <t>VÄSTERBOTTENS LÄN</t>
        </is>
      </c>
      <c r="E1344" t="inlineStr">
        <is>
          <t>SKELLEFTEÅ</t>
        </is>
      </c>
      <c r="G1344" t="n">
        <v>4.8</v>
      </c>
      <c r="H1344" t="n">
        <v>0</v>
      </c>
      <c r="I1344" t="n">
        <v>0</v>
      </c>
      <c r="J1344" t="n">
        <v>0</v>
      </c>
      <c r="K1344" t="n">
        <v>0</v>
      </c>
      <c r="L1344" t="n">
        <v>0</v>
      </c>
      <c r="M1344" t="n">
        <v>0</v>
      </c>
      <c r="N1344" t="n">
        <v>0</v>
      </c>
      <c r="O1344" t="n">
        <v>0</v>
      </c>
      <c r="P1344" t="n">
        <v>0</v>
      </c>
      <c r="Q1344" t="n">
        <v>0</v>
      </c>
      <c r="R1344" s="2" t="inlineStr"/>
    </row>
    <row r="1345" ht="15" customHeight="1">
      <c r="A1345" t="inlineStr">
        <is>
          <t>A 45890-2022</t>
        </is>
      </c>
      <c r="B1345" s="1" t="n">
        <v>44844</v>
      </c>
      <c r="C1345" s="1" t="n">
        <v>45192</v>
      </c>
      <c r="D1345" t="inlineStr">
        <is>
          <t>VÄSTERBOTTENS LÄN</t>
        </is>
      </c>
      <c r="E1345" t="inlineStr">
        <is>
          <t>SKELLEFTEÅ</t>
        </is>
      </c>
      <c r="G1345" t="n">
        <v>0.5</v>
      </c>
      <c r="H1345" t="n">
        <v>0</v>
      </c>
      <c r="I1345" t="n">
        <v>0</v>
      </c>
      <c r="J1345" t="n">
        <v>0</v>
      </c>
      <c r="K1345" t="n">
        <v>0</v>
      </c>
      <c r="L1345" t="n">
        <v>0</v>
      </c>
      <c r="M1345" t="n">
        <v>0</v>
      </c>
      <c r="N1345" t="n">
        <v>0</v>
      </c>
      <c r="O1345" t="n">
        <v>0</v>
      </c>
      <c r="P1345" t="n">
        <v>0</v>
      </c>
      <c r="Q1345" t="n">
        <v>0</v>
      </c>
      <c r="R1345" s="2" t="inlineStr"/>
    </row>
    <row r="1346" ht="15" customHeight="1">
      <c r="A1346" t="inlineStr">
        <is>
          <t>A 45985-2022</t>
        </is>
      </c>
      <c r="B1346" s="1" t="n">
        <v>44844</v>
      </c>
      <c r="C1346" s="1" t="n">
        <v>45192</v>
      </c>
      <c r="D1346" t="inlineStr">
        <is>
          <t>VÄSTERBOTTENS LÄN</t>
        </is>
      </c>
      <c r="E1346" t="inlineStr">
        <is>
          <t>SKELLEFTEÅ</t>
        </is>
      </c>
      <c r="G1346" t="n">
        <v>0.7</v>
      </c>
      <c r="H1346" t="n">
        <v>0</v>
      </c>
      <c r="I1346" t="n">
        <v>0</v>
      </c>
      <c r="J1346" t="n">
        <v>0</v>
      </c>
      <c r="K1346" t="n">
        <v>0</v>
      </c>
      <c r="L1346" t="n">
        <v>0</v>
      </c>
      <c r="M1346" t="n">
        <v>0</v>
      </c>
      <c r="N1346" t="n">
        <v>0</v>
      </c>
      <c r="O1346" t="n">
        <v>0</v>
      </c>
      <c r="P1346" t="n">
        <v>0</v>
      </c>
      <c r="Q1346" t="n">
        <v>0</v>
      </c>
      <c r="R1346" s="2" t="inlineStr"/>
    </row>
    <row r="1347" ht="15" customHeight="1">
      <c r="A1347" t="inlineStr">
        <is>
          <t>A 46181-2022</t>
        </is>
      </c>
      <c r="B1347" s="1" t="n">
        <v>44845</v>
      </c>
      <c r="C1347" s="1" t="n">
        <v>45192</v>
      </c>
      <c r="D1347" t="inlineStr">
        <is>
          <t>VÄSTERBOTTENS LÄN</t>
        </is>
      </c>
      <c r="E1347" t="inlineStr">
        <is>
          <t>SKELLEFTEÅ</t>
        </is>
      </c>
      <c r="G1347" t="n">
        <v>0.9</v>
      </c>
      <c r="H1347" t="n">
        <v>0</v>
      </c>
      <c r="I1347" t="n">
        <v>0</v>
      </c>
      <c r="J1347" t="n">
        <v>0</v>
      </c>
      <c r="K1347" t="n">
        <v>0</v>
      </c>
      <c r="L1347" t="n">
        <v>0</v>
      </c>
      <c r="M1347" t="n">
        <v>0</v>
      </c>
      <c r="N1347" t="n">
        <v>0</v>
      </c>
      <c r="O1347" t="n">
        <v>0</v>
      </c>
      <c r="P1347" t="n">
        <v>0</v>
      </c>
      <c r="Q1347" t="n">
        <v>0</v>
      </c>
      <c r="R1347" s="2" t="inlineStr"/>
    </row>
    <row r="1348" ht="15" customHeight="1">
      <c r="A1348" t="inlineStr">
        <is>
          <t>A 46218-2022</t>
        </is>
      </c>
      <c r="B1348" s="1" t="n">
        <v>44845</v>
      </c>
      <c r="C1348" s="1" t="n">
        <v>45192</v>
      </c>
      <c r="D1348" t="inlineStr">
        <is>
          <t>VÄSTERBOTTENS LÄN</t>
        </is>
      </c>
      <c r="E1348" t="inlineStr">
        <is>
          <t>SKELLEFTEÅ</t>
        </is>
      </c>
      <c r="G1348" t="n">
        <v>1.3</v>
      </c>
      <c r="H1348" t="n">
        <v>0</v>
      </c>
      <c r="I1348" t="n">
        <v>0</v>
      </c>
      <c r="J1348" t="n">
        <v>0</v>
      </c>
      <c r="K1348" t="n">
        <v>0</v>
      </c>
      <c r="L1348" t="n">
        <v>0</v>
      </c>
      <c r="M1348" t="n">
        <v>0</v>
      </c>
      <c r="N1348" t="n">
        <v>0</v>
      </c>
      <c r="O1348" t="n">
        <v>0</v>
      </c>
      <c r="P1348" t="n">
        <v>0</v>
      </c>
      <c r="Q1348" t="n">
        <v>0</v>
      </c>
      <c r="R1348" s="2" t="inlineStr"/>
    </row>
    <row r="1349" ht="15" customHeight="1">
      <c r="A1349" t="inlineStr">
        <is>
          <t>A 45619-2022</t>
        </is>
      </c>
      <c r="B1349" s="1" t="n">
        <v>44845</v>
      </c>
      <c r="C1349" s="1" t="n">
        <v>45192</v>
      </c>
      <c r="D1349" t="inlineStr">
        <is>
          <t>VÄSTERBOTTENS LÄN</t>
        </is>
      </c>
      <c r="E1349" t="inlineStr">
        <is>
          <t>SKELLEFTEÅ</t>
        </is>
      </c>
      <c r="F1349" t="inlineStr">
        <is>
          <t>Holmen skog AB</t>
        </is>
      </c>
      <c r="G1349" t="n">
        <v>7.4</v>
      </c>
      <c r="H1349" t="n">
        <v>0</v>
      </c>
      <c r="I1349" t="n">
        <v>0</v>
      </c>
      <c r="J1349" t="n">
        <v>0</v>
      </c>
      <c r="K1349" t="n">
        <v>0</v>
      </c>
      <c r="L1349" t="n">
        <v>0</v>
      </c>
      <c r="M1349" t="n">
        <v>0</v>
      </c>
      <c r="N1349" t="n">
        <v>0</v>
      </c>
      <c r="O1349" t="n">
        <v>0</v>
      </c>
      <c r="P1349" t="n">
        <v>0</v>
      </c>
      <c r="Q1349" t="n">
        <v>0</v>
      </c>
      <c r="R1349" s="2" t="inlineStr"/>
    </row>
    <row r="1350" ht="15" customHeight="1">
      <c r="A1350" t="inlineStr">
        <is>
          <t>A 45554-2022</t>
        </is>
      </c>
      <c r="B1350" s="1" t="n">
        <v>44845</v>
      </c>
      <c r="C1350" s="1" t="n">
        <v>45192</v>
      </c>
      <c r="D1350" t="inlineStr">
        <is>
          <t>VÄSTERBOTTENS LÄN</t>
        </is>
      </c>
      <c r="E1350" t="inlineStr">
        <is>
          <t>SKELLEFTEÅ</t>
        </is>
      </c>
      <c r="F1350" t="inlineStr">
        <is>
          <t>Holmen skog AB</t>
        </is>
      </c>
      <c r="G1350" t="n">
        <v>11</v>
      </c>
      <c r="H1350" t="n">
        <v>0</v>
      </c>
      <c r="I1350" t="n">
        <v>0</v>
      </c>
      <c r="J1350" t="n">
        <v>0</v>
      </c>
      <c r="K1350" t="n">
        <v>0</v>
      </c>
      <c r="L1350" t="n">
        <v>0</v>
      </c>
      <c r="M1350" t="n">
        <v>0</v>
      </c>
      <c r="N1350" t="n">
        <v>0</v>
      </c>
      <c r="O1350" t="n">
        <v>0</v>
      </c>
      <c r="P1350" t="n">
        <v>0</v>
      </c>
      <c r="Q1350" t="n">
        <v>0</v>
      </c>
      <c r="R1350" s="2" t="inlineStr"/>
    </row>
    <row r="1351" ht="15" customHeight="1">
      <c r="A1351" t="inlineStr">
        <is>
          <t>A 46233-2022</t>
        </is>
      </c>
      <c r="B1351" s="1" t="n">
        <v>44847</v>
      </c>
      <c r="C1351" s="1" t="n">
        <v>45192</v>
      </c>
      <c r="D1351" t="inlineStr">
        <is>
          <t>VÄSTERBOTTENS LÄN</t>
        </is>
      </c>
      <c r="E1351" t="inlineStr">
        <is>
          <t>SKELLEFTEÅ</t>
        </is>
      </c>
      <c r="G1351" t="n">
        <v>1.6</v>
      </c>
      <c r="H1351" t="n">
        <v>0</v>
      </c>
      <c r="I1351" t="n">
        <v>0</v>
      </c>
      <c r="J1351" t="n">
        <v>0</v>
      </c>
      <c r="K1351" t="n">
        <v>0</v>
      </c>
      <c r="L1351" t="n">
        <v>0</v>
      </c>
      <c r="M1351" t="n">
        <v>0</v>
      </c>
      <c r="N1351" t="n">
        <v>0</v>
      </c>
      <c r="O1351" t="n">
        <v>0</v>
      </c>
      <c r="P1351" t="n">
        <v>0</v>
      </c>
      <c r="Q1351" t="n">
        <v>0</v>
      </c>
      <c r="R1351" s="2" t="inlineStr"/>
    </row>
    <row r="1352" ht="15" customHeight="1">
      <c r="A1352" t="inlineStr">
        <is>
          <t>A 46868-2022</t>
        </is>
      </c>
      <c r="B1352" s="1" t="n">
        <v>44848</v>
      </c>
      <c r="C1352" s="1" t="n">
        <v>45192</v>
      </c>
      <c r="D1352" t="inlineStr">
        <is>
          <t>VÄSTERBOTTENS LÄN</t>
        </is>
      </c>
      <c r="E1352" t="inlineStr">
        <is>
          <t>SKELLEFTEÅ</t>
        </is>
      </c>
      <c r="G1352" t="n">
        <v>11.8</v>
      </c>
      <c r="H1352" t="n">
        <v>0</v>
      </c>
      <c r="I1352" t="n">
        <v>0</v>
      </c>
      <c r="J1352" t="n">
        <v>0</v>
      </c>
      <c r="K1352" t="n">
        <v>0</v>
      </c>
      <c r="L1352" t="n">
        <v>0</v>
      </c>
      <c r="M1352" t="n">
        <v>0</v>
      </c>
      <c r="N1352" t="n">
        <v>0</v>
      </c>
      <c r="O1352" t="n">
        <v>0</v>
      </c>
      <c r="P1352" t="n">
        <v>0</v>
      </c>
      <c r="Q1352" t="n">
        <v>0</v>
      </c>
      <c r="R1352" s="2" t="inlineStr"/>
    </row>
    <row r="1353" ht="15" customHeight="1">
      <c r="A1353" t="inlineStr">
        <is>
          <t>A 46409-2022</t>
        </is>
      </c>
      <c r="B1353" s="1" t="n">
        <v>44848</v>
      </c>
      <c r="C1353" s="1" t="n">
        <v>45192</v>
      </c>
      <c r="D1353" t="inlineStr">
        <is>
          <t>VÄSTERBOTTENS LÄN</t>
        </is>
      </c>
      <c r="E1353" t="inlineStr">
        <is>
          <t>SKELLEFTEÅ</t>
        </is>
      </c>
      <c r="F1353" t="inlineStr">
        <is>
          <t>Holmen skog AB</t>
        </is>
      </c>
      <c r="G1353" t="n">
        <v>9.199999999999999</v>
      </c>
      <c r="H1353" t="n">
        <v>0</v>
      </c>
      <c r="I1353" t="n">
        <v>0</v>
      </c>
      <c r="J1353" t="n">
        <v>0</v>
      </c>
      <c r="K1353" t="n">
        <v>0</v>
      </c>
      <c r="L1353" t="n">
        <v>0</v>
      </c>
      <c r="M1353" t="n">
        <v>0</v>
      </c>
      <c r="N1353" t="n">
        <v>0</v>
      </c>
      <c r="O1353" t="n">
        <v>0</v>
      </c>
      <c r="P1353" t="n">
        <v>0</v>
      </c>
      <c r="Q1353" t="n">
        <v>0</v>
      </c>
      <c r="R1353" s="2" t="inlineStr"/>
    </row>
    <row r="1354" ht="15" customHeight="1">
      <c r="A1354" t="inlineStr">
        <is>
          <t>A 47499-2022</t>
        </is>
      </c>
      <c r="B1354" s="1" t="n">
        <v>44852</v>
      </c>
      <c r="C1354" s="1" t="n">
        <v>45192</v>
      </c>
      <c r="D1354" t="inlineStr">
        <is>
          <t>VÄSTERBOTTENS LÄN</t>
        </is>
      </c>
      <c r="E1354" t="inlineStr">
        <is>
          <t>SKELLEFTEÅ</t>
        </is>
      </c>
      <c r="G1354" t="n">
        <v>1.8</v>
      </c>
      <c r="H1354" t="n">
        <v>0</v>
      </c>
      <c r="I1354" t="n">
        <v>0</v>
      </c>
      <c r="J1354" t="n">
        <v>0</v>
      </c>
      <c r="K1354" t="n">
        <v>0</v>
      </c>
      <c r="L1354" t="n">
        <v>0</v>
      </c>
      <c r="M1354" t="n">
        <v>0</v>
      </c>
      <c r="N1354" t="n">
        <v>0</v>
      </c>
      <c r="O1354" t="n">
        <v>0</v>
      </c>
      <c r="P1354" t="n">
        <v>0</v>
      </c>
      <c r="Q1354" t="n">
        <v>0</v>
      </c>
      <c r="R1354" s="2" t="inlineStr"/>
    </row>
    <row r="1355" ht="15" customHeight="1">
      <c r="A1355" t="inlineStr">
        <is>
          <t>A 47500-2022</t>
        </is>
      </c>
      <c r="B1355" s="1" t="n">
        <v>44852</v>
      </c>
      <c r="C1355" s="1" t="n">
        <v>45192</v>
      </c>
      <c r="D1355" t="inlineStr">
        <is>
          <t>VÄSTERBOTTENS LÄN</t>
        </is>
      </c>
      <c r="E1355" t="inlineStr">
        <is>
          <t>SKELLEFTEÅ</t>
        </is>
      </c>
      <c r="G1355" t="n">
        <v>7.9</v>
      </c>
      <c r="H1355" t="n">
        <v>0</v>
      </c>
      <c r="I1355" t="n">
        <v>0</v>
      </c>
      <c r="J1355" t="n">
        <v>0</v>
      </c>
      <c r="K1355" t="n">
        <v>0</v>
      </c>
      <c r="L1355" t="n">
        <v>0</v>
      </c>
      <c r="M1355" t="n">
        <v>0</v>
      </c>
      <c r="N1355" t="n">
        <v>0</v>
      </c>
      <c r="O1355" t="n">
        <v>0</v>
      </c>
      <c r="P1355" t="n">
        <v>0</v>
      </c>
      <c r="Q1355" t="n">
        <v>0</v>
      </c>
      <c r="R1355" s="2" t="inlineStr"/>
    </row>
    <row r="1356" ht="15" customHeight="1">
      <c r="A1356" t="inlineStr">
        <is>
          <t>A 47637-2022</t>
        </is>
      </c>
      <c r="B1356" s="1" t="n">
        <v>44852</v>
      </c>
      <c r="C1356" s="1" t="n">
        <v>45192</v>
      </c>
      <c r="D1356" t="inlineStr">
        <is>
          <t>VÄSTERBOTTENS LÄN</t>
        </is>
      </c>
      <c r="E1356" t="inlineStr">
        <is>
          <t>SKELLEFTEÅ</t>
        </is>
      </c>
      <c r="G1356" t="n">
        <v>5.9</v>
      </c>
      <c r="H1356" t="n">
        <v>0</v>
      </c>
      <c r="I1356" t="n">
        <v>0</v>
      </c>
      <c r="J1356" t="n">
        <v>0</v>
      </c>
      <c r="K1356" t="n">
        <v>0</v>
      </c>
      <c r="L1356" t="n">
        <v>0</v>
      </c>
      <c r="M1356" t="n">
        <v>0</v>
      </c>
      <c r="N1356" t="n">
        <v>0</v>
      </c>
      <c r="O1356" t="n">
        <v>0</v>
      </c>
      <c r="P1356" t="n">
        <v>0</v>
      </c>
      <c r="Q1356" t="n">
        <v>0</v>
      </c>
      <c r="R1356" s="2" t="inlineStr"/>
    </row>
    <row r="1357" ht="15" customHeight="1">
      <c r="A1357" t="inlineStr">
        <is>
          <t>A 47988-2022</t>
        </is>
      </c>
      <c r="B1357" s="1" t="n">
        <v>44853</v>
      </c>
      <c r="C1357" s="1" t="n">
        <v>45192</v>
      </c>
      <c r="D1357" t="inlineStr">
        <is>
          <t>VÄSTERBOTTENS LÄN</t>
        </is>
      </c>
      <c r="E1357" t="inlineStr">
        <is>
          <t>SKELLEFTEÅ</t>
        </is>
      </c>
      <c r="G1357" t="n">
        <v>4.6</v>
      </c>
      <c r="H1357" t="n">
        <v>0</v>
      </c>
      <c r="I1357" t="n">
        <v>0</v>
      </c>
      <c r="J1357" t="n">
        <v>0</v>
      </c>
      <c r="K1357" t="n">
        <v>0</v>
      </c>
      <c r="L1357" t="n">
        <v>0</v>
      </c>
      <c r="M1357" t="n">
        <v>0</v>
      </c>
      <c r="N1357" t="n">
        <v>0</v>
      </c>
      <c r="O1357" t="n">
        <v>0</v>
      </c>
      <c r="P1357" t="n">
        <v>0</v>
      </c>
      <c r="Q1357" t="n">
        <v>0</v>
      </c>
      <c r="R1357" s="2" t="inlineStr"/>
    </row>
    <row r="1358" ht="15" customHeight="1">
      <c r="A1358" t="inlineStr">
        <is>
          <t>A 47984-2022</t>
        </is>
      </c>
      <c r="B1358" s="1" t="n">
        <v>44853</v>
      </c>
      <c r="C1358" s="1" t="n">
        <v>45192</v>
      </c>
      <c r="D1358" t="inlineStr">
        <is>
          <t>VÄSTERBOTTENS LÄN</t>
        </is>
      </c>
      <c r="E1358" t="inlineStr">
        <is>
          <t>SKELLEFTEÅ</t>
        </is>
      </c>
      <c r="G1358" t="n">
        <v>2.8</v>
      </c>
      <c r="H1358" t="n">
        <v>0</v>
      </c>
      <c r="I1358" t="n">
        <v>0</v>
      </c>
      <c r="J1358" t="n">
        <v>0</v>
      </c>
      <c r="K1358" t="n">
        <v>0</v>
      </c>
      <c r="L1358" t="n">
        <v>0</v>
      </c>
      <c r="M1358" t="n">
        <v>0</v>
      </c>
      <c r="N1358" t="n">
        <v>0</v>
      </c>
      <c r="O1358" t="n">
        <v>0</v>
      </c>
      <c r="P1358" t="n">
        <v>0</v>
      </c>
      <c r="Q1358" t="n">
        <v>0</v>
      </c>
      <c r="R1358" s="2" t="inlineStr"/>
    </row>
    <row r="1359" ht="15" customHeight="1">
      <c r="A1359" t="inlineStr">
        <is>
          <t>A 47991-2022</t>
        </is>
      </c>
      <c r="B1359" s="1" t="n">
        <v>44853</v>
      </c>
      <c r="C1359" s="1" t="n">
        <v>45192</v>
      </c>
      <c r="D1359" t="inlineStr">
        <is>
          <t>VÄSTERBOTTENS LÄN</t>
        </is>
      </c>
      <c r="E1359" t="inlineStr">
        <is>
          <t>SKELLEFTEÅ</t>
        </is>
      </c>
      <c r="G1359" t="n">
        <v>5.3</v>
      </c>
      <c r="H1359" t="n">
        <v>0</v>
      </c>
      <c r="I1359" t="n">
        <v>0</v>
      </c>
      <c r="J1359" t="n">
        <v>0</v>
      </c>
      <c r="K1359" t="n">
        <v>0</v>
      </c>
      <c r="L1359" t="n">
        <v>0</v>
      </c>
      <c r="M1359" t="n">
        <v>0</v>
      </c>
      <c r="N1359" t="n">
        <v>0</v>
      </c>
      <c r="O1359" t="n">
        <v>0</v>
      </c>
      <c r="P1359" t="n">
        <v>0</v>
      </c>
      <c r="Q1359" t="n">
        <v>0</v>
      </c>
      <c r="R1359" s="2" t="inlineStr"/>
    </row>
    <row r="1360" ht="15" customHeight="1">
      <c r="A1360" t="inlineStr">
        <is>
          <t>A 47979-2022</t>
        </is>
      </c>
      <c r="B1360" s="1" t="n">
        <v>44853</v>
      </c>
      <c r="C1360" s="1" t="n">
        <v>45192</v>
      </c>
      <c r="D1360" t="inlineStr">
        <is>
          <t>VÄSTERBOTTENS LÄN</t>
        </is>
      </c>
      <c r="E1360" t="inlineStr">
        <is>
          <t>SKELLEFTEÅ</t>
        </is>
      </c>
      <c r="G1360" t="n">
        <v>11.7</v>
      </c>
      <c r="H1360" t="n">
        <v>0</v>
      </c>
      <c r="I1360" t="n">
        <v>0</v>
      </c>
      <c r="J1360" t="n">
        <v>0</v>
      </c>
      <c r="K1360" t="n">
        <v>0</v>
      </c>
      <c r="L1360" t="n">
        <v>0</v>
      </c>
      <c r="M1360" t="n">
        <v>0</v>
      </c>
      <c r="N1360" t="n">
        <v>0</v>
      </c>
      <c r="O1360" t="n">
        <v>0</v>
      </c>
      <c r="P1360" t="n">
        <v>0</v>
      </c>
      <c r="Q1360" t="n">
        <v>0</v>
      </c>
      <c r="R1360" s="2" t="inlineStr"/>
    </row>
    <row r="1361" ht="15" customHeight="1">
      <c r="A1361" t="inlineStr">
        <is>
          <t>A 48722-2022</t>
        </is>
      </c>
      <c r="B1361" s="1" t="n">
        <v>44855</v>
      </c>
      <c r="C1361" s="1" t="n">
        <v>45192</v>
      </c>
      <c r="D1361" t="inlineStr">
        <is>
          <t>VÄSTERBOTTENS LÄN</t>
        </is>
      </c>
      <c r="E1361" t="inlineStr">
        <is>
          <t>SKELLEFTEÅ</t>
        </is>
      </c>
      <c r="G1361" t="n">
        <v>1.5</v>
      </c>
      <c r="H1361" t="n">
        <v>0</v>
      </c>
      <c r="I1361" t="n">
        <v>0</v>
      </c>
      <c r="J1361" t="n">
        <v>0</v>
      </c>
      <c r="K1361" t="n">
        <v>0</v>
      </c>
      <c r="L1361" t="n">
        <v>0</v>
      </c>
      <c r="M1361" t="n">
        <v>0</v>
      </c>
      <c r="N1361" t="n">
        <v>0</v>
      </c>
      <c r="O1361" t="n">
        <v>0</v>
      </c>
      <c r="P1361" t="n">
        <v>0</v>
      </c>
      <c r="Q1361" t="n">
        <v>0</v>
      </c>
      <c r="R1361" s="2" t="inlineStr"/>
    </row>
    <row r="1362" ht="15" customHeight="1">
      <c r="A1362" t="inlineStr">
        <is>
          <t>A 48125-2022</t>
        </is>
      </c>
      <c r="B1362" s="1" t="n">
        <v>44857</v>
      </c>
      <c r="C1362" s="1" t="n">
        <v>45192</v>
      </c>
      <c r="D1362" t="inlineStr">
        <is>
          <t>VÄSTERBOTTENS LÄN</t>
        </is>
      </c>
      <c r="E1362" t="inlineStr">
        <is>
          <t>SKELLEFTEÅ</t>
        </is>
      </c>
      <c r="G1362" t="n">
        <v>0.8</v>
      </c>
      <c r="H1362" t="n">
        <v>0</v>
      </c>
      <c r="I1362" t="n">
        <v>0</v>
      </c>
      <c r="J1362" t="n">
        <v>0</v>
      </c>
      <c r="K1362" t="n">
        <v>0</v>
      </c>
      <c r="L1362" t="n">
        <v>0</v>
      </c>
      <c r="M1362" t="n">
        <v>0</v>
      </c>
      <c r="N1362" t="n">
        <v>0</v>
      </c>
      <c r="O1362" t="n">
        <v>0</v>
      </c>
      <c r="P1362" t="n">
        <v>0</v>
      </c>
      <c r="Q1362" t="n">
        <v>0</v>
      </c>
      <c r="R1362" s="2" t="inlineStr"/>
    </row>
    <row r="1363" ht="15" customHeight="1">
      <c r="A1363" t="inlineStr">
        <is>
          <t>A 48133-2022</t>
        </is>
      </c>
      <c r="B1363" s="1" t="n">
        <v>44857</v>
      </c>
      <c r="C1363" s="1" t="n">
        <v>45192</v>
      </c>
      <c r="D1363" t="inlineStr">
        <is>
          <t>VÄSTERBOTTENS LÄN</t>
        </is>
      </c>
      <c r="E1363" t="inlineStr">
        <is>
          <t>SKELLEFTEÅ</t>
        </is>
      </c>
      <c r="F1363" t="inlineStr">
        <is>
          <t>Sveaskog</t>
        </is>
      </c>
      <c r="G1363" t="n">
        <v>18.3</v>
      </c>
      <c r="H1363" t="n">
        <v>0</v>
      </c>
      <c r="I1363" t="n">
        <v>0</v>
      </c>
      <c r="J1363" t="n">
        <v>0</v>
      </c>
      <c r="K1363" t="n">
        <v>0</v>
      </c>
      <c r="L1363" t="n">
        <v>0</v>
      </c>
      <c r="M1363" t="n">
        <v>0</v>
      </c>
      <c r="N1363" t="n">
        <v>0</v>
      </c>
      <c r="O1363" t="n">
        <v>0</v>
      </c>
      <c r="P1363" t="n">
        <v>0</v>
      </c>
      <c r="Q1363" t="n">
        <v>0</v>
      </c>
      <c r="R1363" s="2" t="inlineStr"/>
    </row>
    <row r="1364" ht="15" customHeight="1">
      <c r="A1364" t="inlineStr">
        <is>
          <t>A 49109-2022</t>
        </is>
      </c>
      <c r="B1364" s="1" t="n">
        <v>44858</v>
      </c>
      <c r="C1364" s="1" t="n">
        <v>45192</v>
      </c>
      <c r="D1364" t="inlineStr">
        <is>
          <t>VÄSTERBOTTENS LÄN</t>
        </is>
      </c>
      <c r="E1364" t="inlineStr">
        <is>
          <t>SKELLEFTEÅ</t>
        </is>
      </c>
      <c r="G1364" t="n">
        <v>7.5</v>
      </c>
      <c r="H1364" t="n">
        <v>0</v>
      </c>
      <c r="I1364" t="n">
        <v>0</v>
      </c>
      <c r="J1364" t="n">
        <v>0</v>
      </c>
      <c r="K1364" t="n">
        <v>0</v>
      </c>
      <c r="L1364" t="n">
        <v>0</v>
      </c>
      <c r="M1364" t="n">
        <v>0</v>
      </c>
      <c r="N1364" t="n">
        <v>0</v>
      </c>
      <c r="O1364" t="n">
        <v>0</v>
      </c>
      <c r="P1364" t="n">
        <v>0</v>
      </c>
      <c r="Q1364" t="n">
        <v>0</v>
      </c>
      <c r="R1364" s="2" t="inlineStr"/>
    </row>
    <row r="1365" ht="15" customHeight="1">
      <c r="A1365" t="inlineStr">
        <is>
          <t>A 49241-2022</t>
        </is>
      </c>
      <c r="B1365" s="1" t="n">
        <v>44858</v>
      </c>
      <c r="C1365" s="1" t="n">
        <v>45192</v>
      </c>
      <c r="D1365" t="inlineStr">
        <is>
          <t>VÄSTERBOTTENS LÄN</t>
        </is>
      </c>
      <c r="E1365" t="inlineStr">
        <is>
          <t>SKELLEFTEÅ</t>
        </is>
      </c>
      <c r="G1365" t="n">
        <v>6.3</v>
      </c>
      <c r="H1365" t="n">
        <v>0</v>
      </c>
      <c r="I1365" t="n">
        <v>0</v>
      </c>
      <c r="J1365" t="n">
        <v>0</v>
      </c>
      <c r="K1365" t="n">
        <v>0</v>
      </c>
      <c r="L1365" t="n">
        <v>0</v>
      </c>
      <c r="M1365" t="n">
        <v>0</v>
      </c>
      <c r="N1365" t="n">
        <v>0</v>
      </c>
      <c r="O1365" t="n">
        <v>0</v>
      </c>
      <c r="P1365" t="n">
        <v>0</v>
      </c>
      <c r="Q1365" t="n">
        <v>0</v>
      </c>
      <c r="R1365" s="2" t="inlineStr"/>
    </row>
    <row r="1366" ht="15" customHeight="1">
      <c r="A1366" t="inlineStr">
        <is>
          <t>A 49620-2022</t>
        </is>
      </c>
      <c r="B1366" s="1" t="n">
        <v>44859</v>
      </c>
      <c r="C1366" s="1" t="n">
        <v>45192</v>
      </c>
      <c r="D1366" t="inlineStr">
        <is>
          <t>VÄSTERBOTTENS LÄN</t>
        </is>
      </c>
      <c r="E1366" t="inlineStr">
        <is>
          <t>SKELLEFTEÅ</t>
        </is>
      </c>
      <c r="G1366" t="n">
        <v>3.7</v>
      </c>
      <c r="H1366" t="n">
        <v>0</v>
      </c>
      <c r="I1366" t="n">
        <v>0</v>
      </c>
      <c r="J1366" t="n">
        <v>0</v>
      </c>
      <c r="K1366" t="n">
        <v>0</v>
      </c>
      <c r="L1366" t="n">
        <v>0</v>
      </c>
      <c r="M1366" t="n">
        <v>0</v>
      </c>
      <c r="N1366" t="n">
        <v>0</v>
      </c>
      <c r="O1366" t="n">
        <v>0</v>
      </c>
      <c r="P1366" t="n">
        <v>0</v>
      </c>
      <c r="Q1366" t="n">
        <v>0</v>
      </c>
      <c r="R1366" s="2" t="inlineStr"/>
    </row>
    <row r="1367" ht="15" customHeight="1">
      <c r="A1367" t="inlineStr">
        <is>
          <t>A 49992-2022</t>
        </is>
      </c>
      <c r="B1367" s="1" t="n">
        <v>44860</v>
      </c>
      <c r="C1367" s="1" t="n">
        <v>45192</v>
      </c>
      <c r="D1367" t="inlineStr">
        <is>
          <t>VÄSTERBOTTENS LÄN</t>
        </is>
      </c>
      <c r="E1367" t="inlineStr">
        <is>
          <t>SKELLEFTEÅ</t>
        </is>
      </c>
      <c r="G1367" t="n">
        <v>3.6</v>
      </c>
      <c r="H1367" t="n">
        <v>0</v>
      </c>
      <c r="I1367" t="n">
        <v>0</v>
      </c>
      <c r="J1367" t="n">
        <v>0</v>
      </c>
      <c r="K1367" t="n">
        <v>0</v>
      </c>
      <c r="L1367" t="n">
        <v>0</v>
      </c>
      <c r="M1367" t="n">
        <v>0</v>
      </c>
      <c r="N1367" t="n">
        <v>0</v>
      </c>
      <c r="O1367" t="n">
        <v>0</v>
      </c>
      <c r="P1367" t="n">
        <v>0</v>
      </c>
      <c r="Q1367" t="n">
        <v>0</v>
      </c>
      <c r="R1367" s="2" t="inlineStr"/>
    </row>
    <row r="1368" ht="15" customHeight="1">
      <c r="A1368" t="inlineStr">
        <is>
          <t>A 49246-2022</t>
        </is>
      </c>
      <c r="B1368" s="1" t="n">
        <v>44861</v>
      </c>
      <c r="C1368" s="1" t="n">
        <v>45192</v>
      </c>
      <c r="D1368" t="inlineStr">
        <is>
          <t>VÄSTERBOTTENS LÄN</t>
        </is>
      </c>
      <c r="E1368" t="inlineStr">
        <is>
          <t>SKELLEFTEÅ</t>
        </is>
      </c>
      <c r="F1368" t="inlineStr">
        <is>
          <t>Holmen skog AB</t>
        </is>
      </c>
      <c r="G1368" t="n">
        <v>10.4</v>
      </c>
      <c r="H1368" t="n">
        <v>0</v>
      </c>
      <c r="I1368" t="n">
        <v>0</v>
      </c>
      <c r="J1368" t="n">
        <v>0</v>
      </c>
      <c r="K1368" t="n">
        <v>0</v>
      </c>
      <c r="L1368" t="n">
        <v>0</v>
      </c>
      <c r="M1368" t="n">
        <v>0</v>
      </c>
      <c r="N1368" t="n">
        <v>0</v>
      </c>
      <c r="O1368" t="n">
        <v>0</v>
      </c>
      <c r="P1368" t="n">
        <v>0</v>
      </c>
      <c r="Q1368" t="n">
        <v>0</v>
      </c>
      <c r="R1368" s="2" t="inlineStr"/>
    </row>
    <row r="1369" ht="15" customHeight="1">
      <c r="A1369" t="inlineStr">
        <is>
          <t>A 49277-2022</t>
        </is>
      </c>
      <c r="B1369" s="1" t="n">
        <v>44861</v>
      </c>
      <c r="C1369" s="1" t="n">
        <v>45192</v>
      </c>
      <c r="D1369" t="inlineStr">
        <is>
          <t>VÄSTERBOTTENS LÄN</t>
        </is>
      </c>
      <c r="E1369" t="inlineStr">
        <is>
          <t>SKELLEFTEÅ</t>
        </is>
      </c>
      <c r="F1369" t="inlineStr">
        <is>
          <t>Holmen skog AB</t>
        </is>
      </c>
      <c r="G1369" t="n">
        <v>12</v>
      </c>
      <c r="H1369" t="n">
        <v>0</v>
      </c>
      <c r="I1369" t="n">
        <v>0</v>
      </c>
      <c r="J1369" t="n">
        <v>0</v>
      </c>
      <c r="K1369" t="n">
        <v>0</v>
      </c>
      <c r="L1369" t="n">
        <v>0</v>
      </c>
      <c r="M1369" t="n">
        <v>0</v>
      </c>
      <c r="N1369" t="n">
        <v>0</v>
      </c>
      <c r="O1369" t="n">
        <v>0</v>
      </c>
      <c r="P1369" t="n">
        <v>0</v>
      </c>
      <c r="Q1369" t="n">
        <v>0</v>
      </c>
      <c r="R1369" s="2" t="inlineStr"/>
    </row>
    <row r="1370" ht="15" customHeight="1">
      <c r="A1370" t="inlineStr">
        <is>
          <t>A 49578-2022</t>
        </is>
      </c>
      <c r="B1370" s="1" t="n">
        <v>44862</v>
      </c>
      <c r="C1370" s="1" t="n">
        <v>45192</v>
      </c>
      <c r="D1370" t="inlineStr">
        <is>
          <t>VÄSTERBOTTENS LÄN</t>
        </is>
      </c>
      <c r="E1370" t="inlineStr">
        <is>
          <t>SKELLEFTEÅ</t>
        </is>
      </c>
      <c r="F1370" t="inlineStr">
        <is>
          <t>Holmen skog AB</t>
        </is>
      </c>
      <c r="G1370" t="n">
        <v>7.6</v>
      </c>
      <c r="H1370" t="n">
        <v>0</v>
      </c>
      <c r="I1370" t="n">
        <v>0</v>
      </c>
      <c r="J1370" t="n">
        <v>0</v>
      </c>
      <c r="K1370" t="n">
        <v>0</v>
      </c>
      <c r="L1370" t="n">
        <v>0</v>
      </c>
      <c r="M1370" t="n">
        <v>0</v>
      </c>
      <c r="N1370" t="n">
        <v>0</v>
      </c>
      <c r="O1370" t="n">
        <v>0</v>
      </c>
      <c r="P1370" t="n">
        <v>0</v>
      </c>
      <c r="Q1370" t="n">
        <v>0</v>
      </c>
      <c r="R1370" s="2" t="inlineStr"/>
    </row>
    <row r="1371" ht="15" customHeight="1">
      <c r="A1371" t="inlineStr">
        <is>
          <t>A 49749-2022</t>
        </is>
      </c>
      <c r="B1371" s="1" t="n">
        <v>44862</v>
      </c>
      <c r="C1371" s="1" t="n">
        <v>45192</v>
      </c>
      <c r="D1371" t="inlineStr">
        <is>
          <t>VÄSTERBOTTENS LÄN</t>
        </is>
      </c>
      <c r="E1371" t="inlineStr">
        <is>
          <t>SKELLEFTEÅ</t>
        </is>
      </c>
      <c r="F1371" t="inlineStr">
        <is>
          <t>Holmen skog AB</t>
        </is>
      </c>
      <c r="G1371" t="n">
        <v>6.5</v>
      </c>
      <c r="H1371" t="n">
        <v>0</v>
      </c>
      <c r="I1371" t="n">
        <v>0</v>
      </c>
      <c r="J1371" t="n">
        <v>0</v>
      </c>
      <c r="K1371" t="n">
        <v>0</v>
      </c>
      <c r="L1371" t="n">
        <v>0</v>
      </c>
      <c r="M1371" t="n">
        <v>0</v>
      </c>
      <c r="N1371" t="n">
        <v>0</v>
      </c>
      <c r="O1371" t="n">
        <v>0</v>
      </c>
      <c r="P1371" t="n">
        <v>0</v>
      </c>
      <c r="Q1371" t="n">
        <v>0</v>
      </c>
      <c r="R1371" s="2" t="inlineStr"/>
    </row>
    <row r="1372" ht="15" customHeight="1">
      <c r="A1372" t="inlineStr">
        <is>
          <t>A 49908-2022</t>
        </is>
      </c>
      <c r="B1372" s="1" t="n">
        <v>44864</v>
      </c>
      <c r="C1372" s="1" t="n">
        <v>45192</v>
      </c>
      <c r="D1372" t="inlineStr">
        <is>
          <t>VÄSTERBOTTENS LÄN</t>
        </is>
      </c>
      <c r="E1372" t="inlineStr">
        <is>
          <t>SKELLEFTEÅ</t>
        </is>
      </c>
      <c r="F1372" t="inlineStr">
        <is>
          <t>SCA</t>
        </is>
      </c>
      <c r="G1372" t="n">
        <v>3.7</v>
      </c>
      <c r="H1372" t="n">
        <v>0</v>
      </c>
      <c r="I1372" t="n">
        <v>0</v>
      </c>
      <c r="J1372" t="n">
        <v>0</v>
      </c>
      <c r="K1372" t="n">
        <v>0</v>
      </c>
      <c r="L1372" t="n">
        <v>0</v>
      </c>
      <c r="M1372" t="n">
        <v>0</v>
      </c>
      <c r="N1372" t="n">
        <v>0</v>
      </c>
      <c r="O1372" t="n">
        <v>0</v>
      </c>
      <c r="P1372" t="n">
        <v>0</v>
      </c>
      <c r="Q1372" t="n">
        <v>0</v>
      </c>
      <c r="R1372" s="2" t="inlineStr"/>
    </row>
    <row r="1373" ht="15" customHeight="1">
      <c r="A1373" t="inlineStr">
        <is>
          <t>A 49906-2022</t>
        </is>
      </c>
      <c r="B1373" s="1" t="n">
        <v>44864</v>
      </c>
      <c r="C1373" s="1" t="n">
        <v>45192</v>
      </c>
      <c r="D1373" t="inlineStr">
        <is>
          <t>VÄSTERBOTTENS LÄN</t>
        </is>
      </c>
      <c r="E1373" t="inlineStr">
        <is>
          <t>SKELLEFTEÅ</t>
        </is>
      </c>
      <c r="F1373" t="inlineStr">
        <is>
          <t>SCA</t>
        </is>
      </c>
      <c r="G1373" t="n">
        <v>1.6</v>
      </c>
      <c r="H1373" t="n">
        <v>0</v>
      </c>
      <c r="I1373" t="n">
        <v>0</v>
      </c>
      <c r="J1373" t="n">
        <v>0</v>
      </c>
      <c r="K1373" t="n">
        <v>0</v>
      </c>
      <c r="L1373" t="n">
        <v>0</v>
      </c>
      <c r="M1373" t="n">
        <v>0</v>
      </c>
      <c r="N1373" t="n">
        <v>0</v>
      </c>
      <c r="O1373" t="n">
        <v>0</v>
      </c>
      <c r="P1373" t="n">
        <v>0</v>
      </c>
      <c r="Q1373" t="n">
        <v>0</v>
      </c>
      <c r="R1373" s="2" t="inlineStr"/>
    </row>
    <row r="1374" ht="15" customHeight="1">
      <c r="A1374" t="inlineStr">
        <is>
          <t>A 50371-2022</t>
        </is>
      </c>
      <c r="B1374" s="1" t="n">
        <v>44866</v>
      </c>
      <c r="C1374" s="1" t="n">
        <v>45192</v>
      </c>
      <c r="D1374" t="inlineStr">
        <is>
          <t>VÄSTERBOTTENS LÄN</t>
        </is>
      </c>
      <c r="E1374" t="inlineStr">
        <is>
          <t>SKELLEFTEÅ</t>
        </is>
      </c>
      <c r="G1374" t="n">
        <v>10.5</v>
      </c>
      <c r="H1374" t="n">
        <v>0</v>
      </c>
      <c r="I1374" t="n">
        <v>0</v>
      </c>
      <c r="J1374" t="n">
        <v>0</v>
      </c>
      <c r="K1374" t="n">
        <v>0</v>
      </c>
      <c r="L1374" t="n">
        <v>0</v>
      </c>
      <c r="M1374" t="n">
        <v>0</v>
      </c>
      <c r="N1374" t="n">
        <v>0</v>
      </c>
      <c r="O1374" t="n">
        <v>0</v>
      </c>
      <c r="P1374" t="n">
        <v>0</v>
      </c>
      <c r="Q1374" t="n">
        <v>0</v>
      </c>
      <c r="R1374" s="2" t="inlineStr"/>
    </row>
    <row r="1375" ht="15" customHeight="1">
      <c r="A1375" t="inlineStr">
        <is>
          <t>A 50554-2022</t>
        </is>
      </c>
      <c r="B1375" s="1" t="n">
        <v>44866</v>
      </c>
      <c r="C1375" s="1" t="n">
        <v>45192</v>
      </c>
      <c r="D1375" t="inlineStr">
        <is>
          <t>VÄSTERBOTTENS LÄN</t>
        </is>
      </c>
      <c r="E1375" t="inlineStr">
        <is>
          <t>SKELLEFTEÅ</t>
        </is>
      </c>
      <c r="F1375" t="inlineStr">
        <is>
          <t>Kommuner</t>
        </is>
      </c>
      <c r="G1375" t="n">
        <v>1.1</v>
      </c>
      <c r="H1375" t="n">
        <v>0</v>
      </c>
      <c r="I1375" t="n">
        <v>0</v>
      </c>
      <c r="J1375" t="n">
        <v>0</v>
      </c>
      <c r="K1375" t="n">
        <v>0</v>
      </c>
      <c r="L1375" t="n">
        <v>0</v>
      </c>
      <c r="M1375" t="n">
        <v>0</v>
      </c>
      <c r="N1375" t="n">
        <v>0</v>
      </c>
      <c r="O1375" t="n">
        <v>0</v>
      </c>
      <c r="P1375" t="n">
        <v>0</v>
      </c>
      <c r="Q1375" t="n">
        <v>0</v>
      </c>
      <c r="R1375" s="2" t="inlineStr"/>
    </row>
    <row r="1376" ht="15" customHeight="1">
      <c r="A1376" t="inlineStr">
        <is>
          <t>A 50366-2022</t>
        </is>
      </c>
      <c r="B1376" s="1" t="n">
        <v>44866</v>
      </c>
      <c r="C1376" s="1" t="n">
        <v>45192</v>
      </c>
      <c r="D1376" t="inlineStr">
        <is>
          <t>VÄSTERBOTTENS LÄN</t>
        </is>
      </c>
      <c r="E1376" t="inlineStr">
        <is>
          <t>SKELLEFTEÅ</t>
        </is>
      </c>
      <c r="F1376" t="inlineStr">
        <is>
          <t>Holmen skog AB</t>
        </is>
      </c>
      <c r="G1376" t="n">
        <v>2.9</v>
      </c>
      <c r="H1376" t="n">
        <v>0</v>
      </c>
      <c r="I1376" t="n">
        <v>0</v>
      </c>
      <c r="J1376" t="n">
        <v>0</v>
      </c>
      <c r="K1376" t="n">
        <v>0</v>
      </c>
      <c r="L1376" t="n">
        <v>0</v>
      </c>
      <c r="M1376" t="n">
        <v>0</v>
      </c>
      <c r="N1376" t="n">
        <v>0</v>
      </c>
      <c r="O1376" t="n">
        <v>0</v>
      </c>
      <c r="P1376" t="n">
        <v>0</v>
      </c>
      <c r="Q1376" t="n">
        <v>0</v>
      </c>
      <c r="R1376" s="2" t="inlineStr"/>
    </row>
    <row r="1377" ht="15" customHeight="1">
      <c r="A1377" t="inlineStr">
        <is>
          <t>A 50838-2022</t>
        </is>
      </c>
      <c r="B1377" s="1" t="n">
        <v>44867</v>
      </c>
      <c r="C1377" s="1" t="n">
        <v>45192</v>
      </c>
      <c r="D1377" t="inlineStr">
        <is>
          <t>VÄSTERBOTTENS LÄN</t>
        </is>
      </c>
      <c r="E1377" t="inlineStr">
        <is>
          <t>SKELLEFTEÅ</t>
        </is>
      </c>
      <c r="F1377" t="inlineStr">
        <is>
          <t>Holmen skog AB</t>
        </is>
      </c>
      <c r="G1377" t="n">
        <v>2.3</v>
      </c>
      <c r="H1377" t="n">
        <v>0</v>
      </c>
      <c r="I1377" t="n">
        <v>0</v>
      </c>
      <c r="J1377" t="n">
        <v>0</v>
      </c>
      <c r="K1377" t="n">
        <v>0</v>
      </c>
      <c r="L1377" t="n">
        <v>0</v>
      </c>
      <c r="M1377" t="n">
        <v>0</v>
      </c>
      <c r="N1377" t="n">
        <v>0</v>
      </c>
      <c r="O1377" t="n">
        <v>0</v>
      </c>
      <c r="P1377" t="n">
        <v>0</v>
      </c>
      <c r="Q1377" t="n">
        <v>0</v>
      </c>
      <c r="R1377" s="2" t="inlineStr"/>
    </row>
    <row r="1378" ht="15" customHeight="1">
      <c r="A1378" t="inlineStr">
        <is>
          <t>A 50872-2022</t>
        </is>
      </c>
      <c r="B1378" s="1" t="n">
        <v>44867</v>
      </c>
      <c r="C1378" s="1" t="n">
        <v>45192</v>
      </c>
      <c r="D1378" t="inlineStr">
        <is>
          <t>VÄSTERBOTTENS LÄN</t>
        </is>
      </c>
      <c r="E1378" t="inlineStr">
        <is>
          <t>SKELLEFTEÅ</t>
        </is>
      </c>
      <c r="F1378" t="inlineStr">
        <is>
          <t>Holmen skog AB</t>
        </is>
      </c>
      <c r="G1378" t="n">
        <v>3.1</v>
      </c>
      <c r="H1378" t="n">
        <v>0</v>
      </c>
      <c r="I1378" t="n">
        <v>0</v>
      </c>
      <c r="J1378" t="n">
        <v>0</v>
      </c>
      <c r="K1378" t="n">
        <v>0</v>
      </c>
      <c r="L1378" t="n">
        <v>0</v>
      </c>
      <c r="M1378" t="n">
        <v>0</v>
      </c>
      <c r="N1378" t="n">
        <v>0</v>
      </c>
      <c r="O1378" t="n">
        <v>0</v>
      </c>
      <c r="P1378" t="n">
        <v>0</v>
      </c>
      <c r="Q1378" t="n">
        <v>0</v>
      </c>
      <c r="R1378" s="2" t="inlineStr"/>
    </row>
    <row r="1379" ht="15" customHeight="1">
      <c r="A1379" t="inlineStr">
        <is>
          <t>A 51811-2022</t>
        </is>
      </c>
      <c r="B1379" s="1" t="n">
        <v>44867</v>
      </c>
      <c r="C1379" s="1" t="n">
        <v>45192</v>
      </c>
      <c r="D1379" t="inlineStr">
        <is>
          <t>VÄSTERBOTTENS LÄN</t>
        </is>
      </c>
      <c r="E1379" t="inlineStr">
        <is>
          <t>SKELLEFTEÅ</t>
        </is>
      </c>
      <c r="G1379" t="n">
        <v>3.8</v>
      </c>
      <c r="H1379" t="n">
        <v>0</v>
      </c>
      <c r="I1379" t="n">
        <v>0</v>
      </c>
      <c r="J1379" t="n">
        <v>0</v>
      </c>
      <c r="K1379" t="n">
        <v>0</v>
      </c>
      <c r="L1379" t="n">
        <v>0</v>
      </c>
      <c r="M1379" t="n">
        <v>0</v>
      </c>
      <c r="N1379" t="n">
        <v>0</v>
      </c>
      <c r="O1379" t="n">
        <v>0</v>
      </c>
      <c r="P1379" t="n">
        <v>0</v>
      </c>
      <c r="Q1379" t="n">
        <v>0</v>
      </c>
      <c r="R1379" s="2" t="inlineStr"/>
    </row>
    <row r="1380" ht="15" customHeight="1">
      <c r="A1380" t="inlineStr">
        <is>
          <t>A 52141-2022</t>
        </is>
      </c>
      <c r="B1380" s="1" t="n">
        <v>44868</v>
      </c>
      <c r="C1380" s="1" t="n">
        <v>45192</v>
      </c>
      <c r="D1380" t="inlineStr">
        <is>
          <t>VÄSTERBOTTENS LÄN</t>
        </is>
      </c>
      <c r="E1380" t="inlineStr">
        <is>
          <t>SKELLEFTEÅ</t>
        </is>
      </c>
      <c r="G1380" t="n">
        <v>0.6</v>
      </c>
      <c r="H1380" t="n">
        <v>0</v>
      </c>
      <c r="I1380" t="n">
        <v>0</v>
      </c>
      <c r="J1380" t="n">
        <v>0</v>
      </c>
      <c r="K1380" t="n">
        <v>0</v>
      </c>
      <c r="L1380" t="n">
        <v>0</v>
      </c>
      <c r="M1380" t="n">
        <v>0</v>
      </c>
      <c r="N1380" t="n">
        <v>0</v>
      </c>
      <c r="O1380" t="n">
        <v>0</v>
      </c>
      <c r="P1380" t="n">
        <v>0</v>
      </c>
      <c r="Q1380" t="n">
        <v>0</v>
      </c>
      <c r="R1380" s="2" t="inlineStr"/>
    </row>
    <row r="1381" ht="15" customHeight="1">
      <c r="A1381" t="inlineStr">
        <is>
          <t>A 52148-2022</t>
        </is>
      </c>
      <c r="B1381" s="1" t="n">
        <v>44868</v>
      </c>
      <c r="C1381" s="1" t="n">
        <v>45192</v>
      </c>
      <c r="D1381" t="inlineStr">
        <is>
          <t>VÄSTERBOTTENS LÄN</t>
        </is>
      </c>
      <c r="E1381" t="inlineStr">
        <is>
          <t>SKELLEFTEÅ</t>
        </is>
      </c>
      <c r="G1381" t="n">
        <v>1.8</v>
      </c>
      <c r="H1381" t="n">
        <v>0</v>
      </c>
      <c r="I1381" t="n">
        <v>0</v>
      </c>
      <c r="J1381" t="n">
        <v>0</v>
      </c>
      <c r="K1381" t="n">
        <v>0</v>
      </c>
      <c r="L1381" t="n">
        <v>0</v>
      </c>
      <c r="M1381" t="n">
        <v>0</v>
      </c>
      <c r="N1381" t="n">
        <v>0</v>
      </c>
      <c r="O1381" t="n">
        <v>0</v>
      </c>
      <c r="P1381" t="n">
        <v>0</v>
      </c>
      <c r="Q1381" t="n">
        <v>0</v>
      </c>
      <c r="R1381" s="2" t="inlineStr"/>
    </row>
    <row r="1382" ht="15" customHeight="1">
      <c r="A1382" t="inlineStr">
        <is>
          <t>A 52129-2022</t>
        </is>
      </c>
      <c r="B1382" s="1" t="n">
        <v>44868</v>
      </c>
      <c r="C1382" s="1" t="n">
        <v>45192</v>
      </c>
      <c r="D1382" t="inlineStr">
        <is>
          <t>VÄSTERBOTTENS LÄN</t>
        </is>
      </c>
      <c r="E1382" t="inlineStr">
        <is>
          <t>SKELLEFTEÅ</t>
        </is>
      </c>
      <c r="G1382" t="n">
        <v>2.9</v>
      </c>
      <c r="H1382" t="n">
        <v>0</v>
      </c>
      <c r="I1382" t="n">
        <v>0</v>
      </c>
      <c r="J1382" t="n">
        <v>0</v>
      </c>
      <c r="K1382" t="n">
        <v>0</v>
      </c>
      <c r="L1382" t="n">
        <v>0</v>
      </c>
      <c r="M1382" t="n">
        <v>0</v>
      </c>
      <c r="N1382" t="n">
        <v>0</v>
      </c>
      <c r="O1382" t="n">
        <v>0</v>
      </c>
      <c r="P1382" t="n">
        <v>0</v>
      </c>
      <c r="Q1382" t="n">
        <v>0</v>
      </c>
      <c r="R1382" s="2" t="inlineStr"/>
    </row>
    <row r="1383" ht="15" customHeight="1">
      <c r="A1383" t="inlineStr">
        <is>
          <t>A 52135-2022</t>
        </is>
      </c>
      <c r="B1383" s="1" t="n">
        <v>44868</v>
      </c>
      <c r="C1383" s="1" t="n">
        <v>45192</v>
      </c>
      <c r="D1383" t="inlineStr">
        <is>
          <t>VÄSTERBOTTENS LÄN</t>
        </is>
      </c>
      <c r="E1383" t="inlineStr">
        <is>
          <t>SKELLEFTEÅ</t>
        </is>
      </c>
      <c r="G1383" t="n">
        <v>1.2</v>
      </c>
      <c r="H1383" t="n">
        <v>0</v>
      </c>
      <c r="I1383" t="n">
        <v>0</v>
      </c>
      <c r="J1383" t="n">
        <v>0</v>
      </c>
      <c r="K1383" t="n">
        <v>0</v>
      </c>
      <c r="L1383" t="n">
        <v>0</v>
      </c>
      <c r="M1383" t="n">
        <v>0</v>
      </c>
      <c r="N1383" t="n">
        <v>0</v>
      </c>
      <c r="O1383" t="n">
        <v>0</v>
      </c>
      <c r="P1383" t="n">
        <v>0</v>
      </c>
      <c r="Q1383" t="n">
        <v>0</v>
      </c>
      <c r="R1383" s="2" t="inlineStr"/>
    </row>
    <row r="1384" ht="15" customHeight="1">
      <c r="A1384" t="inlineStr">
        <is>
          <t>A 52475-2022</t>
        </is>
      </c>
      <c r="B1384" s="1" t="n">
        <v>44869</v>
      </c>
      <c r="C1384" s="1" t="n">
        <v>45192</v>
      </c>
      <c r="D1384" t="inlineStr">
        <is>
          <t>VÄSTERBOTTENS LÄN</t>
        </is>
      </c>
      <c r="E1384" t="inlineStr">
        <is>
          <t>SKELLEFTEÅ</t>
        </is>
      </c>
      <c r="G1384" t="n">
        <v>1.2</v>
      </c>
      <c r="H1384" t="n">
        <v>0</v>
      </c>
      <c r="I1384" t="n">
        <v>0</v>
      </c>
      <c r="J1384" t="n">
        <v>0</v>
      </c>
      <c r="K1384" t="n">
        <v>0</v>
      </c>
      <c r="L1384" t="n">
        <v>0</v>
      </c>
      <c r="M1384" t="n">
        <v>0</v>
      </c>
      <c r="N1384" t="n">
        <v>0</v>
      </c>
      <c r="O1384" t="n">
        <v>0</v>
      </c>
      <c r="P1384" t="n">
        <v>0</v>
      </c>
      <c r="Q1384" t="n">
        <v>0</v>
      </c>
      <c r="R1384" s="2" t="inlineStr"/>
    </row>
    <row r="1385" ht="15" customHeight="1">
      <c r="A1385" t="inlineStr">
        <is>
          <t>A 52497-2022</t>
        </is>
      </c>
      <c r="B1385" s="1" t="n">
        <v>44869</v>
      </c>
      <c r="C1385" s="1" t="n">
        <v>45192</v>
      </c>
      <c r="D1385" t="inlineStr">
        <is>
          <t>VÄSTERBOTTENS LÄN</t>
        </is>
      </c>
      <c r="E1385" t="inlineStr">
        <is>
          <t>SKELLEFTEÅ</t>
        </is>
      </c>
      <c r="G1385" t="n">
        <v>1.4</v>
      </c>
      <c r="H1385" t="n">
        <v>0</v>
      </c>
      <c r="I1385" t="n">
        <v>0</v>
      </c>
      <c r="J1385" t="n">
        <v>0</v>
      </c>
      <c r="K1385" t="n">
        <v>0</v>
      </c>
      <c r="L1385" t="n">
        <v>0</v>
      </c>
      <c r="M1385" t="n">
        <v>0</v>
      </c>
      <c r="N1385" t="n">
        <v>0</v>
      </c>
      <c r="O1385" t="n">
        <v>0</v>
      </c>
      <c r="P1385" t="n">
        <v>0</v>
      </c>
      <c r="Q1385" t="n">
        <v>0</v>
      </c>
      <c r="R1385" s="2" t="inlineStr"/>
    </row>
    <row r="1386" ht="15" customHeight="1">
      <c r="A1386" t="inlineStr">
        <is>
          <t>A 52488-2022</t>
        </is>
      </c>
      <c r="B1386" s="1" t="n">
        <v>44869</v>
      </c>
      <c r="C1386" s="1" t="n">
        <v>45192</v>
      </c>
      <c r="D1386" t="inlineStr">
        <is>
          <t>VÄSTERBOTTENS LÄN</t>
        </is>
      </c>
      <c r="E1386" t="inlineStr">
        <is>
          <t>SKELLEFTEÅ</t>
        </is>
      </c>
      <c r="G1386" t="n">
        <v>0.7</v>
      </c>
      <c r="H1386" t="n">
        <v>0</v>
      </c>
      <c r="I1386" t="n">
        <v>0</v>
      </c>
      <c r="J1386" t="n">
        <v>0</v>
      </c>
      <c r="K1386" t="n">
        <v>0</v>
      </c>
      <c r="L1386" t="n">
        <v>0</v>
      </c>
      <c r="M1386" t="n">
        <v>0</v>
      </c>
      <c r="N1386" t="n">
        <v>0</v>
      </c>
      <c r="O1386" t="n">
        <v>0</v>
      </c>
      <c r="P1386" t="n">
        <v>0</v>
      </c>
      <c r="Q1386" t="n">
        <v>0</v>
      </c>
      <c r="R1386" s="2" t="inlineStr"/>
    </row>
    <row r="1387" ht="15" customHeight="1">
      <c r="A1387" t="inlineStr">
        <is>
          <t>A 52459-2022</t>
        </is>
      </c>
      <c r="B1387" s="1" t="n">
        <v>44869</v>
      </c>
      <c r="C1387" s="1" t="n">
        <v>45192</v>
      </c>
      <c r="D1387" t="inlineStr">
        <is>
          <t>VÄSTERBOTTENS LÄN</t>
        </is>
      </c>
      <c r="E1387" t="inlineStr">
        <is>
          <t>SKELLEFTEÅ</t>
        </is>
      </c>
      <c r="G1387" t="n">
        <v>2.4</v>
      </c>
      <c r="H1387" t="n">
        <v>0</v>
      </c>
      <c r="I1387" t="n">
        <v>0</v>
      </c>
      <c r="J1387" t="n">
        <v>0</v>
      </c>
      <c r="K1387" t="n">
        <v>0</v>
      </c>
      <c r="L1387" t="n">
        <v>0</v>
      </c>
      <c r="M1387" t="n">
        <v>0</v>
      </c>
      <c r="N1387" t="n">
        <v>0</v>
      </c>
      <c r="O1387" t="n">
        <v>0</v>
      </c>
      <c r="P1387" t="n">
        <v>0</v>
      </c>
      <c r="Q1387" t="n">
        <v>0</v>
      </c>
      <c r="R1387" s="2" t="inlineStr"/>
    </row>
    <row r="1388" ht="15" customHeight="1">
      <c r="A1388" t="inlineStr">
        <is>
          <t>A 52492-2022</t>
        </is>
      </c>
      <c r="B1388" s="1" t="n">
        <v>44869</v>
      </c>
      <c r="C1388" s="1" t="n">
        <v>45192</v>
      </c>
      <c r="D1388" t="inlineStr">
        <is>
          <t>VÄSTERBOTTENS LÄN</t>
        </is>
      </c>
      <c r="E1388" t="inlineStr">
        <is>
          <t>SKELLEFTEÅ</t>
        </is>
      </c>
      <c r="G1388" t="n">
        <v>1.3</v>
      </c>
      <c r="H1388" t="n">
        <v>0</v>
      </c>
      <c r="I1388" t="n">
        <v>0</v>
      </c>
      <c r="J1388" t="n">
        <v>0</v>
      </c>
      <c r="K1388" t="n">
        <v>0</v>
      </c>
      <c r="L1388" t="n">
        <v>0</v>
      </c>
      <c r="M1388" t="n">
        <v>0</v>
      </c>
      <c r="N1388" t="n">
        <v>0</v>
      </c>
      <c r="O1388" t="n">
        <v>0</v>
      </c>
      <c r="P1388" t="n">
        <v>0</v>
      </c>
      <c r="Q1388" t="n">
        <v>0</v>
      </c>
      <c r="R1388" s="2" t="inlineStr"/>
    </row>
    <row r="1389" ht="15" customHeight="1">
      <c r="A1389" t="inlineStr">
        <is>
          <t>A 52482-2022</t>
        </is>
      </c>
      <c r="B1389" s="1" t="n">
        <v>44869</v>
      </c>
      <c r="C1389" s="1" t="n">
        <v>45192</v>
      </c>
      <c r="D1389" t="inlineStr">
        <is>
          <t>VÄSTERBOTTENS LÄN</t>
        </is>
      </c>
      <c r="E1389" t="inlineStr">
        <is>
          <t>SKELLEFTEÅ</t>
        </is>
      </c>
      <c r="G1389" t="n">
        <v>0.6</v>
      </c>
      <c r="H1389" t="n">
        <v>0</v>
      </c>
      <c r="I1389" t="n">
        <v>0</v>
      </c>
      <c r="J1389" t="n">
        <v>0</v>
      </c>
      <c r="K1389" t="n">
        <v>0</v>
      </c>
      <c r="L1389" t="n">
        <v>0</v>
      </c>
      <c r="M1389" t="n">
        <v>0</v>
      </c>
      <c r="N1389" t="n">
        <v>0</v>
      </c>
      <c r="O1389" t="n">
        <v>0</v>
      </c>
      <c r="P1389" t="n">
        <v>0</v>
      </c>
      <c r="Q1389" t="n">
        <v>0</v>
      </c>
      <c r="R1389" s="2" t="inlineStr"/>
    </row>
    <row r="1390" ht="15" customHeight="1">
      <c r="A1390" t="inlineStr">
        <is>
          <t>A 52500-2022</t>
        </is>
      </c>
      <c r="B1390" s="1" t="n">
        <v>44869</v>
      </c>
      <c r="C1390" s="1" t="n">
        <v>45192</v>
      </c>
      <c r="D1390" t="inlineStr">
        <is>
          <t>VÄSTERBOTTENS LÄN</t>
        </is>
      </c>
      <c r="E1390" t="inlineStr">
        <is>
          <t>SKELLEFTEÅ</t>
        </is>
      </c>
      <c r="G1390" t="n">
        <v>2.2</v>
      </c>
      <c r="H1390" t="n">
        <v>0</v>
      </c>
      <c r="I1390" t="n">
        <v>0</v>
      </c>
      <c r="J1390" t="n">
        <v>0</v>
      </c>
      <c r="K1390" t="n">
        <v>0</v>
      </c>
      <c r="L1390" t="n">
        <v>0</v>
      </c>
      <c r="M1390" t="n">
        <v>0</v>
      </c>
      <c r="N1390" t="n">
        <v>0</v>
      </c>
      <c r="O1390" t="n">
        <v>0</v>
      </c>
      <c r="P1390" t="n">
        <v>0</v>
      </c>
      <c r="Q1390" t="n">
        <v>0</v>
      </c>
      <c r="R1390" s="2" t="inlineStr"/>
    </row>
    <row r="1391" ht="15" customHeight="1">
      <c r="A1391" t="inlineStr">
        <is>
          <t>A 52871-2022</t>
        </is>
      </c>
      <c r="B1391" s="1" t="n">
        <v>44872</v>
      </c>
      <c r="C1391" s="1" t="n">
        <v>45192</v>
      </c>
      <c r="D1391" t="inlineStr">
        <is>
          <t>VÄSTERBOTTENS LÄN</t>
        </is>
      </c>
      <c r="E1391" t="inlineStr">
        <is>
          <t>SKELLEFTEÅ</t>
        </is>
      </c>
      <c r="G1391" t="n">
        <v>1.1</v>
      </c>
      <c r="H1391" t="n">
        <v>0</v>
      </c>
      <c r="I1391" t="n">
        <v>0</v>
      </c>
      <c r="J1391" t="n">
        <v>0</v>
      </c>
      <c r="K1391" t="n">
        <v>0</v>
      </c>
      <c r="L1391" t="n">
        <v>0</v>
      </c>
      <c r="M1391" t="n">
        <v>0</v>
      </c>
      <c r="N1391" t="n">
        <v>0</v>
      </c>
      <c r="O1391" t="n">
        <v>0</v>
      </c>
      <c r="P1391" t="n">
        <v>0</v>
      </c>
      <c r="Q1391" t="n">
        <v>0</v>
      </c>
      <c r="R1391" s="2" t="inlineStr"/>
    </row>
    <row r="1392" ht="15" customHeight="1">
      <c r="A1392" t="inlineStr">
        <is>
          <t>A 51945-2022</t>
        </is>
      </c>
      <c r="B1392" s="1" t="n">
        <v>44872</v>
      </c>
      <c r="C1392" s="1" t="n">
        <v>45192</v>
      </c>
      <c r="D1392" t="inlineStr">
        <is>
          <t>VÄSTERBOTTENS LÄN</t>
        </is>
      </c>
      <c r="E1392" t="inlineStr">
        <is>
          <t>SKELLEFTEÅ</t>
        </is>
      </c>
      <c r="F1392" t="inlineStr">
        <is>
          <t>Holmen skog AB</t>
        </is>
      </c>
      <c r="G1392" t="n">
        <v>7.1</v>
      </c>
      <c r="H1392" t="n">
        <v>0</v>
      </c>
      <c r="I1392" t="n">
        <v>0</v>
      </c>
      <c r="J1392" t="n">
        <v>0</v>
      </c>
      <c r="K1392" t="n">
        <v>0</v>
      </c>
      <c r="L1392" t="n">
        <v>0</v>
      </c>
      <c r="M1392" t="n">
        <v>0</v>
      </c>
      <c r="N1392" t="n">
        <v>0</v>
      </c>
      <c r="O1392" t="n">
        <v>0</v>
      </c>
      <c r="P1392" t="n">
        <v>0</v>
      </c>
      <c r="Q1392" t="n">
        <v>0</v>
      </c>
      <c r="R1392" s="2" t="inlineStr"/>
    </row>
    <row r="1393" ht="15" customHeight="1">
      <c r="A1393" t="inlineStr">
        <is>
          <t>A 52855-2022</t>
        </is>
      </c>
      <c r="B1393" s="1" t="n">
        <v>44872</v>
      </c>
      <c r="C1393" s="1" t="n">
        <v>45192</v>
      </c>
      <c r="D1393" t="inlineStr">
        <is>
          <t>VÄSTERBOTTENS LÄN</t>
        </is>
      </c>
      <c r="E1393" t="inlineStr">
        <is>
          <t>SKELLEFTEÅ</t>
        </is>
      </c>
      <c r="G1393" t="n">
        <v>4.8</v>
      </c>
      <c r="H1393" t="n">
        <v>0</v>
      </c>
      <c r="I1393" t="n">
        <v>0</v>
      </c>
      <c r="J1393" t="n">
        <v>0</v>
      </c>
      <c r="K1393" t="n">
        <v>0</v>
      </c>
      <c r="L1393" t="n">
        <v>0</v>
      </c>
      <c r="M1393" t="n">
        <v>0</v>
      </c>
      <c r="N1393" t="n">
        <v>0</v>
      </c>
      <c r="O1393" t="n">
        <v>0</v>
      </c>
      <c r="P1393" t="n">
        <v>0</v>
      </c>
      <c r="Q1393" t="n">
        <v>0</v>
      </c>
      <c r="R1393" s="2" t="inlineStr"/>
    </row>
    <row r="1394" ht="15" customHeight="1">
      <c r="A1394" t="inlineStr">
        <is>
          <t>A 52817-2022</t>
        </is>
      </c>
      <c r="B1394" s="1" t="n">
        <v>44872</v>
      </c>
      <c r="C1394" s="1" t="n">
        <v>45192</v>
      </c>
      <c r="D1394" t="inlineStr">
        <is>
          <t>VÄSTERBOTTENS LÄN</t>
        </is>
      </c>
      <c r="E1394" t="inlineStr">
        <is>
          <t>SKELLEFTEÅ</t>
        </is>
      </c>
      <c r="G1394" t="n">
        <v>1.3</v>
      </c>
      <c r="H1394" t="n">
        <v>0</v>
      </c>
      <c r="I1394" t="n">
        <v>0</v>
      </c>
      <c r="J1394" t="n">
        <v>0</v>
      </c>
      <c r="K1394" t="n">
        <v>0</v>
      </c>
      <c r="L1394" t="n">
        <v>0</v>
      </c>
      <c r="M1394" t="n">
        <v>0</v>
      </c>
      <c r="N1394" t="n">
        <v>0</v>
      </c>
      <c r="O1394" t="n">
        <v>0</v>
      </c>
      <c r="P1394" t="n">
        <v>0</v>
      </c>
      <c r="Q1394" t="n">
        <v>0</v>
      </c>
      <c r="R1394" s="2" t="inlineStr"/>
    </row>
    <row r="1395" ht="15" customHeight="1">
      <c r="A1395" t="inlineStr">
        <is>
          <t>A 52864-2022</t>
        </is>
      </c>
      <c r="B1395" s="1" t="n">
        <v>44872</v>
      </c>
      <c r="C1395" s="1" t="n">
        <v>45192</v>
      </c>
      <c r="D1395" t="inlineStr">
        <is>
          <t>VÄSTERBOTTENS LÄN</t>
        </is>
      </c>
      <c r="E1395" t="inlineStr">
        <is>
          <t>SKELLEFTEÅ</t>
        </is>
      </c>
      <c r="G1395" t="n">
        <v>0.7</v>
      </c>
      <c r="H1395" t="n">
        <v>0</v>
      </c>
      <c r="I1395" t="n">
        <v>0</v>
      </c>
      <c r="J1395" t="n">
        <v>0</v>
      </c>
      <c r="K1395" t="n">
        <v>0</v>
      </c>
      <c r="L1395" t="n">
        <v>0</v>
      </c>
      <c r="M1395" t="n">
        <v>0</v>
      </c>
      <c r="N1395" t="n">
        <v>0</v>
      </c>
      <c r="O1395" t="n">
        <v>0</v>
      </c>
      <c r="P1395" t="n">
        <v>0</v>
      </c>
      <c r="Q1395" t="n">
        <v>0</v>
      </c>
      <c r="R1395" s="2" t="inlineStr"/>
    </row>
    <row r="1396" ht="15" customHeight="1">
      <c r="A1396" t="inlineStr">
        <is>
          <t>A 53753-2022</t>
        </is>
      </c>
      <c r="B1396" s="1" t="n">
        <v>44872</v>
      </c>
      <c r="C1396" s="1" t="n">
        <v>45192</v>
      </c>
      <c r="D1396" t="inlineStr">
        <is>
          <t>VÄSTERBOTTENS LÄN</t>
        </is>
      </c>
      <c r="E1396" t="inlineStr">
        <is>
          <t>SKELLEFTEÅ</t>
        </is>
      </c>
      <c r="G1396" t="n">
        <v>2.5</v>
      </c>
      <c r="H1396" t="n">
        <v>0</v>
      </c>
      <c r="I1396" t="n">
        <v>0</v>
      </c>
      <c r="J1396" t="n">
        <v>0</v>
      </c>
      <c r="K1396" t="n">
        <v>0</v>
      </c>
      <c r="L1396" t="n">
        <v>0</v>
      </c>
      <c r="M1396" t="n">
        <v>0</v>
      </c>
      <c r="N1396" t="n">
        <v>0</v>
      </c>
      <c r="O1396" t="n">
        <v>0</v>
      </c>
      <c r="P1396" t="n">
        <v>0</v>
      </c>
      <c r="Q1396" t="n">
        <v>0</v>
      </c>
      <c r="R1396" s="2" t="inlineStr"/>
    </row>
    <row r="1397" ht="15" customHeight="1">
      <c r="A1397" t="inlineStr">
        <is>
          <t>A 53743-2022</t>
        </is>
      </c>
      <c r="B1397" s="1" t="n">
        <v>44872</v>
      </c>
      <c r="C1397" s="1" t="n">
        <v>45192</v>
      </c>
      <c r="D1397" t="inlineStr">
        <is>
          <t>VÄSTERBOTTENS LÄN</t>
        </is>
      </c>
      <c r="E1397" t="inlineStr">
        <is>
          <t>SKELLEFTEÅ</t>
        </is>
      </c>
      <c r="G1397" t="n">
        <v>0.9</v>
      </c>
      <c r="H1397" t="n">
        <v>0</v>
      </c>
      <c r="I1397" t="n">
        <v>0</v>
      </c>
      <c r="J1397" t="n">
        <v>0</v>
      </c>
      <c r="K1397" t="n">
        <v>0</v>
      </c>
      <c r="L1397" t="n">
        <v>0</v>
      </c>
      <c r="M1397" t="n">
        <v>0</v>
      </c>
      <c r="N1397" t="n">
        <v>0</v>
      </c>
      <c r="O1397" t="n">
        <v>0</v>
      </c>
      <c r="P1397" t="n">
        <v>0</v>
      </c>
      <c r="Q1397" t="n">
        <v>0</v>
      </c>
      <c r="R1397" s="2" t="inlineStr"/>
    </row>
    <row r="1398" ht="15" customHeight="1">
      <c r="A1398" t="inlineStr">
        <is>
          <t>A 53090-2022</t>
        </is>
      </c>
      <c r="B1398" s="1" t="n">
        <v>44873</v>
      </c>
      <c r="C1398" s="1" t="n">
        <v>45192</v>
      </c>
      <c r="D1398" t="inlineStr">
        <is>
          <t>VÄSTERBOTTENS LÄN</t>
        </is>
      </c>
      <c r="E1398" t="inlineStr">
        <is>
          <t>SKELLEFTEÅ</t>
        </is>
      </c>
      <c r="G1398" t="n">
        <v>1.1</v>
      </c>
      <c r="H1398" t="n">
        <v>0</v>
      </c>
      <c r="I1398" t="n">
        <v>0</v>
      </c>
      <c r="J1398" t="n">
        <v>0</v>
      </c>
      <c r="K1398" t="n">
        <v>0</v>
      </c>
      <c r="L1398" t="n">
        <v>0</v>
      </c>
      <c r="M1398" t="n">
        <v>0</v>
      </c>
      <c r="N1398" t="n">
        <v>0</v>
      </c>
      <c r="O1398" t="n">
        <v>0</v>
      </c>
      <c r="P1398" t="n">
        <v>0</v>
      </c>
      <c r="Q1398" t="n">
        <v>0</v>
      </c>
      <c r="R1398" s="2" t="inlineStr"/>
    </row>
    <row r="1399" ht="15" customHeight="1">
      <c r="A1399" t="inlineStr">
        <is>
          <t>A 52326-2022</t>
        </is>
      </c>
      <c r="B1399" s="1" t="n">
        <v>44873</v>
      </c>
      <c r="C1399" s="1" t="n">
        <v>45192</v>
      </c>
      <c r="D1399" t="inlineStr">
        <is>
          <t>VÄSTERBOTTENS LÄN</t>
        </is>
      </c>
      <c r="E1399" t="inlineStr">
        <is>
          <t>SKELLEFTEÅ</t>
        </is>
      </c>
      <c r="G1399" t="n">
        <v>4.1</v>
      </c>
      <c r="H1399" t="n">
        <v>0</v>
      </c>
      <c r="I1399" t="n">
        <v>0</v>
      </c>
      <c r="J1399" t="n">
        <v>0</v>
      </c>
      <c r="K1399" t="n">
        <v>0</v>
      </c>
      <c r="L1399" t="n">
        <v>0</v>
      </c>
      <c r="M1399" t="n">
        <v>0</v>
      </c>
      <c r="N1399" t="n">
        <v>0</v>
      </c>
      <c r="O1399" t="n">
        <v>0</v>
      </c>
      <c r="P1399" t="n">
        <v>0</v>
      </c>
      <c r="Q1399" t="n">
        <v>0</v>
      </c>
      <c r="R1399" s="2" t="inlineStr"/>
    </row>
    <row r="1400" ht="15" customHeight="1">
      <c r="A1400" t="inlineStr">
        <is>
          <t>A 52555-2022</t>
        </is>
      </c>
      <c r="B1400" s="1" t="n">
        <v>44874</v>
      </c>
      <c r="C1400" s="1" t="n">
        <v>45192</v>
      </c>
      <c r="D1400" t="inlineStr">
        <is>
          <t>VÄSTERBOTTENS LÄN</t>
        </is>
      </c>
      <c r="E1400" t="inlineStr">
        <is>
          <t>SKELLEFTEÅ</t>
        </is>
      </c>
      <c r="G1400" t="n">
        <v>0.7</v>
      </c>
      <c r="H1400" t="n">
        <v>0</v>
      </c>
      <c r="I1400" t="n">
        <v>0</v>
      </c>
      <c r="J1400" t="n">
        <v>0</v>
      </c>
      <c r="K1400" t="n">
        <v>0</v>
      </c>
      <c r="L1400" t="n">
        <v>0</v>
      </c>
      <c r="M1400" t="n">
        <v>0</v>
      </c>
      <c r="N1400" t="n">
        <v>0</v>
      </c>
      <c r="O1400" t="n">
        <v>0</v>
      </c>
      <c r="P1400" t="n">
        <v>0</v>
      </c>
      <c r="Q1400" t="n">
        <v>0</v>
      </c>
      <c r="R1400" s="2" t="inlineStr"/>
    </row>
    <row r="1401" ht="15" customHeight="1">
      <c r="A1401" t="inlineStr">
        <is>
          <t>A 52548-2022</t>
        </is>
      </c>
      <c r="B1401" s="1" t="n">
        <v>44874</v>
      </c>
      <c r="C1401" s="1" t="n">
        <v>45192</v>
      </c>
      <c r="D1401" t="inlineStr">
        <is>
          <t>VÄSTERBOTTENS LÄN</t>
        </is>
      </c>
      <c r="E1401" t="inlineStr">
        <is>
          <t>SKELLEFTEÅ</t>
        </is>
      </c>
      <c r="G1401" t="n">
        <v>0.9</v>
      </c>
      <c r="H1401" t="n">
        <v>0</v>
      </c>
      <c r="I1401" t="n">
        <v>0</v>
      </c>
      <c r="J1401" t="n">
        <v>0</v>
      </c>
      <c r="K1401" t="n">
        <v>0</v>
      </c>
      <c r="L1401" t="n">
        <v>0</v>
      </c>
      <c r="M1401" t="n">
        <v>0</v>
      </c>
      <c r="N1401" t="n">
        <v>0</v>
      </c>
      <c r="O1401" t="n">
        <v>0</v>
      </c>
      <c r="P1401" t="n">
        <v>0</v>
      </c>
      <c r="Q1401" t="n">
        <v>0</v>
      </c>
      <c r="R1401" s="2" t="inlineStr"/>
    </row>
    <row r="1402" ht="15" customHeight="1">
      <c r="A1402" t="inlineStr">
        <is>
          <t>A 52869-2022</t>
        </is>
      </c>
      <c r="B1402" s="1" t="n">
        <v>44875</v>
      </c>
      <c r="C1402" s="1" t="n">
        <v>45192</v>
      </c>
      <c r="D1402" t="inlineStr">
        <is>
          <t>VÄSTERBOTTENS LÄN</t>
        </is>
      </c>
      <c r="E1402" t="inlineStr">
        <is>
          <t>SKELLEFTEÅ</t>
        </is>
      </c>
      <c r="G1402" t="n">
        <v>4.6</v>
      </c>
      <c r="H1402" t="n">
        <v>0</v>
      </c>
      <c r="I1402" t="n">
        <v>0</v>
      </c>
      <c r="J1402" t="n">
        <v>0</v>
      </c>
      <c r="K1402" t="n">
        <v>0</v>
      </c>
      <c r="L1402" t="n">
        <v>0</v>
      </c>
      <c r="M1402" t="n">
        <v>0</v>
      </c>
      <c r="N1402" t="n">
        <v>0</v>
      </c>
      <c r="O1402" t="n">
        <v>0</v>
      </c>
      <c r="P1402" t="n">
        <v>0</v>
      </c>
      <c r="Q1402" t="n">
        <v>0</v>
      </c>
      <c r="R1402" s="2" t="inlineStr"/>
    </row>
    <row r="1403" ht="15" customHeight="1">
      <c r="A1403" t="inlineStr">
        <is>
          <t>A 53033-2022</t>
        </is>
      </c>
      <c r="B1403" s="1" t="n">
        <v>44876</v>
      </c>
      <c r="C1403" s="1" t="n">
        <v>45192</v>
      </c>
      <c r="D1403" t="inlineStr">
        <is>
          <t>VÄSTERBOTTENS LÄN</t>
        </is>
      </c>
      <c r="E1403" t="inlineStr">
        <is>
          <t>SKELLEFTEÅ</t>
        </is>
      </c>
      <c r="G1403" t="n">
        <v>4.2</v>
      </c>
      <c r="H1403" t="n">
        <v>0</v>
      </c>
      <c r="I1403" t="n">
        <v>0</v>
      </c>
      <c r="J1403" t="n">
        <v>0</v>
      </c>
      <c r="K1403" t="n">
        <v>0</v>
      </c>
      <c r="L1403" t="n">
        <v>0</v>
      </c>
      <c r="M1403" t="n">
        <v>0</v>
      </c>
      <c r="N1403" t="n">
        <v>0</v>
      </c>
      <c r="O1403" t="n">
        <v>0</v>
      </c>
      <c r="P1403" t="n">
        <v>0</v>
      </c>
      <c r="Q1403" t="n">
        <v>0</v>
      </c>
      <c r="R1403" s="2" t="inlineStr"/>
    </row>
    <row r="1404" ht="15" customHeight="1">
      <c r="A1404" t="inlineStr">
        <is>
          <t>A 53075-2022</t>
        </is>
      </c>
      <c r="B1404" s="1" t="n">
        <v>44876</v>
      </c>
      <c r="C1404" s="1" t="n">
        <v>45192</v>
      </c>
      <c r="D1404" t="inlineStr">
        <is>
          <t>VÄSTERBOTTENS LÄN</t>
        </is>
      </c>
      <c r="E1404" t="inlineStr">
        <is>
          <t>SKELLEFTEÅ</t>
        </is>
      </c>
      <c r="G1404" t="n">
        <v>0.8</v>
      </c>
      <c r="H1404" t="n">
        <v>0</v>
      </c>
      <c r="I1404" t="n">
        <v>0</v>
      </c>
      <c r="J1404" t="n">
        <v>0</v>
      </c>
      <c r="K1404" t="n">
        <v>0</v>
      </c>
      <c r="L1404" t="n">
        <v>0</v>
      </c>
      <c r="M1404" t="n">
        <v>0</v>
      </c>
      <c r="N1404" t="n">
        <v>0</v>
      </c>
      <c r="O1404" t="n">
        <v>0</v>
      </c>
      <c r="P1404" t="n">
        <v>0</v>
      </c>
      <c r="Q1404" t="n">
        <v>0</v>
      </c>
      <c r="R1404" s="2" t="inlineStr"/>
    </row>
    <row r="1405" ht="15" customHeight="1">
      <c r="A1405" t="inlineStr">
        <is>
          <t>A 53083-2022</t>
        </is>
      </c>
      <c r="B1405" s="1" t="n">
        <v>44876</v>
      </c>
      <c r="C1405" s="1" t="n">
        <v>45192</v>
      </c>
      <c r="D1405" t="inlineStr">
        <is>
          <t>VÄSTERBOTTENS LÄN</t>
        </is>
      </c>
      <c r="E1405" t="inlineStr">
        <is>
          <t>SKELLEFTEÅ</t>
        </is>
      </c>
      <c r="G1405" t="n">
        <v>4.2</v>
      </c>
      <c r="H1405" t="n">
        <v>0</v>
      </c>
      <c r="I1405" t="n">
        <v>0</v>
      </c>
      <c r="J1405" t="n">
        <v>0</v>
      </c>
      <c r="K1405" t="n">
        <v>0</v>
      </c>
      <c r="L1405" t="n">
        <v>0</v>
      </c>
      <c r="M1405" t="n">
        <v>0</v>
      </c>
      <c r="N1405" t="n">
        <v>0</v>
      </c>
      <c r="O1405" t="n">
        <v>0</v>
      </c>
      <c r="P1405" t="n">
        <v>0</v>
      </c>
      <c r="Q1405" t="n">
        <v>0</v>
      </c>
      <c r="R1405" s="2" t="inlineStr"/>
    </row>
    <row r="1406" ht="15" customHeight="1">
      <c r="A1406" t="inlineStr">
        <is>
          <t>A 53303-2022</t>
        </is>
      </c>
      <c r="B1406" s="1" t="n">
        <v>44877</v>
      </c>
      <c r="C1406" s="1" t="n">
        <v>45192</v>
      </c>
      <c r="D1406" t="inlineStr">
        <is>
          <t>VÄSTERBOTTENS LÄN</t>
        </is>
      </c>
      <c r="E1406" t="inlineStr">
        <is>
          <t>SKELLEFTEÅ</t>
        </is>
      </c>
      <c r="F1406" t="inlineStr">
        <is>
          <t>Sveaskog</t>
        </is>
      </c>
      <c r="G1406" t="n">
        <v>12.8</v>
      </c>
      <c r="H1406" t="n">
        <v>0</v>
      </c>
      <c r="I1406" t="n">
        <v>0</v>
      </c>
      <c r="J1406" t="n">
        <v>0</v>
      </c>
      <c r="K1406" t="n">
        <v>0</v>
      </c>
      <c r="L1406" t="n">
        <v>0</v>
      </c>
      <c r="M1406" t="n">
        <v>0</v>
      </c>
      <c r="N1406" t="n">
        <v>0</v>
      </c>
      <c r="O1406" t="n">
        <v>0</v>
      </c>
      <c r="P1406" t="n">
        <v>0</v>
      </c>
      <c r="Q1406" t="n">
        <v>0</v>
      </c>
      <c r="R1406" s="2" t="inlineStr"/>
    </row>
    <row r="1407" ht="15" customHeight="1">
      <c r="A1407" t="inlineStr">
        <is>
          <t>A 54316-2022</t>
        </is>
      </c>
      <c r="B1407" s="1" t="n">
        <v>44879</v>
      </c>
      <c r="C1407" s="1" t="n">
        <v>45192</v>
      </c>
      <c r="D1407" t="inlineStr">
        <is>
          <t>VÄSTERBOTTENS LÄN</t>
        </is>
      </c>
      <c r="E1407" t="inlineStr">
        <is>
          <t>SKELLEFTEÅ</t>
        </is>
      </c>
      <c r="G1407" t="n">
        <v>5.8</v>
      </c>
      <c r="H1407" t="n">
        <v>0</v>
      </c>
      <c r="I1407" t="n">
        <v>0</v>
      </c>
      <c r="J1407" t="n">
        <v>0</v>
      </c>
      <c r="K1407" t="n">
        <v>0</v>
      </c>
      <c r="L1407" t="n">
        <v>0</v>
      </c>
      <c r="M1407" t="n">
        <v>0</v>
      </c>
      <c r="N1407" t="n">
        <v>0</v>
      </c>
      <c r="O1407" t="n">
        <v>0</v>
      </c>
      <c r="P1407" t="n">
        <v>0</v>
      </c>
      <c r="Q1407" t="n">
        <v>0</v>
      </c>
      <c r="R1407" s="2" t="inlineStr"/>
    </row>
    <row r="1408" ht="15" customHeight="1">
      <c r="A1408" t="inlineStr">
        <is>
          <t>A 53642-2022</t>
        </is>
      </c>
      <c r="B1408" s="1" t="n">
        <v>44879</v>
      </c>
      <c r="C1408" s="1" t="n">
        <v>45192</v>
      </c>
      <c r="D1408" t="inlineStr">
        <is>
          <t>VÄSTERBOTTENS LÄN</t>
        </is>
      </c>
      <c r="E1408" t="inlineStr">
        <is>
          <t>SKELLEFTEÅ</t>
        </is>
      </c>
      <c r="G1408" t="n">
        <v>0.7</v>
      </c>
      <c r="H1408" t="n">
        <v>0</v>
      </c>
      <c r="I1408" t="n">
        <v>0</v>
      </c>
      <c r="J1408" t="n">
        <v>0</v>
      </c>
      <c r="K1408" t="n">
        <v>0</v>
      </c>
      <c r="L1408" t="n">
        <v>0</v>
      </c>
      <c r="M1408" t="n">
        <v>0</v>
      </c>
      <c r="N1408" t="n">
        <v>0</v>
      </c>
      <c r="O1408" t="n">
        <v>0</v>
      </c>
      <c r="P1408" t="n">
        <v>0</v>
      </c>
      <c r="Q1408" t="n">
        <v>0</v>
      </c>
      <c r="R1408" s="2" t="inlineStr"/>
    </row>
    <row r="1409" ht="15" customHeight="1">
      <c r="A1409" t="inlineStr">
        <is>
          <t>A 53646-2022</t>
        </is>
      </c>
      <c r="B1409" s="1" t="n">
        <v>44879</v>
      </c>
      <c r="C1409" s="1" t="n">
        <v>45192</v>
      </c>
      <c r="D1409" t="inlineStr">
        <is>
          <t>VÄSTERBOTTENS LÄN</t>
        </is>
      </c>
      <c r="E1409" t="inlineStr">
        <is>
          <t>SKELLEFTEÅ</t>
        </is>
      </c>
      <c r="G1409" t="n">
        <v>10.6</v>
      </c>
      <c r="H1409" t="n">
        <v>0</v>
      </c>
      <c r="I1409" t="n">
        <v>0</v>
      </c>
      <c r="J1409" t="n">
        <v>0</v>
      </c>
      <c r="K1409" t="n">
        <v>0</v>
      </c>
      <c r="L1409" t="n">
        <v>0</v>
      </c>
      <c r="M1409" t="n">
        <v>0</v>
      </c>
      <c r="N1409" t="n">
        <v>0</v>
      </c>
      <c r="O1409" t="n">
        <v>0</v>
      </c>
      <c r="P1409" t="n">
        <v>0</v>
      </c>
      <c r="Q1409" t="n">
        <v>0</v>
      </c>
      <c r="R1409" s="2" t="inlineStr"/>
    </row>
    <row r="1410" ht="15" customHeight="1">
      <c r="A1410" t="inlineStr">
        <is>
          <t>A 54155-2022</t>
        </is>
      </c>
      <c r="B1410" s="1" t="n">
        <v>44879</v>
      </c>
      <c r="C1410" s="1" t="n">
        <v>45192</v>
      </c>
      <c r="D1410" t="inlineStr">
        <is>
          <t>VÄSTERBOTTENS LÄN</t>
        </is>
      </c>
      <c r="E1410" t="inlineStr">
        <is>
          <t>SKELLEFTEÅ</t>
        </is>
      </c>
      <c r="G1410" t="n">
        <v>2.2</v>
      </c>
      <c r="H1410" t="n">
        <v>0</v>
      </c>
      <c r="I1410" t="n">
        <v>0</v>
      </c>
      <c r="J1410" t="n">
        <v>0</v>
      </c>
      <c r="K1410" t="n">
        <v>0</v>
      </c>
      <c r="L1410" t="n">
        <v>0</v>
      </c>
      <c r="M1410" t="n">
        <v>0</v>
      </c>
      <c r="N1410" t="n">
        <v>0</v>
      </c>
      <c r="O1410" t="n">
        <v>0</v>
      </c>
      <c r="P1410" t="n">
        <v>0</v>
      </c>
      <c r="Q1410" t="n">
        <v>0</v>
      </c>
      <c r="R1410" s="2" t="inlineStr"/>
    </row>
    <row r="1411" ht="15" customHeight="1">
      <c r="A1411" t="inlineStr">
        <is>
          <t>A 54456-2022</t>
        </is>
      </c>
      <c r="B1411" s="1" t="n">
        <v>44880</v>
      </c>
      <c r="C1411" s="1" t="n">
        <v>45192</v>
      </c>
      <c r="D1411" t="inlineStr">
        <is>
          <t>VÄSTERBOTTENS LÄN</t>
        </is>
      </c>
      <c r="E1411" t="inlineStr">
        <is>
          <t>SKELLEFTEÅ</t>
        </is>
      </c>
      <c r="G1411" t="n">
        <v>1</v>
      </c>
      <c r="H1411" t="n">
        <v>0</v>
      </c>
      <c r="I1411" t="n">
        <v>0</v>
      </c>
      <c r="J1411" t="n">
        <v>0</v>
      </c>
      <c r="K1411" t="n">
        <v>0</v>
      </c>
      <c r="L1411" t="n">
        <v>0</v>
      </c>
      <c r="M1411" t="n">
        <v>0</v>
      </c>
      <c r="N1411" t="n">
        <v>0</v>
      </c>
      <c r="O1411" t="n">
        <v>0</v>
      </c>
      <c r="P1411" t="n">
        <v>0</v>
      </c>
      <c r="Q1411" t="n">
        <v>0</v>
      </c>
      <c r="R1411" s="2" t="inlineStr"/>
    </row>
    <row r="1412" ht="15" customHeight="1">
      <c r="A1412" t="inlineStr">
        <is>
          <t>A 53903-2022</t>
        </is>
      </c>
      <c r="B1412" s="1" t="n">
        <v>44880</v>
      </c>
      <c r="C1412" s="1" t="n">
        <v>45192</v>
      </c>
      <c r="D1412" t="inlineStr">
        <is>
          <t>VÄSTERBOTTENS LÄN</t>
        </is>
      </c>
      <c r="E1412" t="inlineStr">
        <is>
          <t>SKELLEFTEÅ</t>
        </is>
      </c>
      <c r="F1412" t="inlineStr">
        <is>
          <t>Sveaskog</t>
        </is>
      </c>
      <c r="G1412" t="n">
        <v>1.5</v>
      </c>
      <c r="H1412" t="n">
        <v>0</v>
      </c>
      <c r="I1412" t="n">
        <v>0</v>
      </c>
      <c r="J1412" t="n">
        <v>0</v>
      </c>
      <c r="K1412" t="n">
        <v>0</v>
      </c>
      <c r="L1412" t="n">
        <v>0</v>
      </c>
      <c r="M1412" t="n">
        <v>0</v>
      </c>
      <c r="N1412" t="n">
        <v>0</v>
      </c>
      <c r="O1412" t="n">
        <v>0</v>
      </c>
      <c r="P1412" t="n">
        <v>0</v>
      </c>
      <c r="Q1412" t="n">
        <v>0</v>
      </c>
      <c r="R1412" s="2" t="inlineStr"/>
    </row>
    <row r="1413" ht="15" customHeight="1">
      <c r="A1413" t="inlineStr">
        <is>
          <t>A 54438-2022</t>
        </is>
      </c>
      <c r="B1413" s="1" t="n">
        <v>44880</v>
      </c>
      <c r="C1413" s="1" t="n">
        <v>45192</v>
      </c>
      <c r="D1413" t="inlineStr">
        <is>
          <t>VÄSTERBOTTENS LÄN</t>
        </is>
      </c>
      <c r="E1413" t="inlineStr">
        <is>
          <t>SKELLEFTEÅ</t>
        </is>
      </c>
      <c r="G1413" t="n">
        <v>3.9</v>
      </c>
      <c r="H1413" t="n">
        <v>0</v>
      </c>
      <c r="I1413" t="n">
        <v>0</v>
      </c>
      <c r="J1413" t="n">
        <v>0</v>
      </c>
      <c r="K1413" t="n">
        <v>0</v>
      </c>
      <c r="L1413" t="n">
        <v>0</v>
      </c>
      <c r="M1413" t="n">
        <v>0</v>
      </c>
      <c r="N1413" t="n">
        <v>0</v>
      </c>
      <c r="O1413" t="n">
        <v>0</v>
      </c>
      <c r="P1413" t="n">
        <v>0</v>
      </c>
      <c r="Q1413" t="n">
        <v>0</v>
      </c>
      <c r="R1413" s="2" t="inlineStr"/>
    </row>
    <row r="1414" ht="15" customHeight="1">
      <c r="A1414" t="inlineStr">
        <is>
          <t>A 54081-2022</t>
        </is>
      </c>
      <c r="B1414" s="1" t="n">
        <v>44881</v>
      </c>
      <c r="C1414" s="1" t="n">
        <v>45192</v>
      </c>
      <c r="D1414" t="inlineStr">
        <is>
          <t>VÄSTERBOTTENS LÄN</t>
        </is>
      </c>
      <c r="E1414" t="inlineStr">
        <is>
          <t>SKELLEFTEÅ</t>
        </is>
      </c>
      <c r="G1414" t="n">
        <v>4.3</v>
      </c>
      <c r="H1414" t="n">
        <v>0</v>
      </c>
      <c r="I1414" t="n">
        <v>0</v>
      </c>
      <c r="J1414" t="n">
        <v>0</v>
      </c>
      <c r="K1414" t="n">
        <v>0</v>
      </c>
      <c r="L1414" t="n">
        <v>0</v>
      </c>
      <c r="M1414" t="n">
        <v>0</v>
      </c>
      <c r="N1414" t="n">
        <v>0</v>
      </c>
      <c r="O1414" t="n">
        <v>0</v>
      </c>
      <c r="P1414" t="n">
        <v>0</v>
      </c>
      <c r="Q1414" t="n">
        <v>0</v>
      </c>
      <c r="R1414" s="2" t="inlineStr"/>
    </row>
    <row r="1415" ht="15" customHeight="1">
      <c r="A1415" t="inlineStr">
        <is>
          <t>A 54825-2022</t>
        </is>
      </c>
      <c r="B1415" s="1" t="n">
        <v>44883</v>
      </c>
      <c r="C1415" s="1" t="n">
        <v>45192</v>
      </c>
      <c r="D1415" t="inlineStr">
        <is>
          <t>VÄSTERBOTTENS LÄN</t>
        </is>
      </c>
      <c r="E1415" t="inlineStr">
        <is>
          <t>SKELLEFTEÅ</t>
        </is>
      </c>
      <c r="G1415" t="n">
        <v>11</v>
      </c>
      <c r="H1415" t="n">
        <v>0</v>
      </c>
      <c r="I1415" t="n">
        <v>0</v>
      </c>
      <c r="J1415" t="n">
        <v>0</v>
      </c>
      <c r="K1415" t="n">
        <v>0</v>
      </c>
      <c r="L1415" t="n">
        <v>0</v>
      </c>
      <c r="M1415" t="n">
        <v>0</v>
      </c>
      <c r="N1415" t="n">
        <v>0</v>
      </c>
      <c r="O1415" t="n">
        <v>0</v>
      </c>
      <c r="P1415" t="n">
        <v>0</v>
      </c>
      <c r="Q1415" t="n">
        <v>0</v>
      </c>
      <c r="R1415" s="2" t="inlineStr"/>
    </row>
    <row r="1416" ht="15" customHeight="1">
      <c r="A1416" t="inlineStr">
        <is>
          <t>A 54635-2022</t>
        </is>
      </c>
      <c r="B1416" s="1" t="n">
        <v>44883</v>
      </c>
      <c r="C1416" s="1" t="n">
        <v>45192</v>
      </c>
      <c r="D1416" t="inlineStr">
        <is>
          <t>VÄSTERBOTTENS LÄN</t>
        </is>
      </c>
      <c r="E1416" t="inlineStr">
        <is>
          <t>SKELLEFTEÅ</t>
        </is>
      </c>
      <c r="G1416" t="n">
        <v>6.1</v>
      </c>
      <c r="H1416" t="n">
        <v>0</v>
      </c>
      <c r="I1416" t="n">
        <v>0</v>
      </c>
      <c r="J1416" t="n">
        <v>0</v>
      </c>
      <c r="K1416" t="n">
        <v>0</v>
      </c>
      <c r="L1416" t="n">
        <v>0</v>
      </c>
      <c r="M1416" t="n">
        <v>0</v>
      </c>
      <c r="N1416" t="n">
        <v>0</v>
      </c>
      <c r="O1416" t="n">
        <v>0</v>
      </c>
      <c r="P1416" t="n">
        <v>0</v>
      </c>
      <c r="Q1416" t="n">
        <v>0</v>
      </c>
      <c r="R1416" s="2" t="inlineStr"/>
    </row>
    <row r="1417" ht="15" customHeight="1">
      <c r="A1417" t="inlineStr">
        <is>
          <t>A 55063-2022</t>
        </is>
      </c>
      <c r="B1417" s="1" t="n">
        <v>44886</v>
      </c>
      <c r="C1417" s="1" t="n">
        <v>45192</v>
      </c>
      <c r="D1417" t="inlineStr">
        <is>
          <t>VÄSTERBOTTENS LÄN</t>
        </is>
      </c>
      <c r="E1417" t="inlineStr">
        <is>
          <t>SKELLEFTEÅ</t>
        </is>
      </c>
      <c r="G1417" t="n">
        <v>3</v>
      </c>
      <c r="H1417" t="n">
        <v>0</v>
      </c>
      <c r="I1417" t="n">
        <v>0</v>
      </c>
      <c r="J1417" t="n">
        <v>0</v>
      </c>
      <c r="K1417" t="n">
        <v>0</v>
      </c>
      <c r="L1417" t="n">
        <v>0</v>
      </c>
      <c r="M1417" t="n">
        <v>0</v>
      </c>
      <c r="N1417" t="n">
        <v>0</v>
      </c>
      <c r="O1417" t="n">
        <v>0</v>
      </c>
      <c r="P1417" t="n">
        <v>0</v>
      </c>
      <c r="Q1417" t="n">
        <v>0</v>
      </c>
      <c r="R1417" s="2" t="inlineStr"/>
    </row>
    <row r="1418" ht="15" customHeight="1">
      <c r="A1418" t="inlineStr">
        <is>
          <t>A 55037-2022</t>
        </is>
      </c>
      <c r="B1418" s="1" t="n">
        <v>44886</v>
      </c>
      <c r="C1418" s="1" t="n">
        <v>45192</v>
      </c>
      <c r="D1418" t="inlineStr">
        <is>
          <t>VÄSTERBOTTENS LÄN</t>
        </is>
      </c>
      <c r="E1418" t="inlineStr">
        <is>
          <t>SKELLEFTEÅ</t>
        </is>
      </c>
      <c r="G1418" t="n">
        <v>0.8</v>
      </c>
      <c r="H1418" t="n">
        <v>0</v>
      </c>
      <c r="I1418" t="n">
        <v>0</v>
      </c>
      <c r="J1418" t="n">
        <v>0</v>
      </c>
      <c r="K1418" t="n">
        <v>0</v>
      </c>
      <c r="L1418" t="n">
        <v>0</v>
      </c>
      <c r="M1418" t="n">
        <v>0</v>
      </c>
      <c r="N1418" t="n">
        <v>0</v>
      </c>
      <c r="O1418" t="n">
        <v>0</v>
      </c>
      <c r="P1418" t="n">
        <v>0</v>
      </c>
      <c r="Q1418" t="n">
        <v>0</v>
      </c>
      <c r="R1418" s="2" t="inlineStr"/>
    </row>
    <row r="1419" ht="15" customHeight="1">
      <c r="A1419" t="inlineStr">
        <is>
          <t>A 56299-2022</t>
        </is>
      </c>
      <c r="B1419" s="1" t="n">
        <v>44887</v>
      </c>
      <c r="C1419" s="1" t="n">
        <v>45192</v>
      </c>
      <c r="D1419" t="inlineStr">
        <is>
          <t>VÄSTERBOTTENS LÄN</t>
        </is>
      </c>
      <c r="E1419" t="inlineStr">
        <is>
          <t>SKELLEFTEÅ</t>
        </is>
      </c>
      <c r="G1419" t="n">
        <v>4.1</v>
      </c>
      <c r="H1419" t="n">
        <v>0</v>
      </c>
      <c r="I1419" t="n">
        <v>0</v>
      </c>
      <c r="J1419" t="n">
        <v>0</v>
      </c>
      <c r="K1419" t="n">
        <v>0</v>
      </c>
      <c r="L1419" t="n">
        <v>0</v>
      </c>
      <c r="M1419" t="n">
        <v>0</v>
      </c>
      <c r="N1419" t="n">
        <v>0</v>
      </c>
      <c r="O1419" t="n">
        <v>0</v>
      </c>
      <c r="P1419" t="n">
        <v>0</v>
      </c>
      <c r="Q1419" t="n">
        <v>0</v>
      </c>
      <c r="R1419" s="2" t="inlineStr"/>
    </row>
    <row r="1420" ht="15" customHeight="1">
      <c r="A1420" t="inlineStr">
        <is>
          <t>A 56313-2022</t>
        </is>
      </c>
      <c r="B1420" s="1" t="n">
        <v>44887</v>
      </c>
      <c r="C1420" s="1" t="n">
        <v>45192</v>
      </c>
      <c r="D1420" t="inlineStr">
        <is>
          <t>VÄSTERBOTTENS LÄN</t>
        </is>
      </c>
      <c r="E1420" t="inlineStr">
        <is>
          <t>SKELLEFTEÅ</t>
        </is>
      </c>
      <c r="G1420" t="n">
        <v>1.6</v>
      </c>
      <c r="H1420" t="n">
        <v>0</v>
      </c>
      <c r="I1420" t="n">
        <v>0</v>
      </c>
      <c r="J1420" t="n">
        <v>0</v>
      </c>
      <c r="K1420" t="n">
        <v>0</v>
      </c>
      <c r="L1420" t="n">
        <v>0</v>
      </c>
      <c r="M1420" t="n">
        <v>0</v>
      </c>
      <c r="N1420" t="n">
        <v>0</v>
      </c>
      <c r="O1420" t="n">
        <v>0</v>
      </c>
      <c r="P1420" t="n">
        <v>0</v>
      </c>
      <c r="Q1420" t="n">
        <v>0</v>
      </c>
      <c r="R1420" s="2" t="inlineStr"/>
    </row>
    <row r="1421" ht="15" customHeight="1">
      <c r="A1421" t="inlineStr">
        <is>
          <t>A 55827-2022</t>
        </is>
      </c>
      <c r="B1421" s="1" t="n">
        <v>44888</v>
      </c>
      <c r="C1421" s="1" t="n">
        <v>45192</v>
      </c>
      <c r="D1421" t="inlineStr">
        <is>
          <t>VÄSTERBOTTENS LÄN</t>
        </is>
      </c>
      <c r="E1421" t="inlineStr">
        <is>
          <t>SKELLEFTEÅ</t>
        </is>
      </c>
      <c r="G1421" t="n">
        <v>7.6</v>
      </c>
      <c r="H1421" t="n">
        <v>0</v>
      </c>
      <c r="I1421" t="n">
        <v>0</v>
      </c>
      <c r="J1421" t="n">
        <v>0</v>
      </c>
      <c r="K1421" t="n">
        <v>0</v>
      </c>
      <c r="L1421" t="n">
        <v>0</v>
      </c>
      <c r="M1421" t="n">
        <v>0</v>
      </c>
      <c r="N1421" t="n">
        <v>0</v>
      </c>
      <c r="O1421" t="n">
        <v>0</v>
      </c>
      <c r="P1421" t="n">
        <v>0</v>
      </c>
      <c r="Q1421" t="n">
        <v>0</v>
      </c>
      <c r="R1421" s="2" t="inlineStr"/>
    </row>
    <row r="1422" ht="15" customHeight="1">
      <c r="A1422" t="inlineStr">
        <is>
          <t>A 56824-2022</t>
        </is>
      </c>
      <c r="B1422" s="1" t="n">
        <v>44888</v>
      </c>
      <c r="C1422" s="1" t="n">
        <v>45192</v>
      </c>
      <c r="D1422" t="inlineStr">
        <is>
          <t>VÄSTERBOTTENS LÄN</t>
        </is>
      </c>
      <c r="E1422" t="inlineStr">
        <is>
          <t>SKELLEFTEÅ</t>
        </is>
      </c>
      <c r="G1422" t="n">
        <v>4.6</v>
      </c>
      <c r="H1422" t="n">
        <v>0</v>
      </c>
      <c r="I1422" t="n">
        <v>0</v>
      </c>
      <c r="J1422" t="n">
        <v>0</v>
      </c>
      <c r="K1422" t="n">
        <v>0</v>
      </c>
      <c r="L1422" t="n">
        <v>0</v>
      </c>
      <c r="M1422" t="n">
        <v>0</v>
      </c>
      <c r="N1422" t="n">
        <v>0</v>
      </c>
      <c r="O1422" t="n">
        <v>0</v>
      </c>
      <c r="P1422" t="n">
        <v>0</v>
      </c>
      <c r="Q1422" t="n">
        <v>0</v>
      </c>
      <c r="R1422" s="2" t="inlineStr"/>
    </row>
    <row r="1423" ht="15" customHeight="1">
      <c r="A1423" t="inlineStr">
        <is>
          <t>A 56156-2022</t>
        </is>
      </c>
      <c r="B1423" s="1" t="n">
        <v>44889</v>
      </c>
      <c r="C1423" s="1" t="n">
        <v>45192</v>
      </c>
      <c r="D1423" t="inlineStr">
        <is>
          <t>VÄSTERBOTTENS LÄN</t>
        </is>
      </c>
      <c r="E1423" t="inlineStr">
        <is>
          <t>SKELLEFTEÅ</t>
        </is>
      </c>
      <c r="G1423" t="n">
        <v>2.3</v>
      </c>
      <c r="H1423" t="n">
        <v>0</v>
      </c>
      <c r="I1423" t="n">
        <v>0</v>
      </c>
      <c r="J1423" t="n">
        <v>0</v>
      </c>
      <c r="K1423" t="n">
        <v>0</v>
      </c>
      <c r="L1423" t="n">
        <v>0</v>
      </c>
      <c r="M1423" t="n">
        <v>0</v>
      </c>
      <c r="N1423" t="n">
        <v>0</v>
      </c>
      <c r="O1423" t="n">
        <v>0</v>
      </c>
      <c r="P1423" t="n">
        <v>0</v>
      </c>
      <c r="Q1423" t="n">
        <v>0</v>
      </c>
      <c r="R1423" s="2" t="inlineStr"/>
    </row>
    <row r="1424" ht="15" customHeight="1">
      <c r="A1424" t="inlineStr">
        <is>
          <t>A 57405-2022</t>
        </is>
      </c>
      <c r="B1424" s="1" t="n">
        <v>44889</v>
      </c>
      <c r="C1424" s="1" t="n">
        <v>45192</v>
      </c>
      <c r="D1424" t="inlineStr">
        <is>
          <t>VÄSTERBOTTENS LÄN</t>
        </is>
      </c>
      <c r="E1424" t="inlineStr">
        <is>
          <t>SKELLEFTEÅ</t>
        </is>
      </c>
      <c r="G1424" t="n">
        <v>0.7</v>
      </c>
      <c r="H1424" t="n">
        <v>0</v>
      </c>
      <c r="I1424" t="n">
        <v>0</v>
      </c>
      <c r="J1424" t="n">
        <v>0</v>
      </c>
      <c r="K1424" t="n">
        <v>0</v>
      </c>
      <c r="L1424" t="n">
        <v>0</v>
      </c>
      <c r="M1424" t="n">
        <v>0</v>
      </c>
      <c r="N1424" t="n">
        <v>0</v>
      </c>
      <c r="O1424" t="n">
        <v>0</v>
      </c>
      <c r="P1424" t="n">
        <v>0</v>
      </c>
      <c r="Q1424" t="n">
        <v>0</v>
      </c>
      <c r="R1424" s="2" t="inlineStr"/>
    </row>
    <row r="1425" ht="15" customHeight="1">
      <c r="A1425" t="inlineStr">
        <is>
          <t>A 57432-2022</t>
        </is>
      </c>
      <c r="B1425" s="1" t="n">
        <v>44889</v>
      </c>
      <c r="C1425" s="1" t="n">
        <v>45192</v>
      </c>
      <c r="D1425" t="inlineStr">
        <is>
          <t>VÄSTERBOTTENS LÄN</t>
        </is>
      </c>
      <c r="E1425" t="inlineStr">
        <is>
          <t>SKELLEFTEÅ</t>
        </is>
      </c>
      <c r="G1425" t="n">
        <v>0.9</v>
      </c>
      <c r="H1425" t="n">
        <v>0</v>
      </c>
      <c r="I1425" t="n">
        <v>0</v>
      </c>
      <c r="J1425" t="n">
        <v>0</v>
      </c>
      <c r="K1425" t="n">
        <v>0</v>
      </c>
      <c r="L1425" t="n">
        <v>0</v>
      </c>
      <c r="M1425" t="n">
        <v>0</v>
      </c>
      <c r="N1425" t="n">
        <v>0</v>
      </c>
      <c r="O1425" t="n">
        <v>0</v>
      </c>
      <c r="P1425" t="n">
        <v>0</v>
      </c>
      <c r="Q1425" t="n">
        <v>0</v>
      </c>
      <c r="R1425" s="2" t="inlineStr"/>
    </row>
    <row r="1426" ht="15" customHeight="1">
      <c r="A1426" t="inlineStr">
        <is>
          <t>A 55974-2022</t>
        </is>
      </c>
      <c r="B1426" s="1" t="n">
        <v>44889</v>
      </c>
      <c r="C1426" s="1" t="n">
        <v>45192</v>
      </c>
      <c r="D1426" t="inlineStr">
        <is>
          <t>VÄSTERBOTTENS LÄN</t>
        </is>
      </c>
      <c r="E1426" t="inlineStr">
        <is>
          <t>SKELLEFTEÅ</t>
        </is>
      </c>
      <c r="F1426" t="inlineStr">
        <is>
          <t>Holmen skog AB</t>
        </is>
      </c>
      <c r="G1426" t="n">
        <v>10.7</v>
      </c>
      <c r="H1426" t="n">
        <v>0</v>
      </c>
      <c r="I1426" t="n">
        <v>0</v>
      </c>
      <c r="J1426" t="n">
        <v>0</v>
      </c>
      <c r="K1426" t="n">
        <v>0</v>
      </c>
      <c r="L1426" t="n">
        <v>0</v>
      </c>
      <c r="M1426" t="n">
        <v>0</v>
      </c>
      <c r="N1426" t="n">
        <v>0</v>
      </c>
      <c r="O1426" t="n">
        <v>0</v>
      </c>
      <c r="P1426" t="n">
        <v>0</v>
      </c>
      <c r="Q1426" t="n">
        <v>0</v>
      </c>
      <c r="R1426" s="2" t="inlineStr"/>
    </row>
    <row r="1427" ht="15" customHeight="1">
      <c r="A1427" t="inlineStr">
        <is>
          <t>A 55982-2022</t>
        </is>
      </c>
      <c r="B1427" s="1" t="n">
        <v>44889</v>
      </c>
      <c r="C1427" s="1" t="n">
        <v>45192</v>
      </c>
      <c r="D1427" t="inlineStr">
        <is>
          <t>VÄSTERBOTTENS LÄN</t>
        </is>
      </c>
      <c r="E1427" t="inlineStr">
        <is>
          <t>SKELLEFTEÅ</t>
        </is>
      </c>
      <c r="F1427" t="inlineStr">
        <is>
          <t>Holmen skog AB</t>
        </is>
      </c>
      <c r="G1427" t="n">
        <v>2.4</v>
      </c>
      <c r="H1427" t="n">
        <v>0</v>
      </c>
      <c r="I1427" t="n">
        <v>0</v>
      </c>
      <c r="J1427" t="n">
        <v>0</v>
      </c>
      <c r="K1427" t="n">
        <v>0</v>
      </c>
      <c r="L1427" t="n">
        <v>0</v>
      </c>
      <c r="M1427" t="n">
        <v>0</v>
      </c>
      <c r="N1427" t="n">
        <v>0</v>
      </c>
      <c r="O1427" t="n">
        <v>0</v>
      </c>
      <c r="P1427" t="n">
        <v>0</v>
      </c>
      <c r="Q1427" t="n">
        <v>0</v>
      </c>
      <c r="R1427" s="2" t="inlineStr"/>
    </row>
    <row r="1428" ht="15" customHeight="1">
      <c r="A1428" t="inlineStr">
        <is>
          <t>A 55999-2022</t>
        </is>
      </c>
      <c r="B1428" s="1" t="n">
        <v>44889</v>
      </c>
      <c r="C1428" s="1" t="n">
        <v>45192</v>
      </c>
      <c r="D1428" t="inlineStr">
        <is>
          <t>VÄSTERBOTTENS LÄN</t>
        </is>
      </c>
      <c r="E1428" t="inlineStr">
        <is>
          <t>SKELLEFTEÅ</t>
        </is>
      </c>
      <c r="F1428" t="inlineStr">
        <is>
          <t>Holmen skog AB</t>
        </is>
      </c>
      <c r="G1428" t="n">
        <v>1</v>
      </c>
      <c r="H1428" t="n">
        <v>0</v>
      </c>
      <c r="I1428" t="n">
        <v>0</v>
      </c>
      <c r="J1428" t="n">
        <v>0</v>
      </c>
      <c r="K1428" t="n">
        <v>0</v>
      </c>
      <c r="L1428" t="n">
        <v>0</v>
      </c>
      <c r="M1428" t="n">
        <v>0</v>
      </c>
      <c r="N1428" t="n">
        <v>0</v>
      </c>
      <c r="O1428" t="n">
        <v>0</v>
      </c>
      <c r="P1428" t="n">
        <v>0</v>
      </c>
      <c r="Q1428" t="n">
        <v>0</v>
      </c>
      <c r="R1428" s="2" t="inlineStr"/>
    </row>
    <row r="1429" ht="15" customHeight="1">
      <c r="A1429" t="inlineStr">
        <is>
          <t>A 56031-2022</t>
        </is>
      </c>
      <c r="B1429" s="1" t="n">
        <v>44889</v>
      </c>
      <c r="C1429" s="1" t="n">
        <v>45192</v>
      </c>
      <c r="D1429" t="inlineStr">
        <is>
          <t>VÄSTERBOTTENS LÄN</t>
        </is>
      </c>
      <c r="E1429" t="inlineStr">
        <is>
          <t>SKELLEFTEÅ</t>
        </is>
      </c>
      <c r="F1429" t="inlineStr">
        <is>
          <t>Sveaskog</t>
        </is>
      </c>
      <c r="G1429" t="n">
        <v>7</v>
      </c>
      <c r="H1429" t="n">
        <v>0</v>
      </c>
      <c r="I1429" t="n">
        <v>0</v>
      </c>
      <c r="J1429" t="n">
        <v>0</v>
      </c>
      <c r="K1429" t="n">
        <v>0</v>
      </c>
      <c r="L1429" t="n">
        <v>0</v>
      </c>
      <c r="M1429" t="n">
        <v>0</v>
      </c>
      <c r="N1429" t="n">
        <v>0</v>
      </c>
      <c r="O1429" t="n">
        <v>0</v>
      </c>
      <c r="P1429" t="n">
        <v>0</v>
      </c>
      <c r="Q1429" t="n">
        <v>0</v>
      </c>
      <c r="R1429" s="2" t="inlineStr"/>
    </row>
    <row r="1430" ht="15" customHeight="1">
      <c r="A1430" t="inlineStr">
        <is>
          <t>A 56113-2022</t>
        </is>
      </c>
      <c r="B1430" s="1" t="n">
        <v>44889</v>
      </c>
      <c r="C1430" s="1" t="n">
        <v>45192</v>
      </c>
      <c r="D1430" t="inlineStr">
        <is>
          <t>VÄSTERBOTTENS LÄN</t>
        </is>
      </c>
      <c r="E1430" t="inlineStr">
        <is>
          <t>SKELLEFTEÅ</t>
        </is>
      </c>
      <c r="F1430" t="inlineStr">
        <is>
          <t>Sveaskog</t>
        </is>
      </c>
      <c r="G1430" t="n">
        <v>9</v>
      </c>
      <c r="H1430" t="n">
        <v>0</v>
      </c>
      <c r="I1430" t="n">
        <v>0</v>
      </c>
      <c r="J1430" t="n">
        <v>0</v>
      </c>
      <c r="K1430" t="n">
        <v>0</v>
      </c>
      <c r="L1430" t="n">
        <v>0</v>
      </c>
      <c r="M1430" t="n">
        <v>0</v>
      </c>
      <c r="N1430" t="n">
        <v>0</v>
      </c>
      <c r="O1430" t="n">
        <v>0</v>
      </c>
      <c r="P1430" t="n">
        <v>0</v>
      </c>
      <c r="Q1430" t="n">
        <v>0</v>
      </c>
      <c r="R1430" s="2" t="inlineStr"/>
    </row>
    <row r="1431" ht="15" customHeight="1">
      <c r="A1431" t="inlineStr">
        <is>
          <t>A 56155-2022</t>
        </is>
      </c>
      <c r="B1431" s="1" t="n">
        <v>44889</v>
      </c>
      <c r="C1431" s="1" t="n">
        <v>45192</v>
      </c>
      <c r="D1431" t="inlineStr">
        <is>
          <t>VÄSTERBOTTENS LÄN</t>
        </is>
      </c>
      <c r="E1431" t="inlineStr">
        <is>
          <t>SKELLEFTEÅ</t>
        </is>
      </c>
      <c r="G1431" t="n">
        <v>1.9</v>
      </c>
      <c r="H1431" t="n">
        <v>0</v>
      </c>
      <c r="I1431" t="n">
        <v>0</v>
      </c>
      <c r="J1431" t="n">
        <v>0</v>
      </c>
      <c r="K1431" t="n">
        <v>0</v>
      </c>
      <c r="L1431" t="n">
        <v>0</v>
      </c>
      <c r="M1431" t="n">
        <v>0</v>
      </c>
      <c r="N1431" t="n">
        <v>0</v>
      </c>
      <c r="O1431" t="n">
        <v>0</v>
      </c>
      <c r="P1431" t="n">
        <v>0</v>
      </c>
      <c r="Q1431" t="n">
        <v>0</v>
      </c>
      <c r="R1431" s="2" t="inlineStr"/>
    </row>
    <row r="1432" ht="15" customHeight="1">
      <c r="A1432" t="inlineStr">
        <is>
          <t>A 56394-2022</t>
        </is>
      </c>
      <c r="B1432" s="1" t="n">
        <v>44890</v>
      </c>
      <c r="C1432" s="1" t="n">
        <v>45192</v>
      </c>
      <c r="D1432" t="inlineStr">
        <is>
          <t>VÄSTERBOTTENS LÄN</t>
        </is>
      </c>
      <c r="E1432" t="inlineStr">
        <is>
          <t>SKELLEFTEÅ</t>
        </is>
      </c>
      <c r="F1432" t="inlineStr">
        <is>
          <t>Sveaskog</t>
        </is>
      </c>
      <c r="G1432" t="n">
        <v>8.1</v>
      </c>
      <c r="H1432" t="n">
        <v>0</v>
      </c>
      <c r="I1432" t="n">
        <v>0</v>
      </c>
      <c r="J1432" t="n">
        <v>0</v>
      </c>
      <c r="K1432" t="n">
        <v>0</v>
      </c>
      <c r="L1432" t="n">
        <v>0</v>
      </c>
      <c r="M1432" t="n">
        <v>0</v>
      </c>
      <c r="N1432" t="n">
        <v>0</v>
      </c>
      <c r="O1432" t="n">
        <v>0</v>
      </c>
      <c r="P1432" t="n">
        <v>0</v>
      </c>
      <c r="Q1432" t="n">
        <v>0</v>
      </c>
      <c r="R1432" s="2" t="inlineStr"/>
    </row>
    <row r="1433" ht="15" customHeight="1">
      <c r="A1433" t="inlineStr">
        <is>
          <t>A 57406-2022</t>
        </is>
      </c>
      <c r="B1433" s="1" t="n">
        <v>44893</v>
      </c>
      <c r="C1433" s="1" t="n">
        <v>45192</v>
      </c>
      <c r="D1433" t="inlineStr">
        <is>
          <t>VÄSTERBOTTENS LÄN</t>
        </is>
      </c>
      <c r="E1433" t="inlineStr">
        <is>
          <t>SKELLEFTEÅ</t>
        </is>
      </c>
      <c r="G1433" t="n">
        <v>1</v>
      </c>
      <c r="H1433" t="n">
        <v>0</v>
      </c>
      <c r="I1433" t="n">
        <v>0</v>
      </c>
      <c r="J1433" t="n">
        <v>0</v>
      </c>
      <c r="K1433" t="n">
        <v>0</v>
      </c>
      <c r="L1433" t="n">
        <v>0</v>
      </c>
      <c r="M1433" t="n">
        <v>0</v>
      </c>
      <c r="N1433" t="n">
        <v>0</v>
      </c>
      <c r="O1433" t="n">
        <v>0</v>
      </c>
      <c r="P1433" t="n">
        <v>0</v>
      </c>
      <c r="Q1433" t="n">
        <v>0</v>
      </c>
      <c r="R1433" s="2" t="inlineStr"/>
    </row>
    <row r="1434" ht="15" customHeight="1">
      <c r="A1434" t="inlineStr">
        <is>
          <t>A 58114-2022</t>
        </is>
      </c>
      <c r="B1434" s="1" t="n">
        <v>44893</v>
      </c>
      <c r="C1434" s="1" t="n">
        <v>45192</v>
      </c>
      <c r="D1434" t="inlineStr">
        <is>
          <t>VÄSTERBOTTENS LÄN</t>
        </is>
      </c>
      <c r="E1434" t="inlineStr">
        <is>
          <t>SKELLEFTEÅ</t>
        </is>
      </c>
      <c r="G1434" t="n">
        <v>2.4</v>
      </c>
      <c r="H1434" t="n">
        <v>0</v>
      </c>
      <c r="I1434" t="n">
        <v>0</v>
      </c>
      <c r="J1434" t="n">
        <v>0</v>
      </c>
      <c r="K1434" t="n">
        <v>0</v>
      </c>
      <c r="L1434" t="n">
        <v>0</v>
      </c>
      <c r="M1434" t="n">
        <v>0</v>
      </c>
      <c r="N1434" t="n">
        <v>0</v>
      </c>
      <c r="O1434" t="n">
        <v>0</v>
      </c>
      <c r="P1434" t="n">
        <v>0</v>
      </c>
      <c r="Q1434" t="n">
        <v>0</v>
      </c>
      <c r="R1434" s="2" t="inlineStr"/>
    </row>
    <row r="1435" ht="15" customHeight="1">
      <c r="A1435" t="inlineStr">
        <is>
          <t>A 58634-2022</t>
        </is>
      </c>
      <c r="B1435" s="1" t="n">
        <v>44894</v>
      </c>
      <c r="C1435" s="1" t="n">
        <v>45192</v>
      </c>
      <c r="D1435" t="inlineStr">
        <is>
          <t>VÄSTERBOTTENS LÄN</t>
        </is>
      </c>
      <c r="E1435" t="inlineStr">
        <is>
          <t>SKELLEFTEÅ</t>
        </is>
      </c>
      <c r="G1435" t="n">
        <v>3.6</v>
      </c>
      <c r="H1435" t="n">
        <v>0</v>
      </c>
      <c r="I1435" t="n">
        <v>0</v>
      </c>
      <c r="J1435" t="n">
        <v>0</v>
      </c>
      <c r="K1435" t="n">
        <v>0</v>
      </c>
      <c r="L1435" t="n">
        <v>0</v>
      </c>
      <c r="M1435" t="n">
        <v>0</v>
      </c>
      <c r="N1435" t="n">
        <v>0</v>
      </c>
      <c r="O1435" t="n">
        <v>0</v>
      </c>
      <c r="P1435" t="n">
        <v>0</v>
      </c>
      <c r="Q1435" t="n">
        <v>0</v>
      </c>
      <c r="R1435" s="2" t="inlineStr"/>
    </row>
    <row r="1436" ht="15" customHeight="1">
      <c r="A1436" t="inlineStr">
        <is>
          <t>A 56960-2022</t>
        </is>
      </c>
      <c r="B1436" s="1" t="n">
        <v>44894</v>
      </c>
      <c r="C1436" s="1" t="n">
        <v>45192</v>
      </c>
      <c r="D1436" t="inlineStr">
        <is>
          <t>VÄSTERBOTTENS LÄN</t>
        </is>
      </c>
      <c r="E1436" t="inlineStr">
        <is>
          <t>SKELLEFTEÅ</t>
        </is>
      </c>
      <c r="G1436" t="n">
        <v>2.2</v>
      </c>
      <c r="H1436" t="n">
        <v>0</v>
      </c>
      <c r="I1436" t="n">
        <v>0</v>
      </c>
      <c r="J1436" t="n">
        <v>0</v>
      </c>
      <c r="K1436" t="n">
        <v>0</v>
      </c>
      <c r="L1436" t="n">
        <v>0</v>
      </c>
      <c r="M1436" t="n">
        <v>0</v>
      </c>
      <c r="N1436" t="n">
        <v>0</v>
      </c>
      <c r="O1436" t="n">
        <v>0</v>
      </c>
      <c r="P1436" t="n">
        <v>0</v>
      </c>
      <c r="Q1436" t="n">
        <v>0</v>
      </c>
      <c r="R1436" s="2" t="inlineStr"/>
    </row>
    <row r="1437" ht="15" customHeight="1">
      <c r="A1437" t="inlineStr">
        <is>
          <t>A 56995-2022</t>
        </is>
      </c>
      <c r="B1437" s="1" t="n">
        <v>44894</v>
      </c>
      <c r="C1437" s="1" t="n">
        <v>45192</v>
      </c>
      <c r="D1437" t="inlineStr">
        <is>
          <t>VÄSTERBOTTENS LÄN</t>
        </is>
      </c>
      <c r="E1437" t="inlineStr">
        <is>
          <t>SKELLEFTEÅ</t>
        </is>
      </c>
      <c r="G1437" t="n">
        <v>1.9</v>
      </c>
      <c r="H1437" t="n">
        <v>0</v>
      </c>
      <c r="I1437" t="n">
        <v>0</v>
      </c>
      <c r="J1437" t="n">
        <v>0</v>
      </c>
      <c r="K1437" t="n">
        <v>0</v>
      </c>
      <c r="L1437" t="n">
        <v>0</v>
      </c>
      <c r="M1437" t="n">
        <v>0</v>
      </c>
      <c r="N1437" t="n">
        <v>0</v>
      </c>
      <c r="O1437" t="n">
        <v>0</v>
      </c>
      <c r="P1437" t="n">
        <v>0</v>
      </c>
      <c r="Q1437" t="n">
        <v>0</v>
      </c>
      <c r="R1437" s="2" t="inlineStr"/>
    </row>
    <row r="1438" ht="15" customHeight="1">
      <c r="A1438" t="inlineStr">
        <is>
          <t>A 56993-2022</t>
        </is>
      </c>
      <c r="B1438" s="1" t="n">
        <v>44894</v>
      </c>
      <c r="C1438" s="1" t="n">
        <v>45192</v>
      </c>
      <c r="D1438" t="inlineStr">
        <is>
          <t>VÄSTERBOTTENS LÄN</t>
        </is>
      </c>
      <c r="E1438" t="inlineStr">
        <is>
          <t>SKELLEFTEÅ</t>
        </is>
      </c>
      <c r="G1438" t="n">
        <v>4.9</v>
      </c>
      <c r="H1438" t="n">
        <v>0</v>
      </c>
      <c r="I1438" t="n">
        <v>0</v>
      </c>
      <c r="J1438" t="n">
        <v>0</v>
      </c>
      <c r="K1438" t="n">
        <v>0</v>
      </c>
      <c r="L1438" t="n">
        <v>0</v>
      </c>
      <c r="M1438" t="n">
        <v>0</v>
      </c>
      <c r="N1438" t="n">
        <v>0</v>
      </c>
      <c r="O1438" t="n">
        <v>0</v>
      </c>
      <c r="P1438" t="n">
        <v>0</v>
      </c>
      <c r="Q1438" t="n">
        <v>0</v>
      </c>
      <c r="R1438" s="2" t="inlineStr"/>
    </row>
    <row r="1439" ht="15" customHeight="1">
      <c r="A1439" t="inlineStr">
        <is>
          <t>A 58250-2022</t>
        </is>
      </c>
      <c r="B1439" s="1" t="n">
        <v>44894</v>
      </c>
      <c r="C1439" s="1" t="n">
        <v>45192</v>
      </c>
      <c r="D1439" t="inlineStr">
        <is>
          <t>VÄSTERBOTTENS LÄN</t>
        </is>
      </c>
      <c r="E1439" t="inlineStr">
        <is>
          <t>SKELLEFTEÅ</t>
        </is>
      </c>
      <c r="G1439" t="n">
        <v>2</v>
      </c>
      <c r="H1439" t="n">
        <v>0</v>
      </c>
      <c r="I1439" t="n">
        <v>0</v>
      </c>
      <c r="J1439" t="n">
        <v>0</v>
      </c>
      <c r="K1439" t="n">
        <v>0</v>
      </c>
      <c r="L1439" t="n">
        <v>0</v>
      </c>
      <c r="M1439" t="n">
        <v>0</v>
      </c>
      <c r="N1439" t="n">
        <v>0</v>
      </c>
      <c r="O1439" t="n">
        <v>0</v>
      </c>
      <c r="P1439" t="n">
        <v>0</v>
      </c>
      <c r="Q1439" t="n">
        <v>0</v>
      </c>
      <c r="R1439" s="2" t="inlineStr"/>
    </row>
    <row r="1440" ht="15" customHeight="1">
      <c r="A1440" t="inlineStr">
        <is>
          <t>A 58814-2022</t>
        </is>
      </c>
      <c r="B1440" s="1" t="n">
        <v>44895</v>
      </c>
      <c r="C1440" s="1" t="n">
        <v>45192</v>
      </c>
      <c r="D1440" t="inlineStr">
        <is>
          <t>VÄSTERBOTTENS LÄN</t>
        </is>
      </c>
      <c r="E1440" t="inlineStr">
        <is>
          <t>SKELLEFTEÅ</t>
        </is>
      </c>
      <c r="G1440" t="n">
        <v>1.7</v>
      </c>
      <c r="H1440" t="n">
        <v>0</v>
      </c>
      <c r="I1440" t="n">
        <v>0</v>
      </c>
      <c r="J1440" t="n">
        <v>0</v>
      </c>
      <c r="K1440" t="n">
        <v>0</v>
      </c>
      <c r="L1440" t="n">
        <v>0</v>
      </c>
      <c r="M1440" t="n">
        <v>0</v>
      </c>
      <c r="N1440" t="n">
        <v>0</v>
      </c>
      <c r="O1440" t="n">
        <v>0</v>
      </c>
      <c r="P1440" t="n">
        <v>0</v>
      </c>
      <c r="Q1440" t="n">
        <v>0</v>
      </c>
      <c r="R1440" s="2" t="inlineStr"/>
    </row>
    <row r="1441" ht="15" customHeight="1">
      <c r="A1441" t="inlineStr">
        <is>
          <t>A 58897-2022</t>
        </is>
      </c>
      <c r="B1441" s="1" t="n">
        <v>44895</v>
      </c>
      <c r="C1441" s="1" t="n">
        <v>45192</v>
      </c>
      <c r="D1441" t="inlineStr">
        <is>
          <t>VÄSTERBOTTENS LÄN</t>
        </is>
      </c>
      <c r="E1441" t="inlineStr">
        <is>
          <t>SKELLEFTEÅ</t>
        </is>
      </c>
      <c r="G1441" t="n">
        <v>0.7</v>
      </c>
      <c r="H1441" t="n">
        <v>0</v>
      </c>
      <c r="I1441" t="n">
        <v>0</v>
      </c>
      <c r="J1441" t="n">
        <v>0</v>
      </c>
      <c r="K1441" t="n">
        <v>0</v>
      </c>
      <c r="L1441" t="n">
        <v>0</v>
      </c>
      <c r="M1441" t="n">
        <v>0</v>
      </c>
      <c r="N1441" t="n">
        <v>0</v>
      </c>
      <c r="O1441" t="n">
        <v>0</v>
      </c>
      <c r="P1441" t="n">
        <v>0</v>
      </c>
      <c r="Q1441" t="n">
        <v>0</v>
      </c>
      <c r="R1441" s="2" t="inlineStr"/>
    </row>
    <row r="1442" ht="15" customHeight="1">
      <c r="A1442" t="inlineStr">
        <is>
          <t>A 57057-2022</t>
        </is>
      </c>
      <c r="B1442" s="1" t="n">
        <v>44895</v>
      </c>
      <c r="C1442" s="1" t="n">
        <v>45192</v>
      </c>
      <c r="D1442" t="inlineStr">
        <is>
          <t>VÄSTERBOTTENS LÄN</t>
        </is>
      </c>
      <c r="E1442" t="inlineStr">
        <is>
          <t>SKELLEFTEÅ</t>
        </is>
      </c>
      <c r="G1442" t="n">
        <v>2.5</v>
      </c>
      <c r="H1442" t="n">
        <v>0</v>
      </c>
      <c r="I1442" t="n">
        <v>0</v>
      </c>
      <c r="J1442" t="n">
        <v>0</v>
      </c>
      <c r="K1442" t="n">
        <v>0</v>
      </c>
      <c r="L1442" t="n">
        <v>0</v>
      </c>
      <c r="M1442" t="n">
        <v>0</v>
      </c>
      <c r="N1442" t="n">
        <v>0</v>
      </c>
      <c r="O1442" t="n">
        <v>0</v>
      </c>
      <c r="P1442" t="n">
        <v>0</v>
      </c>
      <c r="Q1442" t="n">
        <v>0</v>
      </c>
      <c r="R1442" s="2" t="inlineStr"/>
    </row>
    <row r="1443" ht="15" customHeight="1">
      <c r="A1443" t="inlineStr">
        <is>
          <t>A 57059-2022</t>
        </is>
      </c>
      <c r="B1443" s="1" t="n">
        <v>44895</v>
      </c>
      <c r="C1443" s="1" t="n">
        <v>45192</v>
      </c>
      <c r="D1443" t="inlineStr">
        <is>
          <t>VÄSTERBOTTENS LÄN</t>
        </is>
      </c>
      <c r="E1443" t="inlineStr">
        <is>
          <t>SKELLEFTEÅ</t>
        </is>
      </c>
      <c r="G1443" t="n">
        <v>1.5</v>
      </c>
      <c r="H1443" t="n">
        <v>0</v>
      </c>
      <c r="I1443" t="n">
        <v>0</v>
      </c>
      <c r="J1443" t="n">
        <v>0</v>
      </c>
      <c r="K1443" t="n">
        <v>0</v>
      </c>
      <c r="L1443" t="n">
        <v>0</v>
      </c>
      <c r="M1443" t="n">
        <v>0</v>
      </c>
      <c r="N1443" t="n">
        <v>0</v>
      </c>
      <c r="O1443" t="n">
        <v>0</v>
      </c>
      <c r="P1443" t="n">
        <v>0</v>
      </c>
      <c r="Q1443" t="n">
        <v>0</v>
      </c>
      <c r="R1443" s="2" t="inlineStr"/>
    </row>
    <row r="1444" ht="15" customHeight="1">
      <c r="A1444" t="inlineStr">
        <is>
          <t>A 57574-2022</t>
        </is>
      </c>
      <c r="B1444" s="1" t="n">
        <v>44896</v>
      </c>
      <c r="C1444" s="1" t="n">
        <v>45192</v>
      </c>
      <c r="D1444" t="inlineStr">
        <is>
          <t>VÄSTERBOTTENS LÄN</t>
        </is>
      </c>
      <c r="E1444" t="inlineStr">
        <is>
          <t>SKELLEFTEÅ</t>
        </is>
      </c>
      <c r="G1444" t="n">
        <v>11.3</v>
      </c>
      <c r="H1444" t="n">
        <v>0</v>
      </c>
      <c r="I1444" t="n">
        <v>0</v>
      </c>
      <c r="J1444" t="n">
        <v>0</v>
      </c>
      <c r="K1444" t="n">
        <v>0</v>
      </c>
      <c r="L1444" t="n">
        <v>0</v>
      </c>
      <c r="M1444" t="n">
        <v>0</v>
      </c>
      <c r="N1444" t="n">
        <v>0</v>
      </c>
      <c r="O1444" t="n">
        <v>0</v>
      </c>
      <c r="P1444" t="n">
        <v>0</v>
      </c>
      <c r="Q1444" t="n">
        <v>0</v>
      </c>
      <c r="R1444" s="2" t="inlineStr"/>
    </row>
    <row r="1445" ht="15" customHeight="1">
      <c r="A1445" t="inlineStr">
        <is>
          <t>A 58926-2022</t>
        </is>
      </c>
      <c r="B1445" s="1" t="n">
        <v>44896</v>
      </c>
      <c r="C1445" s="1" t="n">
        <v>45192</v>
      </c>
      <c r="D1445" t="inlineStr">
        <is>
          <t>VÄSTERBOTTENS LÄN</t>
        </is>
      </c>
      <c r="E1445" t="inlineStr">
        <is>
          <t>SKELLEFTEÅ</t>
        </is>
      </c>
      <c r="G1445" t="n">
        <v>1.5</v>
      </c>
      <c r="H1445" t="n">
        <v>0</v>
      </c>
      <c r="I1445" t="n">
        <v>0</v>
      </c>
      <c r="J1445" t="n">
        <v>0</v>
      </c>
      <c r="K1445" t="n">
        <v>0</v>
      </c>
      <c r="L1445" t="n">
        <v>0</v>
      </c>
      <c r="M1445" t="n">
        <v>0</v>
      </c>
      <c r="N1445" t="n">
        <v>0</v>
      </c>
      <c r="O1445" t="n">
        <v>0</v>
      </c>
      <c r="P1445" t="n">
        <v>0</v>
      </c>
      <c r="Q1445" t="n">
        <v>0</v>
      </c>
      <c r="R1445" s="2" t="inlineStr"/>
    </row>
    <row r="1446" ht="15" customHeight="1">
      <c r="A1446" t="inlineStr">
        <is>
          <t>A 57579-2022</t>
        </is>
      </c>
      <c r="B1446" s="1" t="n">
        <v>44896</v>
      </c>
      <c r="C1446" s="1" t="n">
        <v>45192</v>
      </c>
      <c r="D1446" t="inlineStr">
        <is>
          <t>VÄSTERBOTTENS LÄN</t>
        </is>
      </c>
      <c r="E1446" t="inlineStr">
        <is>
          <t>SKELLEFTEÅ</t>
        </is>
      </c>
      <c r="G1446" t="n">
        <v>1.3</v>
      </c>
      <c r="H1446" t="n">
        <v>0</v>
      </c>
      <c r="I1446" t="n">
        <v>0</v>
      </c>
      <c r="J1446" t="n">
        <v>0</v>
      </c>
      <c r="K1446" t="n">
        <v>0</v>
      </c>
      <c r="L1446" t="n">
        <v>0</v>
      </c>
      <c r="M1446" t="n">
        <v>0</v>
      </c>
      <c r="N1446" t="n">
        <v>0</v>
      </c>
      <c r="O1446" t="n">
        <v>0</v>
      </c>
      <c r="P1446" t="n">
        <v>0</v>
      </c>
      <c r="Q1446" t="n">
        <v>0</v>
      </c>
      <c r="R1446" s="2" t="inlineStr"/>
    </row>
    <row r="1447" ht="15" customHeight="1">
      <c r="A1447" t="inlineStr">
        <is>
          <t>A 58877-2022</t>
        </is>
      </c>
      <c r="B1447" s="1" t="n">
        <v>44896</v>
      </c>
      <c r="C1447" s="1" t="n">
        <v>45192</v>
      </c>
      <c r="D1447" t="inlineStr">
        <is>
          <t>VÄSTERBOTTENS LÄN</t>
        </is>
      </c>
      <c r="E1447" t="inlineStr">
        <is>
          <t>SKELLEFTEÅ</t>
        </is>
      </c>
      <c r="G1447" t="n">
        <v>1.1</v>
      </c>
      <c r="H1447" t="n">
        <v>0</v>
      </c>
      <c r="I1447" t="n">
        <v>0</v>
      </c>
      <c r="J1447" t="n">
        <v>0</v>
      </c>
      <c r="K1447" t="n">
        <v>0</v>
      </c>
      <c r="L1447" t="n">
        <v>0</v>
      </c>
      <c r="M1447" t="n">
        <v>0</v>
      </c>
      <c r="N1447" t="n">
        <v>0</v>
      </c>
      <c r="O1447" t="n">
        <v>0</v>
      </c>
      <c r="P1447" t="n">
        <v>0</v>
      </c>
      <c r="Q1447" t="n">
        <v>0</v>
      </c>
      <c r="R1447" s="2" t="inlineStr"/>
    </row>
    <row r="1448" ht="15" customHeight="1">
      <c r="A1448" t="inlineStr">
        <is>
          <t>A 57646-2022</t>
        </is>
      </c>
      <c r="B1448" s="1" t="n">
        <v>44897</v>
      </c>
      <c r="C1448" s="1" t="n">
        <v>45192</v>
      </c>
      <c r="D1448" t="inlineStr">
        <is>
          <t>VÄSTERBOTTENS LÄN</t>
        </is>
      </c>
      <c r="E1448" t="inlineStr">
        <is>
          <t>SKELLEFTEÅ</t>
        </is>
      </c>
      <c r="F1448" t="inlineStr">
        <is>
          <t>Holmen skog AB</t>
        </is>
      </c>
      <c r="G1448" t="n">
        <v>8.300000000000001</v>
      </c>
      <c r="H1448" t="n">
        <v>0</v>
      </c>
      <c r="I1448" t="n">
        <v>0</v>
      </c>
      <c r="J1448" t="n">
        <v>0</v>
      </c>
      <c r="K1448" t="n">
        <v>0</v>
      </c>
      <c r="L1448" t="n">
        <v>0</v>
      </c>
      <c r="M1448" t="n">
        <v>0</v>
      </c>
      <c r="N1448" t="n">
        <v>0</v>
      </c>
      <c r="O1448" t="n">
        <v>0</v>
      </c>
      <c r="P1448" t="n">
        <v>0</v>
      </c>
      <c r="Q1448" t="n">
        <v>0</v>
      </c>
      <c r="R1448" s="2" t="inlineStr"/>
    </row>
    <row r="1449" ht="15" customHeight="1">
      <c r="A1449" t="inlineStr">
        <is>
          <t>A 59020-2022</t>
        </is>
      </c>
      <c r="B1449" s="1" t="n">
        <v>44897</v>
      </c>
      <c r="C1449" s="1" t="n">
        <v>45192</v>
      </c>
      <c r="D1449" t="inlineStr">
        <is>
          <t>VÄSTERBOTTENS LÄN</t>
        </is>
      </c>
      <c r="E1449" t="inlineStr">
        <is>
          <t>SKELLEFTEÅ</t>
        </is>
      </c>
      <c r="G1449" t="n">
        <v>3.5</v>
      </c>
      <c r="H1449" t="n">
        <v>0</v>
      </c>
      <c r="I1449" t="n">
        <v>0</v>
      </c>
      <c r="J1449" t="n">
        <v>0</v>
      </c>
      <c r="K1449" t="n">
        <v>0</v>
      </c>
      <c r="L1449" t="n">
        <v>0</v>
      </c>
      <c r="M1449" t="n">
        <v>0</v>
      </c>
      <c r="N1449" t="n">
        <v>0</v>
      </c>
      <c r="O1449" t="n">
        <v>0</v>
      </c>
      <c r="P1449" t="n">
        <v>0</v>
      </c>
      <c r="Q1449" t="n">
        <v>0</v>
      </c>
      <c r="R1449" s="2" t="inlineStr"/>
    </row>
    <row r="1450" ht="15" customHeight="1">
      <c r="A1450" t="inlineStr">
        <is>
          <t>A 57770-2022</t>
        </is>
      </c>
      <c r="B1450" s="1" t="n">
        <v>44897</v>
      </c>
      <c r="C1450" s="1" t="n">
        <v>45192</v>
      </c>
      <c r="D1450" t="inlineStr">
        <is>
          <t>VÄSTERBOTTENS LÄN</t>
        </is>
      </c>
      <c r="E1450" t="inlineStr">
        <is>
          <t>SKELLEFTEÅ</t>
        </is>
      </c>
      <c r="F1450" t="inlineStr">
        <is>
          <t>Sveaskog</t>
        </is>
      </c>
      <c r="G1450" t="n">
        <v>2.1</v>
      </c>
      <c r="H1450" t="n">
        <v>0</v>
      </c>
      <c r="I1450" t="n">
        <v>0</v>
      </c>
      <c r="J1450" t="n">
        <v>0</v>
      </c>
      <c r="K1450" t="n">
        <v>0</v>
      </c>
      <c r="L1450" t="n">
        <v>0</v>
      </c>
      <c r="M1450" t="n">
        <v>0</v>
      </c>
      <c r="N1450" t="n">
        <v>0</v>
      </c>
      <c r="O1450" t="n">
        <v>0</v>
      </c>
      <c r="P1450" t="n">
        <v>0</v>
      </c>
      <c r="Q1450" t="n">
        <v>0</v>
      </c>
      <c r="R1450" s="2" t="inlineStr"/>
    </row>
    <row r="1451" ht="15" customHeight="1">
      <c r="A1451" t="inlineStr">
        <is>
          <t>A 57851-2022</t>
        </is>
      </c>
      <c r="B1451" s="1" t="n">
        <v>44898</v>
      </c>
      <c r="C1451" s="1" t="n">
        <v>45192</v>
      </c>
      <c r="D1451" t="inlineStr">
        <is>
          <t>VÄSTERBOTTENS LÄN</t>
        </is>
      </c>
      <c r="E1451" t="inlineStr">
        <is>
          <t>SKELLEFTEÅ</t>
        </is>
      </c>
      <c r="F1451" t="inlineStr">
        <is>
          <t>Holmen skog AB</t>
        </is>
      </c>
      <c r="G1451" t="n">
        <v>4.6</v>
      </c>
      <c r="H1451" t="n">
        <v>0</v>
      </c>
      <c r="I1451" t="n">
        <v>0</v>
      </c>
      <c r="J1451" t="n">
        <v>0</v>
      </c>
      <c r="K1451" t="n">
        <v>0</v>
      </c>
      <c r="L1451" t="n">
        <v>0</v>
      </c>
      <c r="M1451" t="n">
        <v>0</v>
      </c>
      <c r="N1451" t="n">
        <v>0</v>
      </c>
      <c r="O1451" t="n">
        <v>0</v>
      </c>
      <c r="P1451" t="n">
        <v>0</v>
      </c>
      <c r="Q1451" t="n">
        <v>0</v>
      </c>
      <c r="R1451" s="2" t="inlineStr"/>
    </row>
    <row r="1452" ht="15" customHeight="1">
      <c r="A1452" t="inlineStr">
        <is>
          <t>A 57899-2022</t>
        </is>
      </c>
      <c r="B1452" s="1" t="n">
        <v>44900</v>
      </c>
      <c r="C1452" s="1" t="n">
        <v>45192</v>
      </c>
      <c r="D1452" t="inlineStr">
        <is>
          <t>VÄSTERBOTTENS LÄN</t>
        </is>
      </c>
      <c r="E1452" t="inlineStr">
        <is>
          <t>SKELLEFTEÅ</t>
        </is>
      </c>
      <c r="G1452" t="n">
        <v>2.2</v>
      </c>
      <c r="H1452" t="n">
        <v>0</v>
      </c>
      <c r="I1452" t="n">
        <v>0</v>
      </c>
      <c r="J1452" t="n">
        <v>0</v>
      </c>
      <c r="K1452" t="n">
        <v>0</v>
      </c>
      <c r="L1452" t="n">
        <v>0</v>
      </c>
      <c r="M1452" t="n">
        <v>0</v>
      </c>
      <c r="N1452" t="n">
        <v>0</v>
      </c>
      <c r="O1452" t="n">
        <v>0</v>
      </c>
      <c r="P1452" t="n">
        <v>0</v>
      </c>
      <c r="Q1452" t="n">
        <v>0</v>
      </c>
      <c r="R1452" s="2" t="inlineStr"/>
    </row>
    <row r="1453" ht="15" customHeight="1">
      <c r="A1453" t="inlineStr">
        <is>
          <t>A 59754-2022</t>
        </is>
      </c>
      <c r="B1453" s="1" t="n">
        <v>44900</v>
      </c>
      <c r="C1453" s="1" t="n">
        <v>45192</v>
      </c>
      <c r="D1453" t="inlineStr">
        <is>
          <t>VÄSTERBOTTENS LÄN</t>
        </is>
      </c>
      <c r="E1453" t="inlineStr">
        <is>
          <t>SKELLEFTEÅ</t>
        </is>
      </c>
      <c r="G1453" t="n">
        <v>2.8</v>
      </c>
      <c r="H1453" t="n">
        <v>0</v>
      </c>
      <c r="I1453" t="n">
        <v>0</v>
      </c>
      <c r="J1453" t="n">
        <v>0</v>
      </c>
      <c r="K1453" t="n">
        <v>0</v>
      </c>
      <c r="L1453" t="n">
        <v>0</v>
      </c>
      <c r="M1453" t="n">
        <v>0</v>
      </c>
      <c r="N1453" t="n">
        <v>0</v>
      </c>
      <c r="O1453" t="n">
        <v>0</v>
      </c>
      <c r="P1453" t="n">
        <v>0</v>
      </c>
      <c r="Q1453" t="n">
        <v>0</v>
      </c>
      <c r="R1453" s="2" t="inlineStr"/>
    </row>
    <row r="1454" ht="15" customHeight="1">
      <c r="A1454" t="inlineStr">
        <is>
          <t>A 58053-2022</t>
        </is>
      </c>
      <c r="B1454" s="1" t="n">
        <v>44900</v>
      </c>
      <c r="C1454" s="1" t="n">
        <v>45192</v>
      </c>
      <c r="D1454" t="inlineStr">
        <is>
          <t>VÄSTERBOTTENS LÄN</t>
        </is>
      </c>
      <c r="E1454" t="inlineStr">
        <is>
          <t>SKELLEFTEÅ</t>
        </is>
      </c>
      <c r="G1454" t="n">
        <v>5.3</v>
      </c>
      <c r="H1454" t="n">
        <v>0</v>
      </c>
      <c r="I1454" t="n">
        <v>0</v>
      </c>
      <c r="J1454" t="n">
        <v>0</v>
      </c>
      <c r="K1454" t="n">
        <v>0</v>
      </c>
      <c r="L1454" t="n">
        <v>0</v>
      </c>
      <c r="M1454" t="n">
        <v>0</v>
      </c>
      <c r="N1454" t="n">
        <v>0</v>
      </c>
      <c r="O1454" t="n">
        <v>0</v>
      </c>
      <c r="P1454" t="n">
        <v>0</v>
      </c>
      <c r="Q1454" t="n">
        <v>0</v>
      </c>
      <c r="R1454" s="2" t="inlineStr"/>
    </row>
    <row r="1455" ht="15" customHeight="1">
      <c r="A1455" t="inlineStr">
        <is>
          <t>A 58197-2022</t>
        </is>
      </c>
      <c r="B1455" s="1" t="n">
        <v>44901</v>
      </c>
      <c r="C1455" s="1" t="n">
        <v>45192</v>
      </c>
      <c r="D1455" t="inlineStr">
        <is>
          <t>VÄSTERBOTTENS LÄN</t>
        </is>
      </c>
      <c r="E1455" t="inlineStr">
        <is>
          <t>SKELLEFTEÅ</t>
        </is>
      </c>
      <c r="G1455" t="n">
        <v>1.9</v>
      </c>
      <c r="H1455" t="n">
        <v>0</v>
      </c>
      <c r="I1455" t="n">
        <v>0</v>
      </c>
      <c r="J1455" t="n">
        <v>0</v>
      </c>
      <c r="K1455" t="n">
        <v>0</v>
      </c>
      <c r="L1455" t="n">
        <v>0</v>
      </c>
      <c r="M1455" t="n">
        <v>0</v>
      </c>
      <c r="N1455" t="n">
        <v>0</v>
      </c>
      <c r="O1455" t="n">
        <v>0</v>
      </c>
      <c r="P1455" t="n">
        <v>0</v>
      </c>
      <c r="Q1455" t="n">
        <v>0</v>
      </c>
      <c r="R1455" s="2" t="inlineStr"/>
    </row>
    <row r="1456" ht="15" customHeight="1">
      <c r="A1456" t="inlineStr">
        <is>
          <t>A 58295-2022</t>
        </is>
      </c>
      <c r="B1456" s="1" t="n">
        <v>44901</v>
      </c>
      <c r="C1456" s="1" t="n">
        <v>45192</v>
      </c>
      <c r="D1456" t="inlineStr">
        <is>
          <t>VÄSTERBOTTENS LÄN</t>
        </is>
      </c>
      <c r="E1456" t="inlineStr">
        <is>
          <t>SKELLEFTEÅ</t>
        </is>
      </c>
      <c r="F1456" t="inlineStr">
        <is>
          <t>Sveaskog</t>
        </is>
      </c>
      <c r="G1456" t="n">
        <v>18.3</v>
      </c>
      <c r="H1456" t="n">
        <v>0</v>
      </c>
      <c r="I1456" t="n">
        <v>0</v>
      </c>
      <c r="J1456" t="n">
        <v>0</v>
      </c>
      <c r="K1456" t="n">
        <v>0</v>
      </c>
      <c r="L1456" t="n">
        <v>0</v>
      </c>
      <c r="M1456" t="n">
        <v>0</v>
      </c>
      <c r="N1456" t="n">
        <v>0</v>
      </c>
      <c r="O1456" t="n">
        <v>0</v>
      </c>
      <c r="P1456" t="n">
        <v>0</v>
      </c>
      <c r="Q1456" t="n">
        <v>0</v>
      </c>
      <c r="R1456" s="2" t="inlineStr"/>
    </row>
    <row r="1457" ht="15" customHeight="1">
      <c r="A1457" t="inlineStr">
        <is>
          <t>A 58325-2022</t>
        </is>
      </c>
      <c r="B1457" s="1" t="n">
        <v>44901</v>
      </c>
      <c r="C1457" s="1" t="n">
        <v>45192</v>
      </c>
      <c r="D1457" t="inlineStr">
        <is>
          <t>VÄSTERBOTTENS LÄN</t>
        </is>
      </c>
      <c r="E1457" t="inlineStr">
        <is>
          <t>SKELLEFTEÅ</t>
        </is>
      </c>
      <c r="F1457" t="inlineStr">
        <is>
          <t>Sveaskog</t>
        </is>
      </c>
      <c r="G1457" t="n">
        <v>8.300000000000001</v>
      </c>
      <c r="H1457" t="n">
        <v>0</v>
      </c>
      <c r="I1457" t="n">
        <v>0</v>
      </c>
      <c r="J1457" t="n">
        <v>0</v>
      </c>
      <c r="K1457" t="n">
        <v>0</v>
      </c>
      <c r="L1457" t="n">
        <v>0</v>
      </c>
      <c r="M1457" t="n">
        <v>0</v>
      </c>
      <c r="N1457" t="n">
        <v>0</v>
      </c>
      <c r="O1457" t="n">
        <v>0</v>
      </c>
      <c r="P1457" t="n">
        <v>0</v>
      </c>
      <c r="Q1457" t="n">
        <v>0</v>
      </c>
      <c r="R1457" s="2" t="inlineStr"/>
    </row>
    <row r="1458" ht="15" customHeight="1">
      <c r="A1458" t="inlineStr">
        <is>
          <t>A 58298-2022</t>
        </is>
      </c>
      <c r="B1458" s="1" t="n">
        <v>44901</v>
      </c>
      <c r="C1458" s="1" t="n">
        <v>45192</v>
      </c>
      <c r="D1458" t="inlineStr">
        <is>
          <t>VÄSTERBOTTENS LÄN</t>
        </is>
      </c>
      <c r="E1458" t="inlineStr">
        <is>
          <t>SKELLEFTEÅ</t>
        </is>
      </c>
      <c r="F1458" t="inlineStr">
        <is>
          <t>Sveaskog</t>
        </is>
      </c>
      <c r="G1458" t="n">
        <v>6.1</v>
      </c>
      <c r="H1458" t="n">
        <v>0</v>
      </c>
      <c r="I1458" t="n">
        <v>0</v>
      </c>
      <c r="J1458" t="n">
        <v>0</v>
      </c>
      <c r="K1458" t="n">
        <v>0</v>
      </c>
      <c r="L1458" t="n">
        <v>0</v>
      </c>
      <c r="M1458" t="n">
        <v>0</v>
      </c>
      <c r="N1458" t="n">
        <v>0</v>
      </c>
      <c r="O1458" t="n">
        <v>0</v>
      </c>
      <c r="P1458" t="n">
        <v>0</v>
      </c>
      <c r="Q1458" t="n">
        <v>0</v>
      </c>
      <c r="R1458" s="2" t="inlineStr"/>
    </row>
    <row r="1459" ht="15" customHeight="1">
      <c r="A1459" t="inlineStr">
        <is>
          <t>A 59929-2022</t>
        </is>
      </c>
      <c r="B1459" s="1" t="n">
        <v>44901</v>
      </c>
      <c r="C1459" s="1" t="n">
        <v>45192</v>
      </c>
      <c r="D1459" t="inlineStr">
        <is>
          <t>VÄSTERBOTTENS LÄN</t>
        </is>
      </c>
      <c r="E1459" t="inlineStr">
        <is>
          <t>SKELLEFTEÅ</t>
        </is>
      </c>
      <c r="G1459" t="n">
        <v>23.7</v>
      </c>
      <c r="H1459" t="n">
        <v>0</v>
      </c>
      <c r="I1459" t="n">
        <v>0</v>
      </c>
      <c r="J1459" t="n">
        <v>0</v>
      </c>
      <c r="K1459" t="n">
        <v>0</v>
      </c>
      <c r="L1459" t="n">
        <v>0</v>
      </c>
      <c r="M1459" t="n">
        <v>0</v>
      </c>
      <c r="N1459" t="n">
        <v>0</v>
      </c>
      <c r="O1459" t="n">
        <v>0</v>
      </c>
      <c r="P1459" t="n">
        <v>0</v>
      </c>
      <c r="Q1459" t="n">
        <v>0</v>
      </c>
      <c r="R1459" s="2" t="inlineStr"/>
    </row>
    <row r="1460" ht="15" customHeight="1">
      <c r="A1460" t="inlineStr">
        <is>
          <t>A 58304-2022</t>
        </is>
      </c>
      <c r="B1460" s="1" t="n">
        <v>44901</v>
      </c>
      <c r="C1460" s="1" t="n">
        <v>45192</v>
      </c>
      <c r="D1460" t="inlineStr">
        <is>
          <t>VÄSTERBOTTENS LÄN</t>
        </is>
      </c>
      <c r="E1460" t="inlineStr">
        <is>
          <t>SKELLEFTEÅ</t>
        </is>
      </c>
      <c r="F1460" t="inlineStr">
        <is>
          <t>Sveaskog</t>
        </is>
      </c>
      <c r="G1460" t="n">
        <v>6.9</v>
      </c>
      <c r="H1460" t="n">
        <v>0</v>
      </c>
      <c r="I1460" t="n">
        <v>0</v>
      </c>
      <c r="J1460" t="n">
        <v>0</v>
      </c>
      <c r="K1460" t="n">
        <v>0</v>
      </c>
      <c r="L1460" t="n">
        <v>0</v>
      </c>
      <c r="M1460" t="n">
        <v>0</v>
      </c>
      <c r="N1460" t="n">
        <v>0</v>
      </c>
      <c r="O1460" t="n">
        <v>0</v>
      </c>
      <c r="P1460" t="n">
        <v>0</v>
      </c>
      <c r="Q1460" t="n">
        <v>0</v>
      </c>
      <c r="R1460" s="2" t="inlineStr"/>
    </row>
    <row r="1461" ht="15" customHeight="1">
      <c r="A1461" t="inlineStr">
        <is>
          <t>A 58376-2022</t>
        </is>
      </c>
      <c r="B1461" s="1" t="n">
        <v>44901</v>
      </c>
      <c r="C1461" s="1" t="n">
        <v>45192</v>
      </c>
      <c r="D1461" t="inlineStr">
        <is>
          <t>VÄSTERBOTTENS LÄN</t>
        </is>
      </c>
      <c r="E1461" t="inlineStr">
        <is>
          <t>SKELLEFTEÅ</t>
        </is>
      </c>
      <c r="G1461" t="n">
        <v>0.2</v>
      </c>
      <c r="H1461" t="n">
        <v>0</v>
      </c>
      <c r="I1461" t="n">
        <v>0</v>
      </c>
      <c r="J1461" t="n">
        <v>0</v>
      </c>
      <c r="K1461" t="n">
        <v>0</v>
      </c>
      <c r="L1461" t="n">
        <v>0</v>
      </c>
      <c r="M1461" t="n">
        <v>0</v>
      </c>
      <c r="N1461" t="n">
        <v>0</v>
      </c>
      <c r="O1461" t="n">
        <v>0</v>
      </c>
      <c r="P1461" t="n">
        <v>0</v>
      </c>
      <c r="Q1461" t="n">
        <v>0</v>
      </c>
      <c r="R1461" s="2" t="inlineStr"/>
    </row>
    <row r="1462" ht="15" customHeight="1">
      <c r="A1462" t="inlineStr">
        <is>
          <t>A 58429-2022</t>
        </is>
      </c>
      <c r="B1462" s="1" t="n">
        <v>44901</v>
      </c>
      <c r="C1462" s="1" t="n">
        <v>45192</v>
      </c>
      <c r="D1462" t="inlineStr">
        <is>
          <t>VÄSTERBOTTENS LÄN</t>
        </is>
      </c>
      <c r="E1462" t="inlineStr">
        <is>
          <t>SKELLEFTEÅ</t>
        </is>
      </c>
      <c r="F1462" t="inlineStr">
        <is>
          <t>SCA</t>
        </is>
      </c>
      <c r="G1462" t="n">
        <v>4.7</v>
      </c>
      <c r="H1462" t="n">
        <v>0</v>
      </c>
      <c r="I1462" t="n">
        <v>0</v>
      </c>
      <c r="J1462" t="n">
        <v>0</v>
      </c>
      <c r="K1462" t="n">
        <v>0</v>
      </c>
      <c r="L1462" t="n">
        <v>0</v>
      </c>
      <c r="M1462" t="n">
        <v>0</v>
      </c>
      <c r="N1462" t="n">
        <v>0</v>
      </c>
      <c r="O1462" t="n">
        <v>0</v>
      </c>
      <c r="P1462" t="n">
        <v>0</v>
      </c>
      <c r="Q1462" t="n">
        <v>0</v>
      </c>
      <c r="R1462" s="2" t="inlineStr"/>
    </row>
    <row r="1463" ht="15" customHeight="1">
      <c r="A1463" t="inlineStr">
        <is>
          <t>A 58572-2022</t>
        </is>
      </c>
      <c r="B1463" s="1" t="n">
        <v>44902</v>
      </c>
      <c r="C1463" s="1" t="n">
        <v>45192</v>
      </c>
      <c r="D1463" t="inlineStr">
        <is>
          <t>VÄSTERBOTTENS LÄN</t>
        </is>
      </c>
      <c r="E1463" t="inlineStr">
        <is>
          <t>SKELLEFTEÅ</t>
        </is>
      </c>
      <c r="F1463" t="inlineStr">
        <is>
          <t>Sveaskog</t>
        </is>
      </c>
      <c r="G1463" t="n">
        <v>14.7</v>
      </c>
      <c r="H1463" t="n">
        <v>0</v>
      </c>
      <c r="I1463" t="n">
        <v>0</v>
      </c>
      <c r="J1463" t="n">
        <v>0</v>
      </c>
      <c r="K1463" t="n">
        <v>0</v>
      </c>
      <c r="L1463" t="n">
        <v>0</v>
      </c>
      <c r="M1463" t="n">
        <v>0</v>
      </c>
      <c r="N1463" t="n">
        <v>0</v>
      </c>
      <c r="O1463" t="n">
        <v>0</v>
      </c>
      <c r="P1463" t="n">
        <v>0</v>
      </c>
      <c r="Q1463" t="n">
        <v>0</v>
      </c>
      <c r="R1463" s="2" t="inlineStr"/>
    </row>
    <row r="1464" ht="15" customHeight="1">
      <c r="A1464" t="inlineStr">
        <is>
          <t>A 60237-2022</t>
        </is>
      </c>
      <c r="B1464" s="1" t="n">
        <v>44903</v>
      </c>
      <c r="C1464" s="1" t="n">
        <v>45192</v>
      </c>
      <c r="D1464" t="inlineStr">
        <is>
          <t>VÄSTERBOTTENS LÄN</t>
        </is>
      </c>
      <c r="E1464" t="inlineStr">
        <is>
          <t>SKELLEFTEÅ</t>
        </is>
      </c>
      <c r="G1464" t="n">
        <v>1.5</v>
      </c>
      <c r="H1464" t="n">
        <v>0</v>
      </c>
      <c r="I1464" t="n">
        <v>0</v>
      </c>
      <c r="J1464" t="n">
        <v>0</v>
      </c>
      <c r="K1464" t="n">
        <v>0</v>
      </c>
      <c r="L1464" t="n">
        <v>0</v>
      </c>
      <c r="M1464" t="n">
        <v>0</v>
      </c>
      <c r="N1464" t="n">
        <v>0</v>
      </c>
      <c r="O1464" t="n">
        <v>0</v>
      </c>
      <c r="P1464" t="n">
        <v>0</v>
      </c>
      <c r="Q1464" t="n">
        <v>0</v>
      </c>
      <c r="R1464" s="2" t="inlineStr"/>
    </row>
    <row r="1465" ht="15" customHeight="1">
      <c r="A1465" t="inlineStr">
        <is>
          <t>A 60558-2022</t>
        </is>
      </c>
      <c r="B1465" s="1" t="n">
        <v>44904</v>
      </c>
      <c r="C1465" s="1" t="n">
        <v>45192</v>
      </c>
      <c r="D1465" t="inlineStr">
        <is>
          <t>VÄSTERBOTTENS LÄN</t>
        </is>
      </c>
      <c r="E1465" t="inlineStr">
        <is>
          <t>SKELLEFTEÅ</t>
        </is>
      </c>
      <c r="G1465" t="n">
        <v>0.5</v>
      </c>
      <c r="H1465" t="n">
        <v>0</v>
      </c>
      <c r="I1465" t="n">
        <v>0</v>
      </c>
      <c r="J1465" t="n">
        <v>0</v>
      </c>
      <c r="K1465" t="n">
        <v>0</v>
      </c>
      <c r="L1465" t="n">
        <v>0</v>
      </c>
      <c r="M1465" t="n">
        <v>0</v>
      </c>
      <c r="N1465" t="n">
        <v>0</v>
      </c>
      <c r="O1465" t="n">
        <v>0</v>
      </c>
      <c r="P1465" t="n">
        <v>0</v>
      </c>
      <c r="Q1465" t="n">
        <v>0</v>
      </c>
      <c r="R1465" s="2" t="inlineStr"/>
    </row>
    <row r="1466" ht="15" customHeight="1">
      <c r="A1466" t="inlineStr">
        <is>
          <t>A 60356-2022</t>
        </is>
      </c>
      <c r="B1466" s="1" t="n">
        <v>44904</v>
      </c>
      <c r="C1466" s="1" t="n">
        <v>45192</v>
      </c>
      <c r="D1466" t="inlineStr">
        <is>
          <t>VÄSTERBOTTENS LÄN</t>
        </is>
      </c>
      <c r="E1466" t="inlineStr">
        <is>
          <t>SKELLEFTEÅ</t>
        </is>
      </c>
      <c r="G1466" t="n">
        <v>3</v>
      </c>
      <c r="H1466" t="n">
        <v>0</v>
      </c>
      <c r="I1466" t="n">
        <v>0</v>
      </c>
      <c r="J1466" t="n">
        <v>0</v>
      </c>
      <c r="K1466" t="n">
        <v>0</v>
      </c>
      <c r="L1466" t="n">
        <v>0</v>
      </c>
      <c r="M1466" t="n">
        <v>0</v>
      </c>
      <c r="N1466" t="n">
        <v>0</v>
      </c>
      <c r="O1466" t="n">
        <v>0</v>
      </c>
      <c r="P1466" t="n">
        <v>0</v>
      </c>
      <c r="Q1466" t="n">
        <v>0</v>
      </c>
      <c r="R1466" s="2" t="inlineStr"/>
    </row>
    <row r="1467" ht="15" customHeight="1">
      <c r="A1467" t="inlineStr">
        <is>
          <t>A 60981-2022</t>
        </is>
      </c>
      <c r="B1467" s="1" t="n">
        <v>44907</v>
      </c>
      <c r="C1467" s="1" t="n">
        <v>45192</v>
      </c>
      <c r="D1467" t="inlineStr">
        <is>
          <t>VÄSTERBOTTENS LÄN</t>
        </is>
      </c>
      <c r="E1467" t="inlineStr">
        <is>
          <t>SKELLEFTEÅ</t>
        </is>
      </c>
      <c r="G1467" t="n">
        <v>1.6</v>
      </c>
      <c r="H1467" t="n">
        <v>0</v>
      </c>
      <c r="I1467" t="n">
        <v>0</v>
      </c>
      <c r="J1467" t="n">
        <v>0</v>
      </c>
      <c r="K1467" t="n">
        <v>0</v>
      </c>
      <c r="L1467" t="n">
        <v>0</v>
      </c>
      <c r="M1467" t="n">
        <v>0</v>
      </c>
      <c r="N1467" t="n">
        <v>0</v>
      </c>
      <c r="O1467" t="n">
        <v>0</v>
      </c>
      <c r="P1467" t="n">
        <v>0</v>
      </c>
      <c r="Q1467" t="n">
        <v>0</v>
      </c>
      <c r="R1467" s="2" t="inlineStr"/>
    </row>
    <row r="1468" ht="15" customHeight="1">
      <c r="A1468" t="inlineStr">
        <is>
          <t>A 60970-2022</t>
        </is>
      </c>
      <c r="B1468" s="1" t="n">
        <v>44907</v>
      </c>
      <c r="C1468" s="1" t="n">
        <v>45192</v>
      </c>
      <c r="D1468" t="inlineStr">
        <is>
          <t>VÄSTERBOTTENS LÄN</t>
        </is>
      </c>
      <c r="E1468" t="inlineStr">
        <is>
          <t>SKELLEFTEÅ</t>
        </is>
      </c>
      <c r="G1468" t="n">
        <v>0.8</v>
      </c>
      <c r="H1468" t="n">
        <v>0</v>
      </c>
      <c r="I1468" t="n">
        <v>0</v>
      </c>
      <c r="J1468" t="n">
        <v>0</v>
      </c>
      <c r="K1468" t="n">
        <v>0</v>
      </c>
      <c r="L1468" t="n">
        <v>0</v>
      </c>
      <c r="M1468" t="n">
        <v>0</v>
      </c>
      <c r="N1468" t="n">
        <v>0</v>
      </c>
      <c r="O1468" t="n">
        <v>0</v>
      </c>
      <c r="P1468" t="n">
        <v>0</v>
      </c>
      <c r="Q1468" t="n">
        <v>0</v>
      </c>
      <c r="R1468" s="2" t="inlineStr"/>
    </row>
    <row r="1469" ht="15" customHeight="1">
      <c r="A1469" t="inlineStr">
        <is>
          <t>A 60785-2022</t>
        </is>
      </c>
      <c r="B1469" s="1" t="n">
        <v>44907</v>
      </c>
      <c r="C1469" s="1" t="n">
        <v>45192</v>
      </c>
      <c r="D1469" t="inlineStr">
        <is>
          <t>VÄSTERBOTTENS LÄN</t>
        </is>
      </c>
      <c r="E1469" t="inlineStr">
        <is>
          <t>SKELLEFTEÅ</t>
        </is>
      </c>
      <c r="G1469" t="n">
        <v>4.9</v>
      </c>
      <c r="H1469" t="n">
        <v>0</v>
      </c>
      <c r="I1469" t="n">
        <v>0</v>
      </c>
      <c r="J1469" t="n">
        <v>0</v>
      </c>
      <c r="K1469" t="n">
        <v>0</v>
      </c>
      <c r="L1469" t="n">
        <v>0</v>
      </c>
      <c r="M1469" t="n">
        <v>0</v>
      </c>
      <c r="N1469" t="n">
        <v>0</v>
      </c>
      <c r="O1469" t="n">
        <v>0</v>
      </c>
      <c r="P1469" t="n">
        <v>0</v>
      </c>
      <c r="Q1469" t="n">
        <v>0</v>
      </c>
      <c r="R1469" s="2" t="inlineStr"/>
    </row>
    <row r="1470" ht="15" customHeight="1">
      <c r="A1470" t="inlineStr">
        <is>
          <t>A 59748-2022</t>
        </is>
      </c>
      <c r="B1470" s="1" t="n">
        <v>44908</v>
      </c>
      <c r="C1470" s="1" t="n">
        <v>45192</v>
      </c>
      <c r="D1470" t="inlineStr">
        <is>
          <t>VÄSTERBOTTENS LÄN</t>
        </is>
      </c>
      <c r="E1470" t="inlineStr">
        <is>
          <t>SKELLEFTEÅ</t>
        </is>
      </c>
      <c r="G1470" t="n">
        <v>0.6</v>
      </c>
      <c r="H1470" t="n">
        <v>0</v>
      </c>
      <c r="I1470" t="n">
        <v>0</v>
      </c>
      <c r="J1470" t="n">
        <v>0</v>
      </c>
      <c r="K1470" t="n">
        <v>0</v>
      </c>
      <c r="L1470" t="n">
        <v>0</v>
      </c>
      <c r="M1470" t="n">
        <v>0</v>
      </c>
      <c r="N1470" t="n">
        <v>0</v>
      </c>
      <c r="O1470" t="n">
        <v>0</v>
      </c>
      <c r="P1470" t="n">
        <v>0</v>
      </c>
      <c r="Q1470" t="n">
        <v>0</v>
      </c>
      <c r="R1470" s="2" t="inlineStr"/>
    </row>
    <row r="1471" ht="15" customHeight="1">
      <c r="A1471" t="inlineStr">
        <is>
          <t>A 61153-2022</t>
        </is>
      </c>
      <c r="B1471" s="1" t="n">
        <v>44908</v>
      </c>
      <c r="C1471" s="1" t="n">
        <v>45192</v>
      </c>
      <c r="D1471" t="inlineStr">
        <is>
          <t>VÄSTERBOTTENS LÄN</t>
        </is>
      </c>
      <c r="E1471" t="inlineStr">
        <is>
          <t>SKELLEFTEÅ</t>
        </is>
      </c>
      <c r="G1471" t="n">
        <v>18.3</v>
      </c>
      <c r="H1471" t="n">
        <v>0</v>
      </c>
      <c r="I1471" t="n">
        <v>0</v>
      </c>
      <c r="J1471" t="n">
        <v>0</v>
      </c>
      <c r="K1471" t="n">
        <v>0</v>
      </c>
      <c r="L1471" t="n">
        <v>0</v>
      </c>
      <c r="M1471" t="n">
        <v>0</v>
      </c>
      <c r="N1471" t="n">
        <v>0</v>
      </c>
      <c r="O1471" t="n">
        <v>0</v>
      </c>
      <c r="P1471" t="n">
        <v>0</v>
      </c>
      <c r="Q1471" t="n">
        <v>0</v>
      </c>
      <c r="R1471" s="2" t="inlineStr"/>
    </row>
    <row r="1472" ht="15" customHeight="1">
      <c r="A1472" t="inlineStr">
        <is>
          <t>A 59744-2022</t>
        </is>
      </c>
      <c r="B1472" s="1" t="n">
        <v>44908</v>
      </c>
      <c r="C1472" s="1" t="n">
        <v>45192</v>
      </c>
      <c r="D1472" t="inlineStr">
        <is>
          <t>VÄSTERBOTTENS LÄN</t>
        </is>
      </c>
      <c r="E1472" t="inlineStr">
        <is>
          <t>SKELLEFTEÅ</t>
        </is>
      </c>
      <c r="G1472" t="n">
        <v>0.6</v>
      </c>
      <c r="H1472" t="n">
        <v>0</v>
      </c>
      <c r="I1472" t="n">
        <v>0</v>
      </c>
      <c r="J1472" t="n">
        <v>0</v>
      </c>
      <c r="K1472" t="n">
        <v>0</v>
      </c>
      <c r="L1472" t="n">
        <v>0</v>
      </c>
      <c r="M1472" t="n">
        <v>0</v>
      </c>
      <c r="N1472" t="n">
        <v>0</v>
      </c>
      <c r="O1472" t="n">
        <v>0</v>
      </c>
      <c r="P1472" t="n">
        <v>0</v>
      </c>
      <c r="Q1472" t="n">
        <v>0</v>
      </c>
      <c r="R1472" s="2" t="inlineStr"/>
    </row>
    <row r="1473" ht="15" customHeight="1">
      <c r="A1473" t="inlineStr">
        <is>
          <t>A 61275-2022</t>
        </is>
      </c>
      <c r="B1473" s="1" t="n">
        <v>44909</v>
      </c>
      <c r="C1473" s="1" t="n">
        <v>45192</v>
      </c>
      <c r="D1473" t="inlineStr">
        <is>
          <t>VÄSTERBOTTENS LÄN</t>
        </is>
      </c>
      <c r="E1473" t="inlineStr">
        <is>
          <t>SKELLEFTEÅ</t>
        </is>
      </c>
      <c r="G1473" t="n">
        <v>2.1</v>
      </c>
      <c r="H1473" t="n">
        <v>0</v>
      </c>
      <c r="I1473" t="n">
        <v>0</v>
      </c>
      <c r="J1473" t="n">
        <v>0</v>
      </c>
      <c r="K1473" t="n">
        <v>0</v>
      </c>
      <c r="L1473" t="n">
        <v>0</v>
      </c>
      <c r="M1473" t="n">
        <v>0</v>
      </c>
      <c r="N1473" t="n">
        <v>0</v>
      </c>
      <c r="O1473" t="n">
        <v>0</v>
      </c>
      <c r="P1473" t="n">
        <v>0</v>
      </c>
      <c r="Q1473" t="n">
        <v>0</v>
      </c>
      <c r="R1473" s="2" t="inlineStr"/>
    </row>
    <row r="1474" ht="15" customHeight="1">
      <c r="A1474" t="inlineStr">
        <is>
          <t>A 61697-2022</t>
        </is>
      </c>
      <c r="B1474" s="1" t="n">
        <v>44911</v>
      </c>
      <c r="C1474" s="1" t="n">
        <v>45192</v>
      </c>
      <c r="D1474" t="inlineStr">
        <is>
          <t>VÄSTERBOTTENS LÄN</t>
        </is>
      </c>
      <c r="E1474" t="inlineStr">
        <is>
          <t>SKELLEFTEÅ</t>
        </is>
      </c>
      <c r="G1474" t="n">
        <v>2.6</v>
      </c>
      <c r="H1474" t="n">
        <v>0</v>
      </c>
      <c r="I1474" t="n">
        <v>0</v>
      </c>
      <c r="J1474" t="n">
        <v>0</v>
      </c>
      <c r="K1474" t="n">
        <v>0</v>
      </c>
      <c r="L1474" t="n">
        <v>0</v>
      </c>
      <c r="M1474" t="n">
        <v>0</v>
      </c>
      <c r="N1474" t="n">
        <v>0</v>
      </c>
      <c r="O1474" t="n">
        <v>0</v>
      </c>
      <c r="P1474" t="n">
        <v>0</v>
      </c>
      <c r="Q1474" t="n">
        <v>0</v>
      </c>
      <c r="R1474" s="2" t="inlineStr"/>
    </row>
    <row r="1475" ht="15" customHeight="1">
      <c r="A1475" t="inlineStr">
        <is>
          <t>A 61700-2022</t>
        </is>
      </c>
      <c r="B1475" s="1" t="n">
        <v>44911</v>
      </c>
      <c r="C1475" s="1" t="n">
        <v>45192</v>
      </c>
      <c r="D1475" t="inlineStr">
        <is>
          <t>VÄSTERBOTTENS LÄN</t>
        </is>
      </c>
      <c r="E1475" t="inlineStr">
        <is>
          <t>SKELLEFTEÅ</t>
        </is>
      </c>
      <c r="G1475" t="n">
        <v>2.4</v>
      </c>
      <c r="H1475" t="n">
        <v>0</v>
      </c>
      <c r="I1475" t="n">
        <v>0</v>
      </c>
      <c r="J1475" t="n">
        <v>0</v>
      </c>
      <c r="K1475" t="n">
        <v>0</v>
      </c>
      <c r="L1475" t="n">
        <v>0</v>
      </c>
      <c r="M1475" t="n">
        <v>0</v>
      </c>
      <c r="N1475" t="n">
        <v>0</v>
      </c>
      <c r="O1475" t="n">
        <v>0</v>
      </c>
      <c r="P1475" t="n">
        <v>0</v>
      </c>
      <c r="Q1475" t="n">
        <v>0</v>
      </c>
      <c r="R1475" s="2" t="inlineStr"/>
    </row>
    <row r="1476" ht="15" customHeight="1">
      <c r="A1476" t="inlineStr">
        <is>
          <t>A 62025-2022</t>
        </is>
      </c>
      <c r="B1476" s="1" t="n">
        <v>44914</v>
      </c>
      <c r="C1476" s="1" t="n">
        <v>45192</v>
      </c>
      <c r="D1476" t="inlineStr">
        <is>
          <t>VÄSTERBOTTENS LÄN</t>
        </is>
      </c>
      <c r="E1476" t="inlineStr">
        <is>
          <t>SKELLEFTEÅ</t>
        </is>
      </c>
      <c r="G1476" t="n">
        <v>6.9</v>
      </c>
      <c r="H1476" t="n">
        <v>0</v>
      </c>
      <c r="I1476" t="n">
        <v>0</v>
      </c>
      <c r="J1476" t="n">
        <v>0</v>
      </c>
      <c r="K1476" t="n">
        <v>0</v>
      </c>
      <c r="L1476" t="n">
        <v>0</v>
      </c>
      <c r="M1476" t="n">
        <v>0</v>
      </c>
      <c r="N1476" t="n">
        <v>0</v>
      </c>
      <c r="O1476" t="n">
        <v>0</v>
      </c>
      <c r="P1476" t="n">
        <v>0</v>
      </c>
      <c r="Q1476" t="n">
        <v>0</v>
      </c>
      <c r="R1476" s="2" t="inlineStr"/>
    </row>
    <row r="1477" ht="15" customHeight="1">
      <c r="A1477" t="inlineStr">
        <is>
          <t>A 62027-2022</t>
        </is>
      </c>
      <c r="B1477" s="1" t="n">
        <v>44914</v>
      </c>
      <c r="C1477" s="1" t="n">
        <v>45192</v>
      </c>
      <c r="D1477" t="inlineStr">
        <is>
          <t>VÄSTERBOTTENS LÄN</t>
        </is>
      </c>
      <c r="E1477" t="inlineStr">
        <is>
          <t>SKELLEFTEÅ</t>
        </is>
      </c>
      <c r="G1477" t="n">
        <v>8.5</v>
      </c>
      <c r="H1477" t="n">
        <v>0</v>
      </c>
      <c r="I1477" t="n">
        <v>0</v>
      </c>
      <c r="J1477" t="n">
        <v>0</v>
      </c>
      <c r="K1477" t="n">
        <v>0</v>
      </c>
      <c r="L1477" t="n">
        <v>0</v>
      </c>
      <c r="M1477" t="n">
        <v>0</v>
      </c>
      <c r="N1477" t="n">
        <v>0</v>
      </c>
      <c r="O1477" t="n">
        <v>0</v>
      </c>
      <c r="P1477" t="n">
        <v>0</v>
      </c>
      <c r="Q1477" t="n">
        <v>0</v>
      </c>
      <c r="R1477" s="2" t="inlineStr"/>
    </row>
    <row r="1478" ht="15" customHeight="1">
      <c r="A1478" t="inlineStr">
        <is>
          <t>A 62028-2022</t>
        </is>
      </c>
      <c r="B1478" s="1" t="n">
        <v>44914</v>
      </c>
      <c r="C1478" s="1" t="n">
        <v>45192</v>
      </c>
      <c r="D1478" t="inlineStr">
        <is>
          <t>VÄSTERBOTTENS LÄN</t>
        </is>
      </c>
      <c r="E1478" t="inlineStr">
        <is>
          <t>SKELLEFTEÅ</t>
        </is>
      </c>
      <c r="G1478" t="n">
        <v>4.6</v>
      </c>
      <c r="H1478" t="n">
        <v>0</v>
      </c>
      <c r="I1478" t="n">
        <v>0</v>
      </c>
      <c r="J1478" t="n">
        <v>0</v>
      </c>
      <c r="K1478" t="n">
        <v>0</v>
      </c>
      <c r="L1478" t="n">
        <v>0</v>
      </c>
      <c r="M1478" t="n">
        <v>0</v>
      </c>
      <c r="N1478" t="n">
        <v>0</v>
      </c>
      <c r="O1478" t="n">
        <v>0</v>
      </c>
      <c r="P1478" t="n">
        <v>0</v>
      </c>
      <c r="Q1478" t="n">
        <v>0</v>
      </c>
      <c r="R1478" s="2" t="inlineStr"/>
    </row>
    <row r="1479" ht="15" customHeight="1">
      <c r="A1479" t="inlineStr">
        <is>
          <t>A 61101-2022</t>
        </is>
      </c>
      <c r="B1479" s="1" t="n">
        <v>44915</v>
      </c>
      <c r="C1479" s="1" t="n">
        <v>45192</v>
      </c>
      <c r="D1479" t="inlineStr">
        <is>
          <t>VÄSTERBOTTENS LÄN</t>
        </is>
      </c>
      <c r="E1479" t="inlineStr">
        <is>
          <t>SKELLEFTEÅ</t>
        </is>
      </c>
      <c r="F1479" t="inlineStr">
        <is>
          <t>Sveaskog</t>
        </is>
      </c>
      <c r="G1479" t="n">
        <v>8</v>
      </c>
      <c r="H1479" t="n">
        <v>0</v>
      </c>
      <c r="I1479" t="n">
        <v>0</v>
      </c>
      <c r="J1479" t="n">
        <v>0</v>
      </c>
      <c r="K1479" t="n">
        <v>0</v>
      </c>
      <c r="L1479" t="n">
        <v>0</v>
      </c>
      <c r="M1479" t="n">
        <v>0</v>
      </c>
      <c r="N1479" t="n">
        <v>0</v>
      </c>
      <c r="O1479" t="n">
        <v>0</v>
      </c>
      <c r="P1479" t="n">
        <v>0</v>
      </c>
      <c r="Q1479" t="n">
        <v>0</v>
      </c>
      <c r="R1479" s="2" t="inlineStr"/>
    </row>
    <row r="1480" ht="15" customHeight="1">
      <c r="A1480" t="inlineStr">
        <is>
          <t>A 62323-2022</t>
        </is>
      </c>
      <c r="B1480" s="1" t="n">
        <v>44916</v>
      </c>
      <c r="C1480" s="1" t="n">
        <v>45192</v>
      </c>
      <c r="D1480" t="inlineStr">
        <is>
          <t>VÄSTERBOTTENS LÄN</t>
        </is>
      </c>
      <c r="E1480" t="inlineStr">
        <is>
          <t>SKELLEFTEÅ</t>
        </is>
      </c>
      <c r="G1480" t="n">
        <v>1.2</v>
      </c>
      <c r="H1480" t="n">
        <v>0</v>
      </c>
      <c r="I1480" t="n">
        <v>0</v>
      </c>
      <c r="J1480" t="n">
        <v>0</v>
      </c>
      <c r="K1480" t="n">
        <v>0</v>
      </c>
      <c r="L1480" t="n">
        <v>0</v>
      </c>
      <c r="M1480" t="n">
        <v>0</v>
      </c>
      <c r="N1480" t="n">
        <v>0</v>
      </c>
      <c r="O1480" t="n">
        <v>0</v>
      </c>
      <c r="P1480" t="n">
        <v>0</v>
      </c>
      <c r="Q1480" t="n">
        <v>0</v>
      </c>
      <c r="R1480" s="2" t="inlineStr"/>
    </row>
    <row r="1481" ht="15" customHeight="1">
      <c r="A1481" t="inlineStr">
        <is>
          <t>A 61467-2022</t>
        </is>
      </c>
      <c r="B1481" s="1" t="n">
        <v>44916</v>
      </c>
      <c r="C1481" s="1" t="n">
        <v>45192</v>
      </c>
      <c r="D1481" t="inlineStr">
        <is>
          <t>VÄSTERBOTTENS LÄN</t>
        </is>
      </c>
      <c r="E1481" t="inlineStr">
        <is>
          <t>SKELLEFTEÅ</t>
        </is>
      </c>
      <c r="G1481" t="n">
        <v>2.8</v>
      </c>
      <c r="H1481" t="n">
        <v>0</v>
      </c>
      <c r="I1481" t="n">
        <v>0</v>
      </c>
      <c r="J1481" t="n">
        <v>0</v>
      </c>
      <c r="K1481" t="n">
        <v>0</v>
      </c>
      <c r="L1481" t="n">
        <v>0</v>
      </c>
      <c r="M1481" t="n">
        <v>0</v>
      </c>
      <c r="N1481" t="n">
        <v>0</v>
      </c>
      <c r="O1481" t="n">
        <v>0</v>
      </c>
      <c r="P1481" t="n">
        <v>0</v>
      </c>
      <c r="Q1481" t="n">
        <v>0</v>
      </c>
      <c r="R1481" s="2" t="inlineStr"/>
    </row>
    <row r="1482" ht="15" customHeight="1">
      <c r="A1482" t="inlineStr">
        <is>
          <t>A 61569-2022</t>
        </is>
      </c>
      <c r="B1482" s="1" t="n">
        <v>44916</v>
      </c>
      <c r="C1482" s="1" t="n">
        <v>45192</v>
      </c>
      <c r="D1482" t="inlineStr">
        <is>
          <t>VÄSTERBOTTENS LÄN</t>
        </is>
      </c>
      <c r="E1482" t="inlineStr">
        <is>
          <t>SKELLEFTEÅ</t>
        </is>
      </c>
      <c r="F1482" t="inlineStr">
        <is>
          <t>Holmen skog AB</t>
        </is>
      </c>
      <c r="G1482" t="n">
        <v>14</v>
      </c>
      <c r="H1482" t="n">
        <v>0</v>
      </c>
      <c r="I1482" t="n">
        <v>0</v>
      </c>
      <c r="J1482" t="n">
        <v>0</v>
      </c>
      <c r="K1482" t="n">
        <v>0</v>
      </c>
      <c r="L1482" t="n">
        <v>0</v>
      </c>
      <c r="M1482" t="n">
        <v>0</v>
      </c>
      <c r="N1482" t="n">
        <v>0</v>
      </c>
      <c r="O1482" t="n">
        <v>0</v>
      </c>
      <c r="P1482" t="n">
        <v>0</v>
      </c>
      <c r="Q1482" t="n">
        <v>0</v>
      </c>
      <c r="R1482" s="2" t="inlineStr"/>
    </row>
    <row r="1483" ht="15" customHeight="1">
      <c r="A1483" t="inlineStr">
        <is>
          <t>A 62325-2022</t>
        </is>
      </c>
      <c r="B1483" s="1" t="n">
        <v>44916</v>
      </c>
      <c r="C1483" s="1" t="n">
        <v>45192</v>
      </c>
      <c r="D1483" t="inlineStr">
        <is>
          <t>VÄSTERBOTTENS LÄN</t>
        </is>
      </c>
      <c r="E1483" t="inlineStr">
        <is>
          <t>SKELLEFTEÅ</t>
        </is>
      </c>
      <c r="G1483" t="n">
        <v>0.4</v>
      </c>
      <c r="H1483" t="n">
        <v>0</v>
      </c>
      <c r="I1483" t="n">
        <v>0</v>
      </c>
      <c r="J1483" t="n">
        <v>0</v>
      </c>
      <c r="K1483" t="n">
        <v>0</v>
      </c>
      <c r="L1483" t="n">
        <v>0</v>
      </c>
      <c r="M1483" t="n">
        <v>0</v>
      </c>
      <c r="N1483" t="n">
        <v>0</v>
      </c>
      <c r="O1483" t="n">
        <v>0</v>
      </c>
      <c r="P1483" t="n">
        <v>0</v>
      </c>
      <c r="Q1483" t="n">
        <v>0</v>
      </c>
      <c r="R1483" s="2" t="inlineStr"/>
    </row>
    <row r="1484" ht="15" customHeight="1">
      <c r="A1484" t="inlineStr">
        <is>
          <t>A 62536-2022</t>
        </is>
      </c>
      <c r="B1484" s="1" t="n">
        <v>44917</v>
      </c>
      <c r="C1484" s="1" t="n">
        <v>45192</v>
      </c>
      <c r="D1484" t="inlineStr">
        <is>
          <t>VÄSTERBOTTENS LÄN</t>
        </is>
      </c>
      <c r="E1484" t="inlineStr">
        <is>
          <t>SKELLEFTEÅ</t>
        </is>
      </c>
      <c r="G1484" t="n">
        <v>2.6</v>
      </c>
      <c r="H1484" t="n">
        <v>0</v>
      </c>
      <c r="I1484" t="n">
        <v>0</v>
      </c>
      <c r="J1484" t="n">
        <v>0</v>
      </c>
      <c r="K1484" t="n">
        <v>0</v>
      </c>
      <c r="L1484" t="n">
        <v>0</v>
      </c>
      <c r="M1484" t="n">
        <v>0</v>
      </c>
      <c r="N1484" t="n">
        <v>0</v>
      </c>
      <c r="O1484" t="n">
        <v>0</v>
      </c>
      <c r="P1484" t="n">
        <v>0</v>
      </c>
      <c r="Q1484" t="n">
        <v>0</v>
      </c>
      <c r="R1484" s="2" t="inlineStr"/>
    </row>
    <row r="1485" ht="15" customHeight="1">
      <c r="A1485" t="inlineStr">
        <is>
          <t>A 121-2023</t>
        </is>
      </c>
      <c r="B1485" s="1" t="n">
        <v>44918</v>
      </c>
      <c r="C1485" s="1" t="n">
        <v>45192</v>
      </c>
      <c r="D1485" t="inlineStr">
        <is>
          <t>VÄSTERBOTTENS LÄN</t>
        </is>
      </c>
      <c r="E1485" t="inlineStr">
        <is>
          <t>SKELLEFTEÅ</t>
        </is>
      </c>
      <c r="G1485" t="n">
        <v>0.6</v>
      </c>
      <c r="H1485" t="n">
        <v>0</v>
      </c>
      <c r="I1485" t="n">
        <v>0</v>
      </c>
      <c r="J1485" t="n">
        <v>0</v>
      </c>
      <c r="K1485" t="n">
        <v>0</v>
      </c>
      <c r="L1485" t="n">
        <v>0</v>
      </c>
      <c r="M1485" t="n">
        <v>0</v>
      </c>
      <c r="N1485" t="n">
        <v>0</v>
      </c>
      <c r="O1485" t="n">
        <v>0</v>
      </c>
      <c r="P1485" t="n">
        <v>0</v>
      </c>
      <c r="Q1485" t="n">
        <v>0</v>
      </c>
      <c r="R1485" s="2" t="inlineStr"/>
    </row>
    <row r="1486" ht="15" customHeight="1">
      <c r="A1486" t="inlineStr">
        <is>
          <t>A 62319-2022</t>
        </is>
      </c>
      <c r="B1486" s="1" t="n">
        <v>44923</v>
      </c>
      <c r="C1486" s="1" t="n">
        <v>45192</v>
      </c>
      <c r="D1486" t="inlineStr">
        <is>
          <t>VÄSTERBOTTENS LÄN</t>
        </is>
      </c>
      <c r="E1486" t="inlineStr">
        <is>
          <t>SKELLEFTEÅ</t>
        </is>
      </c>
      <c r="F1486" t="inlineStr">
        <is>
          <t>Sveaskog</t>
        </is>
      </c>
      <c r="G1486" t="n">
        <v>3.4</v>
      </c>
      <c r="H1486" t="n">
        <v>0</v>
      </c>
      <c r="I1486" t="n">
        <v>0</v>
      </c>
      <c r="J1486" t="n">
        <v>0</v>
      </c>
      <c r="K1486" t="n">
        <v>0</v>
      </c>
      <c r="L1486" t="n">
        <v>0</v>
      </c>
      <c r="M1486" t="n">
        <v>0</v>
      </c>
      <c r="N1486" t="n">
        <v>0</v>
      </c>
      <c r="O1486" t="n">
        <v>0</v>
      </c>
      <c r="P1486" t="n">
        <v>0</v>
      </c>
      <c r="Q1486" t="n">
        <v>0</v>
      </c>
      <c r="R1486" s="2" t="inlineStr"/>
    </row>
    <row r="1487" ht="15" customHeight="1">
      <c r="A1487" t="inlineStr">
        <is>
          <t>A 62577-2022</t>
        </is>
      </c>
      <c r="B1487" s="1" t="n">
        <v>44924</v>
      </c>
      <c r="C1487" s="1" t="n">
        <v>45192</v>
      </c>
      <c r="D1487" t="inlineStr">
        <is>
          <t>VÄSTERBOTTENS LÄN</t>
        </is>
      </c>
      <c r="E1487" t="inlineStr">
        <is>
          <t>SKELLEFTEÅ</t>
        </is>
      </c>
      <c r="G1487" t="n">
        <v>4.3</v>
      </c>
      <c r="H1487" t="n">
        <v>0</v>
      </c>
      <c r="I1487" t="n">
        <v>0</v>
      </c>
      <c r="J1487" t="n">
        <v>0</v>
      </c>
      <c r="K1487" t="n">
        <v>0</v>
      </c>
      <c r="L1487" t="n">
        <v>0</v>
      </c>
      <c r="M1487" t="n">
        <v>0</v>
      </c>
      <c r="N1487" t="n">
        <v>0</v>
      </c>
      <c r="O1487" t="n">
        <v>0</v>
      </c>
      <c r="P1487" t="n">
        <v>0</v>
      </c>
      <c r="Q1487" t="n">
        <v>0</v>
      </c>
      <c r="R1487" s="2" t="inlineStr"/>
    </row>
    <row r="1488" ht="15" customHeight="1">
      <c r="A1488" t="inlineStr">
        <is>
          <t>A 531-2023</t>
        </is>
      </c>
      <c r="B1488" s="1" t="n">
        <v>44925</v>
      </c>
      <c r="C1488" s="1" t="n">
        <v>45192</v>
      </c>
      <c r="D1488" t="inlineStr">
        <is>
          <t>VÄSTERBOTTENS LÄN</t>
        </is>
      </c>
      <c r="E1488" t="inlineStr">
        <is>
          <t>SKELLEFTEÅ</t>
        </is>
      </c>
      <c r="G1488" t="n">
        <v>2.6</v>
      </c>
      <c r="H1488" t="n">
        <v>0</v>
      </c>
      <c r="I1488" t="n">
        <v>0</v>
      </c>
      <c r="J1488" t="n">
        <v>0</v>
      </c>
      <c r="K1488" t="n">
        <v>0</v>
      </c>
      <c r="L1488" t="n">
        <v>0</v>
      </c>
      <c r="M1488" t="n">
        <v>0</v>
      </c>
      <c r="N1488" t="n">
        <v>0</v>
      </c>
      <c r="O1488" t="n">
        <v>0</v>
      </c>
      <c r="P1488" t="n">
        <v>0</v>
      </c>
      <c r="Q1488" t="n">
        <v>0</v>
      </c>
      <c r="R1488" s="2" t="inlineStr"/>
    </row>
    <row r="1489" ht="15" customHeight="1">
      <c r="A1489" t="inlineStr">
        <is>
          <t>A 62642-2022</t>
        </is>
      </c>
      <c r="B1489" s="1" t="n">
        <v>44925</v>
      </c>
      <c r="C1489" s="1" t="n">
        <v>45192</v>
      </c>
      <c r="D1489" t="inlineStr">
        <is>
          <t>VÄSTERBOTTENS LÄN</t>
        </is>
      </c>
      <c r="E1489" t="inlineStr">
        <is>
          <t>SKELLEFTEÅ</t>
        </is>
      </c>
      <c r="F1489" t="inlineStr">
        <is>
          <t>Holmen skog AB</t>
        </is>
      </c>
      <c r="G1489" t="n">
        <v>5.7</v>
      </c>
      <c r="H1489" t="n">
        <v>0</v>
      </c>
      <c r="I1489" t="n">
        <v>0</v>
      </c>
      <c r="J1489" t="n">
        <v>0</v>
      </c>
      <c r="K1489" t="n">
        <v>0</v>
      </c>
      <c r="L1489" t="n">
        <v>0</v>
      </c>
      <c r="M1489" t="n">
        <v>0</v>
      </c>
      <c r="N1489" t="n">
        <v>0</v>
      </c>
      <c r="O1489" t="n">
        <v>0</v>
      </c>
      <c r="P1489" t="n">
        <v>0</v>
      </c>
      <c r="Q1489" t="n">
        <v>0</v>
      </c>
      <c r="R1489" s="2" t="inlineStr"/>
    </row>
    <row r="1490" ht="15" customHeight="1">
      <c r="A1490" t="inlineStr">
        <is>
          <t>A 640-2023</t>
        </is>
      </c>
      <c r="B1490" s="1" t="n">
        <v>44928</v>
      </c>
      <c r="C1490" s="1" t="n">
        <v>45192</v>
      </c>
      <c r="D1490" t="inlineStr">
        <is>
          <t>VÄSTERBOTTENS LÄN</t>
        </is>
      </c>
      <c r="E1490" t="inlineStr">
        <is>
          <t>SKELLEFTEÅ</t>
        </is>
      </c>
      <c r="G1490" t="n">
        <v>9.4</v>
      </c>
      <c r="H1490" t="n">
        <v>0</v>
      </c>
      <c r="I1490" t="n">
        <v>0</v>
      </c>
      <c r="J1490" t="n">
        <v>0</v>
      </c>
      <c r="K1490" t="n">
        <v>0</v>
      </c>
      <c r="L1490" t="n">
        <v>0</v>
      </c>
      <c r="M1490" t="n">
        <v>0</v>
      </c>
      <c r="N1490" t="n">
        <v>0</v>
      </c>
      <c r="O1490" t="n">
        <v>0</v>
      </c>
      <c r="P1490" t="n">
        <v>0</v>
      </c>
      <c r="Q1490" t="n">
        <v>0</v>
      </c>
      <c r="R1490" s="2" t="inlineStr"/>
    </row>
    <row r="1491" ht="15" customHeight="1">
      <c r="A1491" t="inlineStr">
        <is>
          <t>A 639-2023</t>
        </is>
      </c>
      <c r="B1491" s="1" t="n">
        <v>44928</v>
      </c>
      <c r="C1491" s="1" t="n">
        <v>45192</v>
      </c>
      <c r="D1491" t="inlineStr">
        <is>
          <t>VÄSTERBOTTENS LÄN</t>
        </is>
      </c>
      <c r="E1491" t="inlineStr">
        <is>
          <t>SKELLEFTEÅ</t>
        </is>
      </c>
      <c r="G1491" t="n">
        <v>8.800000000000001</v>
      </c>
      <c r="H1491" t="n">
        <v>0</v>
      </c>
      <c r="I1491" t="n">
        <v>0</v>
      </c>
      <c r="J1491" t="n">
        <v>0</v>
      </c>
      <c r="K1491" t="n">
        <v>0</v>
      </c>
      <c r="L1491" t="n">
        <v>0</v>
      </c>
      <c r="M1491" t="n">
        <v>0</v>
      </c>
      <c r="N1491" t="n">
        <v>0</v>
      </c>
      <c r="O1491" t="n">
        <v>0</v>
      </c>
      <c r="P1491" t="n">
        <v>0</v>
      </c>
      <c r="Q1491" t="n">
        <v>0</v>
      </c>
      <c r="R1491" s="2" t="inlineStr"/>
    </row>
    <row r="1492" ht="15" customHeight="1">
      <c r="A1492" t="inlineStr">
        <is>
          <t>A 1076-2023</t>
        </is>
      </c>
      <c r="B1492" s="1" t="n">
        <v>44929</v>
      </c>
      <c r="C1492" s="1" t="n">
        <v>45192</v>
      </c>
      <c r="D1492" t="inlineStr">
        <is>
          <t>VÄSTERBOTTENS LÄN</t>
        </is>
      </c>
      <c r="E1492" t="inlineStr">
        <is>
          <t>SKELLEFTEÅ</t>
        </is>
      </c>
      <c r="G1492" t="n">
        <v>2.3</v>
      </c>
      <c r="H1492" t="n">
        <v>0</v>
      </c>
      <c r="I1492" t="n">
        <v>0</v>
      </c>
      <c r="J1492" t="n">
        <v>0</v>
      </c>
      <c r="K1492" t="n">
        <v>0</v>
      </c>
      <c r="L1492" t="n">
        <v>0</v>
      </c>
      <c r="M1492" t="n">
        <v>0</v>
      </c>
      <c r="N1492" t="n">
        <v>0</v>
      </c>
      <c r="O1492" t="n">
        <v>0</v>
      </c>
      <c r="P1492" t="n">
        <v>0</v>
      </c>
      <c r="Q1492" t="n">
        <v>0</v>
      </c>
      <c r="R1492" s="2" t="inlineStr"/>
    </row>
    <row r="1493" ht="15" customHeight="1">
      <c r="A1493" t="inlineStr">
        <is>
          <t>A 706-2023</t>
        </is>
      </c>
      <c r="B1493" s="1" t="n">
        <v>44930</v>
      </c>
      <c r="C1493" s="1" t="n">
        <v>45192</v>
      </c>
      <c r="D1493" t="inlineStr">
        <is>
          <t>VÄSTERBOTTENS LÄN</t>
        </is>
      </c>
      <c r="E1493" t="inlineStr">
        <is>
          <t>SKELLEFTEÅ</t>
        </is>
      </c>
      <c r="G1493" t="n">
        <v>4.3</v>
      </c>
      <c r="H1493" t="n">
        <v>0</v>
      </c>
      <c r="I1493" t="n">
        <v>0</v>
      </c>
      <c r="J1493" t="n">
        <v>0</v>
      </c>
      <c r="K1493" t="n">
        <v>0</v>
      </c>
      <c r="L1493" t="n">
        <v>0</v>
      </c>
      <c r="M1493" t="n">
        <v>0</v>
      </c>
      <c r="N1493" t="n">
        <v>0</v>
      </c>
      <c r="O1493" t="n">
        <v>0</v>
      </c>
      <c r="P1493" t="n">
        <v>0</v>
      </c>
      <c r="Q1493" t="n">
        <v>0</v>
      </c>
      <c r="R1493" s="2" t="inlineStr"/>
    </row>
    <row r="1494" ht="15" customHeight="1">
      <c r="A1494" t="inlineStr">
        <is>
          <t>A 703-2023</t>
        </is>
      </c>
      <c r="B1494" s="1" t="n">
        <v>44930</v>
      </c>
      <c r="C1494" s="1" t="n">
        <v>45192</v>
      </c>
      <c r="D1494" t="inlineStr">
        <is>
          <t>VÄSTERBOTTENS LÄN</t>
        </is>
      </c>
      <c r="E1494" t="inlineStr">
        <is>
          <t>SKELLEFTEÅ</t>
        </is>
      </c>
      <c r="G1494" t="n">
        <v>1.8</v>
      </c>
      <c r="H1494" t="n">
        <v>0</v>
      </c>
      <c r="I1494" t="n">
        <v>0</v>
      </c>
      <c r="J1494" t="n">
        <v>0</v>
      </c>
      <c r="K1494" t="n">
        <v>0</v>
      </c>
      <c r="L1494" t="n">
        <v>0</v>
      </c>
      <c r="M1494" t="n">
        <v>0</v>
      </c>
      <c r="N1494" t="n">
        <v>0</v>
      </c>
      <c r="O1494" t="n">
        <v>0</v>
      </c>
      <c r="P1494" t="n">
        <v>0</v>
      </c>
      <c r="Q1494" t="n">
        <v>0</v>
      </c>
      <c r="R1494" s="2" t="inlineStr"/>
    </row>
    <row r="1495" ht="15" customHeight="1">
      <c r="A1495" t="inlineStr">
        <is>
          <t>A 1206-2023</t>
        </is>
      </c>
      <c r="B1495" s="1" t="n">
        <v>44930</v>
      </c>
      <c r="C1495" s="1" t="n">
        <v>45192</v>
      </c>
      <c r="D1495" t="inlineStr">
        <is>
          <t>VÄSTERBOTTENS LÄN</t>
        </is>
      </c>
      <c r="E1495" t="inlineStr">
        <is>
          <t>SKELLEFTEÅ</t>
        </is>
      </c>
      <c r="G1495" t="n">
        <v>2</v>
      </c>
      <c r="H1495" t="n">
        <v>0</v>
      </c>
      <c r="I1495" t="n">
        <v>0</v>
      </c>
      <c r="J1495" t="n">
        <v>0</v>
      </c>
      <c r="K1495" t="n">
        <v>0</v>
      </c>
      <c r="L1495" t="n">
        <v>0</v>
      </c>
      <c r="M1495" t="n">
        <v>0</v>
      </c>
      <c r="N1495" t="n">
        <v>0</v>
      </c>
      <c r="O1495" t="n">
        <v>0</v>
      </c>
      <c r="P1495" t="n">
        <v>0</v>
      </c>
      <c r="Q1495" t="n">
        <v>0</v>
      </c>
      <c r="R1495" s="2" t="inlineStr"/>
    </row>
    <row r="1496" ht="15" customHeight="1">
      <c r="A1496" t="inlineStr">
        <is>
          <t>A 904-2023</t>
        </is>
      </c>
      <c r="B1496" s="1" t="n">
        <v>44931</v>
      </c>
      <c r="C1496" s="1" t="n">
        <v>45192</v>
      </c>
      <c r="D1496" t="inlineStr">
        <is>
          <t>VÄSTERBOTTENS LÄN</t>
        </is>
      </c>
      <c r="E1496" t="inlineStr">
        <is>
          <t>SKELLEFTEÅ</t>
        </is>
      </c>
      <c r="G1496" t="n">
        <v>22.2</v>
      </c>
      <c r="H1496" t="n">
        <v>0</v>
      </c>
      <c r="I1496" t="n">
        <v>0</v>
      </c>
      <c r="J1496" t="n">
        <v>0</v>
      </c>
      <c r="K1496" t="n">
        <v>0</v>
      </c>
      <c r="L1496" t="n">
        <v>0</v>
      </c>
      <c r="M1496" t="n">
        <v>0</v>
      </c>
      <c r="N1496" t="n">
        <v>0</v>
      </c>
      <c r="O1496" t="n">
        <v>0</v>
      </c>
      <c r="P1496" t="n">
        <v>0</v>
      </c>
      <c r="Q1496" t="n">
        <v>0</v>
      </c>
      <c r="R1496" s="2" t="inlineStr"/>
    </row>
    <row r="1497" ht="15" customHeight="1">
      <c r="A1497" t="inlineStr">
        <is>
          <t>A 899-2023</t>
        </is>
      </c>
      <c r="B1497" s="1" t="n">
        <v>44931</v>
      </c>
      <c r="C1497" s="1" t="n">
        <v>45192</v>
      </c>
      <c r="D1497" t="inlineStr">
        <is>
          <t>VÄSTERBOTTENS LÄN</t>
        </is>
      </c>
      <c r="E1497" t="inlineStr">
        <is>
          <t>SKELLEFTEÅ</t>
        </is>
      </c>
      <c r="G1497" t="n">
        <v>10.3</v>
      </c>
      <c r="H1497" t="n">
        <v>0</v>
      </c>
      <c r="I1497" t="n">
        <v>0</v>
      </c>
      <c r="J1497" t="n">
        <v>0</v>
      </c>
      <c r="K1497" t="n">
        <v>0</v>
      </c>
      <c r="L1497" t="n">
        <v>0</v>
      </c>
      <c r="M1497" t="n">
        <v>0</v>
      </c>
      <c r="N1497" t="n">
        <v>0</v>
      </c>
      <c r="O1497" t="n">
        <v>0</v>
      </c>
      <c r="P1497" t="n">
        <v>0</v>
      </c>
      <c r="Q1497" t="n">
        <v>0</v>
      </c>
      <c r="R1497" s="2" t="inlineStr"/>
    </row>
    <row r="1498" ht="15" customHeight="1">
      <c r="A1498" t="inlineStr">
        <is>
          <t>A 903-2023</t>
        </is>
      </c>
      <c r="B1498" s="1" t="n">
        <v>44931</v>
      </c>
      <c r="C1498" s="1" t="n">
        <v>45192</v>
      </c>
      <c r="D1498" t="inlineStr">
        <is>
          <t>VÄSTERBOTTENS LÄN</t>
        </is>
      </c>
      <c r="E1498" t="inlineStr">
        <is>
          <t>SKELLEFTEÅ</t>
        </is>
      </c>
      <c r="G1498" t="n">
        <v>3.8</v>
      </c>
      <c r="H1498" t="n">
        <v>0</v>
      </c>
      <c r="I1498" t="n">
        <v>0</v>
      </c>
      <c r="J1498" t="n">
        <v>0</v>
      </c>
      <c r="K1498" t="n">
        <v>0</v>
      </c>
      <c r="L1498" t="n">
        <v>0</v>
      </c>
      <c r="M1498" t="n">
        <v>0</v>
      </c>
      <c r="N1498" t="n">
        <v>0</v>
      </c>
      <c r="O1498" t="n">
        <v>0</v>
      </c>
      <c r="P1498" t="n">
        <v>0</v>
      </c>
      <c r="Q1498" t="n">
        <v>0</v>
      </c>
      <c r="R1498" s="2" t="inlineStr"/>
    </row>
    <row r="1499" ht="15" customHeight="1">
      <c r="A1499" t="inlineStr">
        <is>
          <t>A 898-2023</t>
        </is>
      </c>
      <c r="B1499" s="1" t="n">
        <v>44931</v>
      </c>
      <c r="C1499" s="1" t="n">
        <v>45192</v>
      </c>
      <c r="D1499" t="inlineStr">
        <is>
          <t>VÄSTERBOTTENS LÄN</t>
        </is>
      </c>
      <c r="E1499" t="inlineStr">
        <is>
          <t>SKELLEFTEÅ</t>
        </is>
      </c>
      <c r="G1499" t="n">
        <v>13.9</v>
      </c>
      <c r="H1499" t="n">
        <v>0</v>
      </c>
      <c r="I1499" t="n">
        <v>0</v>
      </c>
      <c r="J1499" t="n">
        <v>0</v>
      </c>
      <c r="K1499" t="n">
        <v>0</v>
      </c>
      <c r="L1499" t="n">
        <v>0</v>
      </c>
      <c r="M1499" t="n">
        <v>0</v>
      </c>
      <c r="N1499" t="n">
        <v>0</v>
      </c>
      <c r="O1499" t="n">
        <v>0</v>
      </c>
      <c r="P1499" t="n">
        <v>0</v>
      </c>
      <c r="Q1499" t="n">
        <v>0</v>
      </c>
      <c r="R1499" s="2" t="inlineStr"/>
    </row>
    <row r="1500" ht="15" customHeight="1">
      <c r="A1500" t="inlineStr">
        <is>
          <t>A 913-2023</t>
        </is>
      </c>
      <c r="B1500" s="1" t="n">
        <v>44931</v>
      </c>
      <c r="C1500" s="1" t="n">
        <v>45192</v>
      </c>
      <c r="D1500" t="inlineStr">
        <is>
          <t>VÄSTERBOTTENS LÄN</t>
        </is>
      </c>
      <c r="E1500" t="inlineStr">
        <is>
          <t>SKELLEFTEÅ</t>
        </is>
      </c>
      <c r="G1500" t="n">
        <v>8</v>
      </c>
      <c r="H1500" t="n">
        <v>0</v>
      </c>
      <c r="I1500" t="n">
        <v>0</v>
      </c>
      <c r="J1500" t="n">
        <v>0</v>
      </c>
      <c r="K1500" t="n">
        <v>0</v>
      </c>
      <c r="L1500" t="n">
        <v>0</v>
      </c>
      <c r="M1500" t="n">
        <v>0</v>
      </c>
      <c r="N1500" t="n">
        <v>0</v>
      </c>
      <c r="O1500" t="n">
        <v>0</v>
      </c>
      <c r="P1500" t="n">
        <v>0</v>
      </c>
      <c r="Q1500" t="n">
        <v>0</v>
      </c>
      <c r="R1500" s="2" t="inlineStr"/>
    </row>
    <row r="1501" ht="15" customHeight="1">
      <c r="A1501" t="inlineStr">
        <is>
          <t>A 1111-2023</t>
        </is>
      </c>
      <c r="B1501" s="1" t="n">
        <v>44935</v>
      </c>
      <c r="C1501" s="1" t="n">
        <v>45192</v>
      </c>
      <c r="D1501" t="inlineStr">
        <is>
          <t>VÄSTERBOTTENS LÄN</t>
        </is>
      </c>
      <c r="E1501" t="inlineStr">
        <is>
          <t>SKELLEFTEÅ</t>
        </is>
      </c>
      <c r="G1501" t="n">
        <v>2.8</v>
      </c>
      <c r="H1501" t="n">
        <v>0</v>
      </c>
      <c r="I1501" t="n">
        <v>0</v>
      </c>
      <c r="J1501" t="n">
        <v>0</v>
      </c>
      <c r="K1501" t="n">
        <v>0</v>
      </c>
      <c r="L1501" t="n">
        <v>0</v>
      </c>
      <c r="M1501" t="n">
        <v>0</v>
      </c>
      <c r="N1501" t="n">
        <v>0</v>
      </c>
      <c r="O1501" t="n">
        <v>0</v>
      </c>
      <c r="P1501" t="n">
        <v>0</v>
      </c>
      <c r="Q1501" t="n">
        <v>0</v>
      </c>
      <c r="R1501" s="2" t="inlineStr"/>
    </row>
    <row r="1502" ht="15" customHeight="1">
      <c r="A1502" t="inlineStr">
        <is>
          <t>A 1528-2023</t>
        </is>
      </c>
      <c r="B1502" s="1" t="n">
        <v>44935</v>
      </c>
      <c r="C1502" s="1" t="n">
        <v>45192</v>
      </c>
      <c r="D1502" t="inlineStr">
        <is>
          <t>VÄSTERBOTTENS LÄN</t>
        </is>
      </c>
      <c r="E1502" t="inlineStr">
        <is>
          <t>SKELLEFTEÅ</t>
        </is>
      </c>
      <c r="G1502" t="n">
        <v>2.7</v>
      </c>
      <c r="H1502" t="n">
        <v>0</v>
      </c>
      <c r="I1502" t="n">
        <v>0</v>
      </c>
      <c r="J1502" t="n">
        <v>0</v>
      </c>
      <c r="K1502" t="n">
        <v>0</v>
      </c>
      <c r="L1502" t="n">
        <v>0</v>
      </c>
      <c r="M1502" t="n">
        <v>0</v>
      </c>
      <c r="N1502" t="n">
        <v>0</v>
      </c>
      <c r="O1502" t="n">
        <v>0</v>
      </c>
      <c r="P1502" t="n">
        <v>0</v>
      </c>
      <c r="Q1502" t="n">
        <v>0</v>
      </c>
      <c r="R1502" s="2" t="inlineStr"/>
    </row>
    <row r="1503" ht="15" customHeight="1">
      <c r="A1503" t="inlineStr">
        <is>
          <t>A 1134-2023</t>
        </is>
      </c>
      <c r="B1503" s="1" t="n">
        <v>44935</v>
      </c>
      <c r="C1503" s="1" t="n">
        <v>45192</v>
      </c>
      <c r="D1503" t="inlineStr">
        <is>
          <t>VÄSTERBOTTENS LÄN</t>
        </is>
      </c>
      <c r="E1503" t="inlineStr">
        <is>
          <t>SKELLEFTEÅ</t>
        </is>
      </c>
      <c r="G1503" t="n">
        <v>11.7</v>
      </c>
      <c r="H1503" t="n">
        <v>0</v>
      </c>
      <c r="I1503" t="n">
        <v>0</v>
      </c>
      <c r="J1503" t="n">
        <v>0</v>
      </c>
      <c r="K1503" t="n">
        <v>0</v>
      </c>
      <c r="L1503" t="n">
        <v>0</v>
      </c>
      <c r="M1503" t="n">
        <v>0</v>
      </c>
      <c r="N1503" t="n">
        <v>0</v>
      </c>
      <c r="O1503" t="n">
        <v>0</v>
      </c>
      <c r="P1503" t="n">
        <v>0</v>
      </c>
      <c r="Q1503" t="n">
        <v>0</v>
      </c>
      <c r="R1503" s="2" t="inlineStr"/>
    </row>
    <row r="1504" ht="15" customHeight="1">
      <c r="A1504" t="inlineStr">
        <is>
          <t>A 1602-2023</t>
        </is>
      </c>
      <c r="B1504" s="1" t="n">
        <v>44935</v>
      </c>
      <c r="C1504" s="1" t="n">
        <v>45192</v>
      </c>
      <c r="D1504" t="inlineStr">
        <is>
          <t>VÄSTERBOTTENS LÄN</t>
        </is>
      </c>
      <c r="E1504" t="inlineStr">
        <is>
          <t>SKELLEFTEÅ</t>
        </is>
      </c>
      <c r="G1504" t="n">
        <v>12.6</v>
      </c>
      <c r="H1504" t="n">
        <v>0</v>
      </c>
      <c r="I1504" t="n">
        <v>0</v>
      </c>
      <c r="J1504" t="n">
        <v>0</v>
      </c>
      <c r="K1504" t="n">
        <v>0</v>
      </c>
      <c r="L1504" t="n">
        <v>0</v>
      </c>
      <c r="M1504" t="n">
        <v>0</v>
      </c>
      <c r="N1504" t="n">
        <v>0</v>
      </c>
      <c r="O1504" t="n">
        <v>0</v>
      </c>
      <c r="P1504" t="n">
        <v>0</v>
      </c>
      <c r="Q1504" t="n">
        <v>0</v>
      </c>
      <c r="R1504" s="2" t="inlineStr"/>
    </row>
    <row r="1505" ht="15" customHeight="1">
      <c r="A1505" t="inlineStr">
        <is>
          <t>A 1533-2023</t>
        </is>
      </c>
      <c r="B1505" s="1" t="n">
        <v>44935</v>
      </c>
      <c r="C1505" s="1" t="n">
        <v>45192</v>
      </c>
      <c r="D1505" t="inlineStr">
        <is>
          <t>VÄSTERBOTTENS LÄN</t>
        </is>
      </c>
      <c r="E1505" t="inlineStr">
        <is>
          <t>SKELLEFTEÅ</t>
        </is>
      </c>
      <c r="G1505" t="n">
        <v>6.1</v>
      </c>
      <c r="H1505" t="n">
        <v>0</v>
      </c>
      <c r="I1505" t="n">
        <v>0</v>
      </c>
      <c r="J1505" t="n">
        <v>0</v>
      </c>
      <c r="K1505" t="n">
        <v>0</v>
      </c>
      <c r="L1505" t="n">
        <v>0</v>
      </c>
      <c r="M1505" t="n">
        <v>0</v>
      </c>
      <c r="N1505" t="n">
        <v>0</v>
      </c>
      <c r="O1505" t="n">
        <v>0</v>
      </c>
      <c r="P1505" t="n">
        <v>0</v>
      </c>
      <c r="Q1505" t="n">
        <v>0</v>
      </c>
      <c r="R1505" s="2" t="inlineStr"/>
    </row>
    <row r="1506" ht="15" customHeight="1">
      <c r="A1506" t="inlineStr">
        <is>
          <t>A 1612-2023</t>
        </is>
      </c>
      <c r="B1506" s="1" t="n">
        <v>44935</v>
      </c>
      <c r="C1506" s="1" t="n">
        <v>45192</v>
      </c>
      <c r="D1506" t="inlineStr">
        <is>
          <t>VÄSTERBOTTENS LÄN</t>
        </is>
      </c>
      <c r="E1506" t="inlineStr">
        <is>
          <t>SKELLEFTEÅ</t>
        </is>
      </c>
      <c r="G1506" t="n">
        <v>2.4</v>
      </c>
      <c r="H1506" t="n">
        <v>0</v>
      </c>
      <c r="I1506" t="n">
        <v>0</v>
      </c>
      <c r="J1506" t="n">
        <v>0</v>
      </c>
      <c r="K1506" t="n">
        <v>0</v>
      </c>
      <c r="L1506" t="n">
        <v>0</v>
      </c>
      <c r="M1506" t="n">
        <v>0</v>
      </c>
      <c r="N1506" t="n">
        <v>0</v>
      </c>
      <c r="O1506" t="n">
        <v>0</v>
      </c>
      <c r="P1506" t="n">
        <v>0</v>
      </c>
      <c r="Q1506" t="n">
        <v>0</v>
      </c>
      <c r="R1506" s="2" t="inlineStr"/>
    </row>
    <row r="1507" ht="15" customHeight="1">
      <c r="A1507" t="inlineStr">
        <is>
          <t>A 1419-2023</t>
        </is>
      </c>
      <c r="B1507" s="1" t="n">
        <v>44936</v>
      </c>
      <c r="C1507" s="1" t="n">
        <v>45192</v>
      </c>
      <c r="D1507" t="inlineStr">
        <is>
          <t>VÄSTERBOTTENS LÄN</t>
        </is>
      </c>
      <c r="E1507" t="inlineStr">
        <is>
          <t>SKELLEFTEÅ</t>
        </is>
      </c>
      <c r="G1507" t="n">
        <v>1.9</v>
      </c>
      <c r="H1507" t="n">
        <v>0</v>
      </c>
      <c r="I1507" t="n">
        <v>0</v>
      </c>
      <c r="J1507" t="n">
        <v>0</v>
      </c>
      <c r="K1507" t="n">
        <v>0</v>
      </c>
      <c r="L1507" t="n">
        <v>0</v>
      </c>
      <c r="M1507" t="n">
        <v>0</v>
      </c>
      <c r="N1507" t="n">
        <v>0</v>
      </c>
      <c r="O1507" t="n">
        <v>0</v>
      </c>
      <c r="P1507" t="n">
        <v>0</v>
      </c>
      <c r="Q1507" t="n">
        <v>0</v>
      </c>
      <c r="R1507" s="2" t="inlineStr"/>
    </row>
    <row r="1508" ht="15" customHeight="1">
      <c r="A1508" t="inlineStr">
        <is>
          <t>A 1639-2023</t>
        </is>
      </c>
      <c r="B1508" s="1" t="n">
        <v>44937</v>
      </c>
      <c r="C1508" s="1" t="n">
        <v>45192</v>
      </c>
      <c r="D1508" t="inlineStr">
        <is>
          <t>VÄSTERBOTTENS LÄN</t>
        </is>
      </c>
      <c r="E1508" t="inlineStr">
        <is>
          <t>SKELLEFTEÅ</t>
        </is>
      </c>
      <c r="G1508" t="n">
        <v>6</v>
      </c>
      <c r="H1508" t="n">
        <v>0</v>
      </c>
      <c r="I1508" t="n">
        <v>0</v>
      </c>
      <c r="J1508" t="n">
        <v>0</v>
      </c>
      <c r="K1508" t="n">
        <v>0</v>
      </c>
      <c r="L1508" t="n">
        <v>0</v>
      </c>
      <c r="M1508" t="n">
        <v>0</v>
      </c>
      <c r="N1508" t="n">
        <v>0</v>
      </c>
      <c r="O1508" t="n">
        <v>0</v>
      </c>
      <c r="P1508" t="n">
        <v>0</v>
      </c>
      <c r="Q1508" t="n">
        <v>0</v>
      </c>
      <c r="R1508" s="2" t="inlineStr"/>
    </row>
    <row r="1509" ht="15" customHeight="1">
      <c r="A1509" t="inlineStr">
        <is>
          <t>A 1978-2023</t>
        </is>
      </c>
      <c r="B1509" s="1" t="n">
        <v>44937</v>
      </c>
      <c r="C1509" s="1" t="n">
        <v>45192</v>
      </c>
      <c r="D1509" t="inlineStr">
        <is>
          <t>VÄSTERBOTTENS LÄN</t>
        </is>
      </c>
      <c r="E1509" t="inlineStr">
        <is>
          <t>SKELLEFTEÅ</t>
        </is>
      </c>
      <c r="G1509" t="n">
        <v>2.7</v>
      </c>
      <c r="H1509" t="n">
        <v>0</v>
      </c>
      <c r="I1509" t="n">
        <v>0</v>
      </c>
      <c r="J1509" t="n">
        <v>0</v>
      </c>
      <c r="K1509" t="n">
        <v>0</v>
      </c>
      <c r="L1509" t="n">
        <v>0</v>
      </c>
      <c r="M1509" t="n">
        <v>0</v>
      </c>
      <c r="N1509" t="n">
        <v>0</v>
      </c>
      <c r="O1509" t="n">
        <v>0</v>
      </c>
      <c r="P1509" t="n">
        <v>0</v>
      </c>
      <c r="Q1509" t="n">
        <v>0</v>
      </c>
      <c r="R1509" s="2" t="inlineStr"/>
    </row>
    <row r="1510" ht="15" customHeight="1">
      <c r="A1510" t="inlineStr">
        <is>
          <t>A 1988-2023</t>
        </is>
      </c>
      <c r="B1510" s="1" t="n">
        <v>44937</v>
      </c>
      <c r="C1510" s="1" t="n">
        <v>45192</v>
      </c>
      <c r="D1510" t="inlineStr">
        <is>
          <t>VÄSTERBOTTENS LÄN</t>
        </is>
      </c>
      <c r="E1510" t="inlineStr">
        <is>
          <t>SKELLEFTEÅ</t>
        </is>
      </c>
      <c r="G1510" t="n">
        <v>1</v>
      </c>
      <c r="H1510" t="n">
        <v>0</v>
      </c>
      <c r="I1510" t="n">
        <v>0</v>
      </c>
      <c r="J1510" t="n">
        <v>0</v>
      </c>
      <c r="K1510" t="n">
        <v>0</v>
      </c>
      <c r="L1510" t="n">
        <v>0</v>
      </c>
      <c r="M1510" t="n">
        <v>0</v>
      </c>
      <c r="N1510" t="n">
        <v>0</v>
      </c>
      <c r="O1510" t="n">
        <v>0</v>
      </c>
      <c r="P1510" t="n">
        <v>0</v>
      </c>
      <c r="Q1510" t="n">
        <v>0</v>
      </c>
      <c r="R1510" s="2" t="inlineStr"/>
    </row>
    <row r="1511" ht="15" customHeight="1">
      <c r="A1511" t="inlineStr">
        <is>
          <t>A 1640-2023</t>
        </is>
      </c>
      <c r="B1511" s="1" t="n">
        <v>44937</v>
      </c>
      <c r="C1511" s="1" t="n">
        <v>45192</v>
      </c>
      <c r="D1511" t="inlineStr">
        <is>
          <t>VÄSTERBOTTENS LÄN</t>
        </is>
      </c>
      <c r="E1511" t="inlineStr">
        <is>
          <t>SKELLEFTEÅ</t>
        </is>
      </c>
      <c r="G1511" t="n">
        <v>5</v>
      </c>
      <c r="H1511" t="n">
        <v>0</v>
      </c>
      <c r="I1511" t="n">
        <v>0</v>
      </c>
      <c r="J1511" t="n">
        <v>0</v>
      </c>
      <c r="K1511" t="n">
        <v>0</v>
      </c>
      <c r="L1511" t="n">
        <v>0</v>
      </c>
      <c r="M1511" t="n">
        <v>0</v>
      </c>
      <c r="N1511" t="n">
        <v>0</v>
      </c>
      <c r="O1511" t="n">
        <v>0</v>
      </c>
      <c r="P1511" t="n">
        <v>0</v>
      </c>
      <c r="Q1511" t="n">
        <v>0</v>
      </c>
      <c r="R1511" s="2" t="inlineStr"/>
    </row>
    <row r="1512" ht="15" customHeight="1">
      <c r="A1512" t="inlineStr">
        <is>
          <t>A 1933-2023</t>
        </is>
      </c>
      <c r="B1512" s="1" t="n">
        <v>44938</v>
      </c>
      <c r="C1512" s="1" t="n">
        <v>45192</v>
      </c>
      <c r="D1512" t="inlineStr">
        <is>
          <t>VÄSTERBOTTENS LÄN</t>
        </is>
      </c>
      <c r="E1512" t="inlineStr">
        <is>
          <t>SKELLEFTEÅ</t>
        </is>
      </c>
      <c r="G1512" t="n">
        <v>4.6</v>
      </c>
      <c r="H1512" t="n">
        <v>0</v>
      </c>
      <c r="I1512" t="n">
        <v>0</v>
      </c>
      <c r="J1512" t="n">
        <v>0</v>
      </c>
      <c r="K1512" t="n">
        <v>0</v>
      </c>
      <c r="L1512" t="n">
        <v>0</v>
      </c>
      <c r="M1512" t="n">
        <v>0</v>
      </c>
      <c r="N1512" t="n">
        <v>0</v>
      </c>
      <c r="O1512" t="n">
        <v>0</v>
      </c>
      <c r="P1512" t="n">
        <v>0</v>
      </c>
      <c r="Q1512" t="n">
        <v>0</v>
      </c>
      <c r="R1512" s="2" t="inlineStr"/>
    </row>
    <row r="1513" ht="15" customHeight="1">
      <c r="A1513" t="inlineStr">
        <is>
          <t>A 1942-2023</t>
        </is>
      </c>
      <c r="B1513" s="1" t="n">
        <v>44938</v>
      </c>
      <c r="C1513" s="1" t="n">
        <v>45192</v>
      </c>
      <c r="D1513" t="inlineStr">
        <is>
          <t>VÄSTERBOTTENS LÄN</t>
        </is>
      </c>
      <c r="E1513" t="inlineStr">
        <is>
          <t>SKELLEFTEÅ</t>
        </is>
      </c>
      <c r="G1513" t="n">
        <v>7.2</v>
      </c>
      <c r="H1513" t="n">
        <v>0</v>
      </c>
      <c r="I1513" t="n">
        <v>0</v>
      </c>
      <c r="J1513" t="n">
        <v>0</v>
      </c>
      <c r="K1513" t="n">
        <v>0</v>
      </c>
      <c r="L1513" t="n">
        <v>0</v>
      </c>
      <c r="M1513" t="n">
        <v>0</v>
      </c>
      <c r="N1513" t="n">
        <v>0</v>
      </c>
      <c r="O1513" t="n">
        <v>0</v>
      </c>
      <c r="P1513" t="n">
        <v>0</v>
      </c>
      <c r="Q1513" t="n">
        <v>0</v>
      </c>
      <c r="R1513" s="2" t="inlineStr"/>
    </row>
    <row r="1514" ht="15" customHeight="1">
      <c r="A1514" t="inlineStr">
        <is>
          <t>A 2713-2023</t>
        </is>
      </c>
      <c r="B1514" s="1" t="n">
        <v>44942</v>
      </c>
      <c r="C1514" s="1" t="n">
        <v>45192</v>
      </c>
      <c r="D1514" t="inlineStr">
        <is>
          <t>VÄSTERBOTTENS LÄN</t>
        </is>
      </c>
      <c r="E1514" t="inlineStr">
        <is>
          <t>SKELLEFTEÅ</t>
        </is>
      </c>
      <c r="G1514" t="n">
        <v>2.2</v>
      </c>
      <c r="H1514" t="n">
        <v>0</v>
      </c>
      <c r="I1514" t="n">
        <v>0</v>
      </c>
      <c r="J1514" t="n">
        <v>0</v>
      </c>
      <c r="K1514" t="n">
        <v>0</v>
      </c>
      <c r="L1514" t="n">
        <v>0</v>
      </c>
      <c r="M1514" t="n">
        <v>0</v>
      </c>
      <c r="N1514" t="n">
        <v>0</v>
      </c>
      <c r="O1514" t="n">
        <v>0</v>
      </c>
      <c r="P1514" t="n">
        <v>0</v>
      </c>
      <c r="Q1514" t="n">
        <v>0</v>
      </c>
      <c r="R1514" s="2" t="inlineStr"/>
    </row>
    <row r="1515" ht="15" customHeight="1">
      <c r="A1515" t="inlineStr">
        <is>
          <t>A 2718-2023</t>
        </is>
      </c>
      <c r="B1515" s="1" t="n">
        <v>44942</v>
      </c>
      <c r="C1515" s="1" t="n">
        <v>45192</v>
      </c>
      <c r="D1515" t="inlineStr">
        <is>
          <t>VÄSTERBOTTENS LÄN</t>
        </is>
      </c>
      <c r="E1515" t="inlineStr">
        <is>
          <t>SKELLEFTEÅ</t>
        </is>
      </c>
      <c r="G1515" t="n">
        <v>0.8</v>
      </c>
      <c r="H1515" t="n">
        <v>0</v>
      </c>
      <c r="I1515" t="n">
        <v>0</v>
      </c>
      <c r="J1515" t="n">
        <v>0</v>
      </c>
      <c r="K1515" t="n">
        <v>0</v>
      </c>
      <c r="L1515" t="n">
        <v>0</v>
      </c>
      <c r="M1515" t="n">
        <v>0</v>
      </c>
      <c r="N1515" t="n">
        <v>0</v>
      </c>
      <c r="O1515" t="n">
        <v>0</v>
      </c>
      <c r="P1515" t="n">
        <v>0</v>
      </c>
      <c r="Q1515" t="n">
        <v>0</v>
      </c>
      <c r="R1515" s="2" t="inlineStr"/>
    </row>
    <row r="1516" ht="15" customHeight="1">
      <c r="A1516" t="inlineStr">
        <is>
          <t>A 2395-2023</t>
        </is>
      </c>
      <c r="B1516" s="1" t="n">
        <v>44942</v>
      </c>
      <c r="C1516" s="1" t="n">
        <v>45192</v>
      </c>
      <c r="D1516" t="inlineStr">
        <is>
          <t>VÄSTERBOTTENS LÄN</t>
        </is>
      </c>
      <c r="E1516" t="inlineStr">
        <is>
          <t>SKELLEFTEÅ</t>
        </is>
      </c>
      <c r="G1516" t="n">
        <v>7.1</v>
      </c>
      <c r="H1516" t="n">
        <v>0</v>
      </c>
      <c r="I1516" t="n">
        <v>0</v>
      </c>
      <c r="J1516" t="n">
        <v>0</v>
      </c>
      <c r="K1516" t="n">
        <v>0</v>
      </c>
      <c r="L1516" t="n">
        <v>0</v>
      </c>
      <c r="M1516" t="n">
        <v>0</v>
      </c>
      <c r="N1516" t="n">
        <v>0</v>
      </c>
      <c r="O1516" t="n">
        <v>0</v>
      </c>
      <c r="P1516" t="n">
        <v>0</v>
      </c>
      <c r="Q1516" t="n">
        <v>0</v>
      </c>
      <c r="R1516" s="2" t="inlineStr"/>
    </row>
    <row r="1517" ht="15" customHeight="1">
      <c r="A1517" t="inlineStr">
        <is>
          <t>A 2439-2023</t>
        </is>
      </c>
      <c r="B1517" s="1" t="n">
        <v>44942</v>
      </c>
      <c r="C1517" s="1" t="n">
        <v>45192</v>
      </c>
      <c r="D1517" t="inlineStr">
        <is>
          <t>VÄSTERBOTTENS LÄN</t>
        </is>
      </c>
      <c r="E1517" t="inlineStr">
        <is>
          <t>SKELLEFTEÅ</t>
        </is>
      </c>
      <c r="G1517" t="n">
        <v>0.5</v>
      </c>
      <c r="H1517" t="n">
        <v>0</v>
      </c>
      <c r="I1517" t="n">
        <v>0</v>
      </c>
      <c r="J1517" t="n">
        <v>0</v>
      </c>
      <c r="K1517" t="n">
        <v>0</v>
      </c>
      <c r="L1517" t="n">
        <v>0</v>
      </c>
      <c r="M1517" t="n">
        <v>0</v>
      </c>
      <c r="N1517" t="n">
        <v>0</v>
      </c>
      <c r="O1517" t="n">
        <v>0</v>
      </c>
      <c r="P1517" t="n">
        <v>0</v>
      </c>
      <c r="Q1517" t="n">
        <v>0</v>
      </c>
      <c r="R1517" s="2" t="inlineStr"/>
    </row>
    <row r="1518" ht="15" customHeight="1">
      <c r="A1518" t="inlineStr">
        <is>
          <t>A 2720-2023</t>
        </is>
      </c>
      <c r="B1518" s="1" t="n">
        <v>44944</v>
      </c>
      <c r="C1518" s="1" t="n">
        <v>45192</v>
      </c>
      <c r="D1518" t="inlineStr">
        <is>
          <t>VÄSTERBOTTENS LÄN</t>
        </is>
      </c>
      <c r="E1518" t="inlineStr">
        <is>
          <t>SKELLEFTEÅ</t>
        </is>
      </c>
      <c r="G1518" t="n">
        <v>31.7</v>
      </c>
      <c r="H1518" t="n">
        <v>0</v>
      </c>
      <c r="I1518" t="n">
        <v>0</v>
      </c>
      <c r="J1518" t="n">
        <v>0</v>
      </c>
      <c r="K1518" t="n">
        <v>0</v>
      </c>
      <c r="L1518" t="n">
        <v>0</v>
      </c>
      <c r="M1518" t="n">
        <v>0</v>
      </c>
      <c r="N1518" t="n">
        <v>0</v>
      </c>
      <c r="O1518" t="n">
        <v>0</v>
      </c>
      <c r="P1518" t="n">
        <v>0</v>
      </c>
      <c r="Q1518" t="n">
        <v>0</v>
      </c>
      <c r="R1518" s="2" t="inlineStr"/>
    </row>
    <row r="1519" ht="15" customHeight="1">
      <c r="A1519" t="inlineStr">
        <is>
          <t>A 3277-2023</t>
        </is>
      </c>
      <c r="B1519" s="1" t="n">
        <v>44945</v>
      </c>
      <c r="C1519" s="1" t="n">
        <v>45192</v>
      </c>
      <c r="D1519" t="inlineStr">
        <is>
          <t>VÄSTERBOTTENS LÄN</t>
        </is>
      </c>
      <c r="E1519" t="inlineStr">
        <is>
          <t>SKELLEFTEÅ</t>
        </is>
      </c>
      <c r="G1519" t="n">
        <v>1.4</v>
      </c>
      <c r="H1519" t="n">
        <v>0</v>
      </c>
      <c r="I1519" t="n">
        <v>0</v>
      </c>
      <c r="J1519" t="n">
        <v>0</v>
      </c>
      <c r="K1519" t="n">
        <v>0</v>
      </c>
      <c r="L1519" t="n">
        <v>0</v>
      </c>
      <c r="M1519" t="n">
        <v>0</v>
      </c>
      <c r="N1519" t="n">
        <v>0</v>
      </c>
      <c r="O1519" t="n">
        <v>0</v>
      </c>
      <c r="P1519" t="n">
        <v>0</v>
      </c>
      <c r="Q1519" t="n">
        <v>0</v>
      </c>
      <c r="R1519" s="2" t="inlineStr"/>
    </row>
    <row r="1520" ht="15" customHeight="1">
      <c r="A1520" t="inlineStr">
        <is>
          <t>A 3603-2023</t>
        </is>
      </c>
      <c r="B1520" s="1" t="n">
        <v>44946</v>
      </c>
      <c r="C1520" s="1" t="n">
        <v>45192</v>
      </c>
      <c r="D1520" t="inlineStr">
        <is>
          <t>VÄSTERBOTTENS LÄN</t>
        </is>
      </c>
      <c r="E1520" t="inlineStr">
        <is>
          <t>SKELLEFTEÅ</t>
        </is>
      </c>
      <c r="G1520" t="n">
        <v>1.9</v>
      </c>
      <c r="H1520" t="n">
        <v>0</v>
      </c>
      <c r="I1520" t="n">
        <v>0</v>
      </c>
      <c r="J1520" t="n">
        <v>0</v>
      </c>
      <c r="K1520" t="n">
        <v>0</v>
      </c>
      <c r="L1520" t="n">
        <v>0</v>
      </c>
      <c r="M1520" t="n">
        <v>0</v>
      </c>
      <c r="N1520" t="n">
        <v>0</v>
      </c>
      <c r="O1520" t="n">
        <v>0</v>
      </c>
      <c r="P1520" t="n">
        <v>0</v>
      </c>
      <c r="Q1520" t="n">
        <v>0</v>
      </c>
      <c r="R1520" s="2" t="inlineStr"/>
    </row>
    <row r="1521" ht="15" customHeight="1">
      <c r="A1521" t="inlineStr">
        <is>
          <t>A 3600-2023</t>
        </is>
      </c>
      <c r="B1521" s="1" t="n">
        <v>44946</v>
      </c>
      <c r="C1521" s="1" t="n">
        <v>45192</v>
      </c>
      <c r="D1521" t="inlineStr">
        <is>
          <t>VÄSTERBOTTENS LÄN</t>
        </is>
      </c>
      <c r="E1521" t="inlineStr">
        <is>
          <t>SKELLEFTEÅ</t>
        </is>
      </c>
      <c r="G1521" t="n">
        <v>0.9</v>
      </c>
      <c r="H1521" t="n">
        <v>0</v>
      </c>
      <c r="I1521" t="n">
        <v>0</v>
      </c>
      <c r="J1521" t="n">
        <v>0</v>
      </c>
      <c r="K1521" t="n">
        <v>0</v>
      </c>
      <c r="L1521" t="n">
        <v>0</v>
      </c>
      <c r="M1521" t="n">
        <v>0</v>
      </c>
      <c r="N1521" t="n">
        <v>0</v>
      </c>
      <c r="O1521" t="n">
        <v>0</v>
      </c>
      <c r="P1521" t="n">
        <v>0</v>
      </c>
      <c r="Q1521" t="n">
        <v>0</v>
      </c>
      <c r="R1521" s="2" t="inlineStr"/>
    </row>
    <row r="1522" ht="15" customHeight="1">
      <c r="A1522" t="inlineStr">
        <is>
          <t>A 3848-2023</t>
        </is>
      </c>
      <c r="B1522" s="1" t="n">
        <v>44950</v>
      </c>
      <c r="C1522" s="1" t="n">
        <v>45192</v>
      </c>
      <c r="D1522" t="inlineStr">
        <is>
          <t>VÄSTERBOTTENS LÄN</t>
        </is>
      </c>
      <c r="E1522" t="inlineStr">
        <is>
          <t>SKELLEFTEÅ</t>
        </is>
      </c>
      <c r="G1522" t="n">
        <v>14.4</v>
      </c>
      <c r="H1522" t="n">
        <v>0</v>
      </c>
      <c r="I1522" t="n">
        <v>0</v>
      </c>
      <c r="J1522" t="n">
        <v>0</v>
      </c>
      <c r="K1522" t="n">
        <v>0</v>
      </c>
      <c r="L1522" t="n">
        <v>0</v>
      </c>
      <c r="M1522" t="n">
        <v>0</v>
      </c>
      <c r="N1522" t="n">
        <v>0</v>
      </c>
      <c r="O1522" t="n">
        <v>0</v>
      </c>
      <c r="P1522" t="n">
        <v>0</v>
      </c>
      <c r="Q1522" t="n">
        <v>0</v>
      </c>
      <c r="R1522" s="2" t="inlineStr"/>
    </row>
    <row r="1523" ht="15" customHeight="1">
      <c r="A1523" t="inlineStr">
        <is>
          <t>A 3852-2023</t>
        </is>
      </c>
      <c r="B1523" s="1" t="n">
        <v>44950</v>
      </c>
      <c r="C1523" s="1" t="n">
        <v>45192</v>
      </c>
      <c r="D1523" t="inlineStr">
        <is>
          <t>VÄSTERBOTTENS LÄN</t>
        </is>
      </c>
      <c r="E1523" t="inlineStr">
        <is>
          <t>SKELLEFTEÅ</t>
        </is>
      </c>
      <c r="G1523" t="n">
        <v>0.5</v>
      </c>
      <c r="H1523" t="n">
        <v>0</v>
      </c>
      <c r="I1523" t="n">
        <v>0</v>
      </c>
      <c r="J1523" t="n">
        <v>0</v>
      </c>
      <c r="K1523" t="n">
        <v>0</v>
      </c>
      <c r="L1523" t="n">
        <v>0</v>
      </c>
      <c r="M1523" t="n">
        <v>0</v>
      </c>
      <c r="N1523" t="n">
        <v>0</v>
      </c>
      <c r="O1523" t="n">
        <v>0</v>
      </c>
      <c r="P1523" t="n">
        <v>0</v>
      </c>
      <c r="Q1523" t="n">
        <v>0</v>
      </c>
      <c r="R1523" s="2" t="inlineStr"/>
    </row>
    <row r="1524" ht="15" customHeight="1">
      <c r="A1524" t="inlineStr">
        <is>
          <t>A 4447-2023</t>
        </is>
      </c>
      <c r="B1524" s="1" t="n">
        <v>44951</v>
      </c>
      <c r="C1524" s="1" t="n">
        <v>45192</v>
      </c>
      <c r="D1524" t="inlineStr">
        <is>
          <t>VÄSTERBOTTENS LÄN</t>
        </is>
      </c>
      <c r="E1524" t="inlineStr">
        <is>
          <t>SKELLEFTEÅ</t>
        </is>
      </c>
      <c r="G1524" t="n">
        <v>4.1</v>
      </c>
      <c r="H1524" t="n">
        <v>0</v>
      </c>
      <c r="I1524" t="n">
        <v>0</v>
      </c>
      <c r="J1524" t="n">
        <v>0</v>
      </c>
      <c r="K1524" t="n">
        <v>0</v>
      </c>
      <c r="L1524" t="n">
        <v>0</v>
      </c>
      <c r="M1524" t="n">
        <v>0</v>
      </c>
      <c r="N1524" t="n">
        <v>0</v>
      </c>
      <c r="O1524" t="n">
        <v>0</v>
      </c>
      <c r="P1524" t="n">
        <v>0</v>
      </c>
      <c r="Q1524" t="n">
        <v>0</v>
      </c>
      <c r="R1524" s="2" t="inlineStr"/>
    </row>
    <row r="1525" ht="15" customHeight="1">
      <c r="A1525" t="inlineStr">
        <is>
          <t>A 4031-2023</t>
        </is>
      </c>
      <c r="B1525" s="1" t="n">
        <v>44952</v>
      </c>
      <c r="C1525" s="1" t="n">
        <v>45192</v>
      </c>
      <c r="D1525" t="inlineStr">
        <is>
          <t>VÄSTERBOTTENS LÄN</t>
        </is>
      </c>
      <c r="E1525" t="inlineStr">
        <is>
          <t>SKELLEFTEÅ</t>
        </is>
      </c>
      <c r="G1525" t="n">
        <v>2</v>
      </c>
      <c r="H1525" t="n">
        <v>0</v>
      </c>
      <c r="I1525" t="n">
        <v>0</v>
      </c>
      <c r="J1525" t="n">
        <v>0</v>
      </c>
      <c r="K1525" t="n">
        <v>0</v>
      </c>
      <c r="L1525" t="n">
        <v>0</v>
      </c>
      <c r="M1525" t="n">
        <v>0</v>
      </c>
      <c r="N1525" t="n">
        <v>0</v>
      </c>
      <c r="O1525" t="n">
        <v>0</v>
      </c>
      <c r="P1525" t="n">
        <v>0</v>
      </c>
      <c r="Q1525" t="n">
        <v>0</v>
      </c>
      <c r="R1525" s="2" t="inlineStr"/>
    </row>
    <row r="1526" ht="15" customHeight="1">
      <c r="A1526" t="inlineStr">
        <is>
          <t>A 4104-2023</t>
        </is>
      </c>
      <c r="B1526" s="1" t="n">
        <v>44952</v>
      </c>
      <c r="C1526" s="1" t="n">
        <v>45192</v>
      </c>
      <c r="D1526" t="inlineStr">
        <is>
          <t>VÄSTERBOTTENS LÄN</t>
        </is>
      </c>
      <c r="E1526" t="inlineStr">
        <is>
          <t>SKELLEFTEÅ</t>
        </is>
      </c>
      <c r="F1526" t="inlineStr">
        <is>
          <t>Sveaskog</t>
        </is>
      </c>
      <c r="G1526" t="n">
        <v>1.5</v>
      </c>
      <c r="H1526" t="n">
        <v>0</v>
      </c>
      <c r="I1526" t="n">
        <v>0</v>
      </c>
      <c r="J1526" t="n">
        <v>0</v>
      </c>
      <c r="K1526" t="n">
        <v>0</v>
      </c>
      <c r="L1526" t="n">
        <v>0</v>
      </c>
      <c r="M1526" t="n">
        <v>0</v>
      </c>
      <c r="N1526" t="n">
        <v>0</v>
      </c>
      <c r="O1526" t="n">
        <v>0</v>
      </c>
      <c r="P1526" t="n">
        <v>0</v>
      </c>
      <c r="Q1526" t="n">
        <v>0</v>
      </c>
      <c r="R1526" s="2" t="inlineStr"/>
    </row>
    <row r="1527" ht="15" customHeight="1">
      <c r="A1527" t="inlineStr">
        <is>
          <t>A 4102-2023</t>
        </is>
      </c>
      <c r="B1527" s="1" t="n">
        <v>44952</v>
      </c>
      <c r="C1527" s="1" t="n">
        <v>45192</v>
      </c>
      <c r="D1527" t="inlineStr">
        <is>
          <t>VÄSTERBOTTENS LÄN</t>
        </is>
      </c>
      <c r="E1527" t="inlineStr">
        <is>
          <t>SKELLEFTEÅ</t>
        </is>
      </c>
      <c r="F1527" t="inlineStr">
        <is>
          <t>Sveaskog</t>
        </is>
      </c>
      <c r="G1527" t="n">
        <v>5.1</v>
      </c>
      <c r="H1527" t="n">
        <v>0</v>
      </c>
      <c r="I1527" t="n">
        <v>0</v>
      </c>
      <c r="J1527" t="n">
        <v>0</v>
      </c>
      <c r="K1527" t="n">
        <v>0</v>
      </c>
      <c r="L1527" t="n">
        <v>0</v>
      </c>
      <c r="M1527" t="n">
        <v>0</v>
      </c>
      <c r="N1527" t="n">
        <v>0</v>
      </c>
      <c r="O1527" t="n">
        <v>0</v>
      </c>
      <c r="P1527" t="n">
        <v>0</v>
      </c>
      <c r="Q1527" t="n">
        <v>0</v>
      </c>
      <c r="R1527" s="2" t="inlineStr"/>
    </row>
    <row r="1528" ht="15" customHeight="1">
      <c r="A1528" t="inlineStr">
        <is>
          <t>A 4458-2023</t>
        </is>
      </c>
      <c r="B1528" s="1" t="n">
        <v>44952</v>
      </c>
      <c r="C1528" s="1" t="n">
        <v>45192</v>
      </c>
      <c r="D1528" t="inlineStr">
        <is>
          <t>VÄSTERBOTTENS LÄN</t>
        </is>
      </c>
      <c r="E1528" t="inlineStr">
        <is>
          <t>SKELLEFTEÅ</t>
        </is>
      </c>
      <c r="G1528" t="n">
        <v>1.2</v>
      </c>
      <c r="H1528" t="n">
        <v>0</v>
      </c>
      <c r="I1528" t="n">
        <v>0</v>
      </c>
      <c r="J1528" t="n">
        <v>0</v>
      </c>
      <c r="K1528" t="n">
        <v>0</v>
      </c>
      <c r="L1528" t="n">
        <v>0</v>
      </c>
      <c r="M1528" t="n">
        <v>0</v>
      </c>
      <c r="N1528" t="n">
        <v>0</v>
      </c>
      <c r="O1528" t="n">
        <v>0</v>
      </c>
      <c r="P1528" t="n">
        <v>0</v>
      </c>
      <c r="Q1528" t="n">
        <v>0</v>
      </c>
      <c r="R1528" s="2" t="inlineStr"/>
    </row>
    <row r="1529" ht="15" customHeight="1">
      <c r="A1529" t="inlineStr">
        <is>
          <t>A 4938-2023</t>
        </is>
      </c>
      <c r="B1529" s="1" t="n">
        <v>44956</v>
      </c>
      <c r="C1529" s="1" t="n">
        <v>45192</v>
      </c>
      <c r="D1529" t="inlineStr">
        <is>
          <t>VÄSTERBOTTENS LÄN</t>
        </is>
      </c>
      <c r="E1529" t="inlineStr">
        <is>
          <t>SKELLEFTEÅ</t>
        </is>
      </c>
      <c r="G1529" t="n">
        <v>2.9</v>
      </c>
      <c r="H1529" t="n">
        <v>0</v>
      </c>
      <c r="I1529" t="n">
        <v>0</v>
      </c>
      <c r="J1529" t="n">
        <v>0</v>
      </c>
      <c r="K1529" t="n">
        <v>0</v>
      </c>
      <c r="L1529" t="n">
        <v>0</v>
      </c>
      <c r="M1529" t="n">
        <v>0</v>
      </c>
      <c r="N1529" t="n">
        <v>0</v>
      </c>
      <c r="O1529" t="n">
        <v>0</v>
      </c>
      <c r="P1529" t="n">
        <v>0</v>
      </c>
      <c r="Q1529" t="n">
        <v>0</v>
      </c>
      <c r="R1529" s="2" t="inlineStr"/>
    </row>
    <row r="1530" ht="15" customHeight="1">
      <c r="A1530" t="inlineStr">
        <is>
          <t>A 4930-2023</t>
        </is>
      </c>
      <c r="B1530" s="1" t="n">
        <v>44956</v>
      </c>
      <c r="C1530" s="1" t="n">
        <v>45192</v>
      </c>
      <c r="D1530" t="inlineStr">
        <is>
          <t>VÄSTERBOTTENS LÄN</t>
        </is>
      </c>
      <c r="E1530" t="inlineStr">
        <is>
          <t>SKELLEFTEÅ</t>
        </is>
      </c>
      <c r="G1530" t="n">
        <v>1.2</v>
      </c>
      <c r="H1530" t="n">
        <v>0</v>
      </c>
      <c r="I1530" t="n">
        <v>0</v>
      </c>
      <c r="J1530" t="n">
        <v>0</v>
      </c>
      <c r="K1530" t="n">
        <v>0</v>
      </c>
      <c r="L1530" t="n">
        <v>0</v>
      </c>
      <c r="M1530" t="n">
        <v>0</v>
      </c>
      <c r="N1530" t="n">
        <v>0</v>
      </c>
      <c r="O1530" t="n">
        <v>0</v>
      </c>
      <c r="P1530" t="n">
        <v>0</v>
      </c>
      <c r="Q1530" t="n">
        <v>0</v>
      </c>
      <c r="R1530" s="2" t="inlineStr"/>
    </row>
    <row r="1531" ht="15" customHeight="1">
      <c r="A1531" t="inlineStr">
        <is>
          <t>A 4948-2023</t>
        </is>
      </c>
      <c r="B1531" s="1" t="n">
        <v>44956</v>
      </c>
      <c r="C1531" s="1" t="n">
        <v>45192</v>
      </c>
      <c r="D1531" t="inlineStr">
        <is>
          <t>VÄSTERBOTTENS LÄN</t>
        </is>
      </c>
      <c r="E1531" t="inlineStr">
        <is>
          <t>SKELLEFTEÅ</t>
        </is>
      </c>
      <c r="G1531" t="n">
        <v>21.1</v>
      </c>
      <c r="H1531" t="n">
        <v>0</v>
      </c>
      <c r="I1531" t="n">
        <v>0</v>
      </c>
      <c r="J1531" t="n">
        <v>0</v>
      </c>
      <c r="K1531" t="n">
        <v>0</v>
      </c>
      <c r="L1531" t="n">
        <v>0</v>
      </c>
      <c r="M1531" t="n">
        <v>0</v>
      </c>
      <c r="N1531" t="n">
        <v>0</v>
      </c>
      <c r="O1531" t="n">
        <v>0</v>
      </c>
      <c r="P1531" t="n">
        <v>0</v>
      </c>
      <c r="Q1531" t="n">
        <v>0</v>
      </c>
      <c r="R1531" s="2" t="inlineStr"/>
    </row>
    <row r="1532" ht="15" customHeight="1">
      <c r="A1532" t="inlineStr">
        <is>
          <t>A 4943-2023</t>
        </is>
      </c>
      <c r="B1532" s="1" t="n">
        <v>44956</v>
      </c>
      <c r="C1532" s="1" t="n">
        <v>45192</v>
      </c>
      <c r="D1532" t="inlineStr">
        <is>
          <t>VÄSTERBOTTENS LÄN</t>
        </is>
      </c>
      <c r="E1532" t="inlineStr">
        <is>
          <t>SKELLEFTEÅ</t>
        </is>
      </c>
      <c r="G1532" t="n">
        <v>3</v>
      </c>
      <c r="H1532" t="n">
        <v>0</v>
      </c>
      <c r="I1532" t="n">
        <v>0</v>
      </c>
      <c r="J1532" t="n">
        <v>0</v>
      </c>
      <c r="K1532" t="n">
        <v>0</v>
      </c>
      <c r="L1532" t="n">
        <v>0</v>
      </c>
      <c r="M1532" t="n">
        <v>0</v>
      </c>
      <c r="N1532" t="n">
        <v>0</v>
      </c>
      <c r="O1532" t="n">
        <v>0</v>
      </c>
      <c r="P1532" t="n">
        <v>0</v>
      </c>
      <c r="Q1532" t="n">
        <v>0</v>
      </c>
      <c r="R1532" s="2" t="inlineStr"/>
    </row>
    <row r="1533" ht="15" customHeight="1">
      <c r="A1533" t="inlineStr">
        <is>
          <t>A 5373-2023</t>
        </is>
      </c>
      <c r="B1533" s="1" t="n">
        <v>44957</v>
      </c>
      <c r="C1533" s="1" t="n">
        <v>45192</v>
      </c>
      <c r="D1533" t="inlineStr">
        <is>
          <t>VÄSTERBOTTENS LÄN</t>
        </is>
      </c>
      <c r="E1533" t="inlineStr">
        <is>
          <t>SKELLEFTEÅ</t>
        </is>
      </c>
      <c r="G1533" t="n">
        <v>1.3</v>
      </c>
      <c r="H1533" t="n">
        <v>0</v>
      </c>
      <c r="I1533" t="n">
        <v>0</v>
      </c>
      <c r="J1533" t="n">
        <v>0</v>
      </c>
      <c r="K1533" t="n">
        <v>0</v>
      </c>
      <c r="L1533" t="n">
        <v>0</v>
      </c>
      <c r="M1533" t="n">
        <v>0</v>
      </c>
      <c r="N1533" t="n">
        <v>0</v>
      </c>
      <c r="O1533" t="n">
        <v>0</v>
      </c>
      <c r="P1533" t="n">
        <v>0</v>
      </c>
      <c r="Q1533" t="n">
        <v>0</v>
      </c>
      <c r="R1533" s="2" t="inlineStr"/>
    </row>
    <row r="1534" ht="15" customHeight="1">
      <c r="A1534" t="inlineStr">
        <is>
          <t>A 5416-2023</t>
        </is>
      </c>
      <c r="B1534" s="1" t="n">
        <v>44957</v>
      </c>
      <c r="C1534" s="1" t="n">
        <v>45192</v>
      </c>
      <c r="D1534" t="inlineStr">
        <is>
          <t>VÄSTERBOTTENS LÄN</t>
        </is>
      </c>
      <c r="E1534" t="inlineStr">
        <is>
          <t>SKELLEFTEÅ</t>
        </is>
      </c>
      <c r="G1534" t="n">
        <v>1.1</v>
      </c>
      <c r="H1534" t="n">
        <v>0</v>
      </c>
      <c r="I1534" t="n">
        <v>0</v>
      </c>
      <c r="J1534" t="n">
        <v>0</v>
      </c>
      <c r="K1534" t="n">
        <v>0</v>
      </c>
      <c r="L1534" t="n">
        <v>0</v>
      </c>
      <c r="M1534" t="n">
        <v>0</v>
      </c>
      <c r="N1534" t="n">
        <v>0</v>
      </c>
      <c r="O1534" t="n">
        <v>0</v>
      </c>
      <c r="P1534" t="n">
        <v>0</v>
      </c>
      <c r="Q1534" t="n">
        <v>0</v>
      </c>
      <c r="R1534" s="2" t="inlineStr"/>
    </row>
    <row r="1535" ht="15" customHeight="1">
      <c r="A1535" t="inlineStr">
        <is>
          <t>A 5481-2023</t>
        </is>
      </c>
      <c r="B1535" s="1" t="n">
        <v>44957</v>
      </c>
      <c r="C1535" s="1" t="n">
        <v>45192</v>
      </c>
      <c r="D1535" t="inlineStr">
        <is>
          <t>VÄSTERBOTTENS LÄN</t>
        </is>
      </c>
      <c r="E1535" t="inlineStr">
        <is>
          <t>SKELLEFTEÅ</t>
        </is>
      </c>
      <c r="G1535" t="n">
        <v>6.4</v>
      </c>
      <c r="H1535" t="n">
        <v>0</v>
      </c>
      <c r="I1535" t="n">
        <v>0</v>
      </c>
      <c r="J1535" t="n">
        <v>0</v>
      </c>
      <c r="K1535" t="n">
        <v>0</v>
      </c>
      <c r="L1535" t="n">
        <v>0</v>
      </c>
      <c r="M1535" t="n">
        <v>0</v>
      </c>
      <c r="N1535" t="n">
        <v>0</v>
      </c>
      <c r="O1535" t="n">
        <v>0</v>
      </c>
      <c r="P1535" t="n">
        <v>0</v>
      </c>
      <c r="Q1535" t="n">
        <v>0</v>
      </c>
      <c r="R1535" s="2" t="inlineStr"/>
    </row>
    <row r="1536" ht="15" customHeight="1">
      <c r="A1536" t="inlineStr">
        <is>
          <t>A 5490-2023</t>
        </is>
      </c>
      <c r="B1536" s="1" t="n">
        <v>44957</v>
      </c>
      <c r="C1536" s="1" t="n">
        <v>45192</v>
      </c>
      <c r="D1536" t="inlineStr">
        <is>
          <t>VÄSTERBOTTENS LÄN</t>
        </is>
      </c>
      <c r="E1536" t="inlineStr">
        <is>
          <t>SKELLEFTEÅ</t>
        </is>
      </c>
      <c r="G1536" t="n">
        <v>3</v>
      </c>
      <c r="H1536" t="n">
        <v>0</v>
      </c>
      <c r="I1536" t="n">
        <v>0</v>
      </c>
      <c r="J1536" t="n">
        <v>0</v>
      </c>
      <c r="K1536" t="n">
        <v>0</v>
      </c>
      <c r="L1536" t="n">
        <v>0</v>
      </c>
      <c r="M1536" t="n">
        <v>0</v>
      </c>
      <c r="N1536" t="n">
        <v>0</v>
      </c>
      <c r="O1536" t="n">
        <v>0</v>
      </c>
      <c r="P1536" t="n">
        <v>0</v>
      </c>
      <c r="Q1536" t="n">
        <v>0</v>
      </c>
      <c r="R1536" s="2" t="inlineStr"/>
    </row>
    <row r="1537" ht="15" customHeight="1">
      <c r="A1537" t="inlineStr">
        <is>
          <t>A 5495-2023</t>
        </is>
      </c>
      <c r="B1537" s="1" t="n">
        <v>44957</v>
      </c>
      <c r="C1537" s="1" t="n">
        <v>45192</v>
      </c>
      <c r="D1537" t="inlineStr">
        <is>
          <t>VÄSTERBOTTENS LÄN</t>
        </is>
      </c>
      <c r="E1537" t="inlineStr">
        <is>
          <t>SKELLEFTEÅ</t>
        </is>
      </c>
      <c r="G1537" t="n">
        <v>1.2</v>
      </c>
      <c r="H1537" t="n">
        <v>0</v>
      </c>
      <c r="I1537" t="n">
        <v>0</v>
      </c>
      <c r="J1537" t="n">
        <v>0</v>
      </c>
      <c r="K1537" t="n">
        <v>0</v>
      </c>
      <c r="L1537" t="n">
        <v>0</v>
      </c>
      <c r="M1537" t="n">
        <v>0</v>
      </c>
      <c r="N1537" t="n">
        <v>0</v>
      </c>
      <c r="O1537" t="n">
        <v>0</v>
      </c>
      <c r="P1537" t="n">
        <v>0</v>
      </c>
      <c r="Q1537" t="n">
        <v>0</v>
      </c>
      <c r="R1537" s="2" t="inlineStr"/>
    </row>
    <row r="1538" ht="15" customHeight="1">
      <c r="A1538" t="inlineStr">
        <is>
          <t>A 5515-2023</t>
        </is>
      </c>
      <c r="B1538" s="1" t="n">
        <v>44957</v>
      </c>
      <c r="C1538" s="1" t="n">
        <v>45192</v>
      </c>
      <c r="D1538" t="inlineStr">
        <is>
          <t>VÄSTERBOTTENS LÄN</t>
        </is>
      </c>
      <c r="E1538" t="inlineStr">
        <is>
          <t>SKELLEFTEÅ</t>
        </is>
      </c>
      <c r="G1538" t="n">
        <v>0.8</v>
      </c>
      <c r="H1538" t="n">
        <v>0</v>
      </c>
      <c r="I1538" t="n">
        <v>0</v>
      </c>
      <c r="J1538" t="n">
        <v>0</v>
      </c>
      <c r="K1538" t="n">
        <v>0</v>
      </c>
      <c r="L1538" t="n">
        <v>0</v>
      </c>
      <c r="M1538" t="n">
        <v>0</v>
      </c>
      <c r="N1538" t="n">
        <v>0</v>
      </c>
      <c r="O1538" t="n">
        <v>0</v>
      </c>
      <c r="P1538" t="n">
        <v>0</v>
      </c>
      <c r="Q1538" t="n">
        <v>0</v>
      </c>
      <c r="R1538" s="2" t="inlineStr"/>
    </row>
    <row r="1539" ht="15" customHeight="1">
      <c r="A1539" t="inlineStr">
        <is>
          <t>A 5986-2023</t>
        </is>
      </c>
      <c r="B1539" s="1" t="n">
        <v>44959</v>
      </c>
      <c r="C1539" s="1" t="n">
        <v>45192</v>
      </c>
      <c r="D1539" t="inlineStr">
        <is>
          <t>VÄSTERBOTTENS LÄN</t>
        </is>
      </c>
      <c r="E1539" t="inlineStr">
        <is>
          <t>SKELLEFTEÅ</t>
        </is>
      </c>
      <c r="G1539" t="n">
        <v>1.6</v>
      </c>
      <c r="H1539" t="n">
        <v>0</v>
      </c>
      <c r="I1539" t="n">
        <v>0</v>
      </c>
      <c r="J1539" t="n">
        <v>0</v>
      </c>
      <c r="K1539" t="n">
        <v>0</v>
      </c>
      <c r="L1539" t="n">
        <v>0</v>
      </c>
      <c r="M1539" t="n">
        <v>0</v>
      </c>
      <c r="N1539" t="n">
        <v>0</v>
      </c>
      <c r="O1539" t="n">
        <v>0</v>
      </c>
      <c r="P1539" t="n">
        <v>0</v>
      </c>
      <c r="Q1539" t="n">
        <v>0</v>
      </c>
      <c r="R1539" s="2" t="inlineStr"/>
    </row>
    <row r="1540" ht="15" customHeight="1">
      <c r="A1540" t="inlineStr">
        <is>
          <t>A 5991-2023</t>
        </is>
      </c>
      <c r="B1540" s="1" t="n">
        <v>44959</v>
      </c>
      <c r="C1540" s="1" t="n">
        <v>45192</v>
      </c>
      <c r="D1540" t="inlineStr">
        <is>
          <t>VÄSTERBOTTENS LÄN</t>
        </is>
      </c>
      <c r="E1540" t="inlineStr">
        <is>
          <t>SKELLEFTEÅ</t>
        </is>
      </c>
      <c r="G1540" t="n">
        <v>1.6</v>
      </c>
      <c r="H1540" t="n">
        <v>0</v>
      </c>
      <c r="I1540" t="n">
        <v>0</v>
      </c>
      <c r="J1540" t="n">
        <v>0</v>
      </c>
      <c r="K1540" t="n">
        <v>0</v>
      </c>
      <c r="L1540" t="n">
        <v>0</v>
      </c>
      <c r="M1540" t="n">
        <v>0</v>
      </c>
      <c r="N1540" t="n">
        <v>0</v>
      </c>
      <c r="O1540" t="n">
        <v>0</v>
      </c>
      <c r="P1540" t="n">
        <v>0</v>
      </c>
      <c r="Q1540" t="n">
        <v>0</v>
      </c>
      <c r="R1540" s="2" t="inlineStr"/>
    </row>
    <row r="1541" ht="15" customHeight="1">
      <c r="A1541" t="inlineStr">
        <is>
          <t>A 6012-2023</t>
        </is>
      </c>
      <c r="B1541" s="1" t="n">
        <v>44959</v>
      </c>
      <c r="C1541" s="1" t="n">
        <v>45192</v>
      </c>
      <c r="D1541" t="inlineStr">
        <is>
          <t>VÄSTERBOTTENS LÄN</t>
        </is>
      </c>
      <c r="E1541" t="inlineStr">
        <is>
          <t>SKELLEFTEÅ</t>
        </is>
      </c>
      <c r="G1541" t="n">
        <v>0.3</v>
      </c>
      <c r="H1541" t="n">
        <v>0</v>
      </c>
      <c r="I1541" t="n">
        <v>0</v>
      </c>
      <c r="J1541" t="n">
        <v>0</v>
      </c>
      <c r="K1541" t="n">
        <v>0</v>
      </c>
      <c r="L1541" t="n">
        <v>0</v>
      </c>
      <c r="M1541" t="n">
        <v>0</v>
      </c>
      <c r="N1541" t="n">
        <v>0</v>
      </c>
      <c r="O1541" t="n">
        <v>0</v>
      </c>
      <c r="P1541" t="n">
        <v>0</v>
      </c>
      <c r="Q1541" t="n">
        <v>0</v>
      </c>
      <c r="R1541" s="2" t="inlineStr"/>
    </row>
    <row r="1542" ht="15" customHeight="1">
      <c r="A1542" t="inlineStr">
        <is>
          <t>A 5973-2023</t>
        </is>
      </c>
      <c r="B1542" s="1" t="n">
        <v>44959</v>
      </c>
      <c r="C1542" s="1" t="n">
        <v>45192</v>
      </c>
      <c r="D1542" t="inlineStr">
        <is>
          <t>VÄSTERBOTTENS LÄN</t>
        </is>
      </c>
      <c r="E1542" t="inlineStr">
        <is>
          <t>SKELLEFTEÅ</t>
        </is>
      </c>
      <c r="G1542" t="n">
        <v>1.8</v>
      </c>
      <c r="H1542" t="n">
        <v>0</v>
      </c>
      <c r="I1542" t="n">
        <v>0</v>
      </c>
      <c r="J1542" t="n">
        <v>0</v>
      </c>
      <c r="K1542" t="n">
        <v>0</v>
      </c>
      <c r="L1542" t="n">
        <v>0</v>
      </c>
      <c r="M1542" t="n">
        <v>0</v>
      </c>
      <c r="N1542" t="n">
        <v>0</v>
      </c>
      <c r="O1542" t="n">
        <v>0</v>
      </c>
      <c r="P1542" t="n">
        <v>0</v>
      </c>
      <c r="Q1542" t="n">
        <v>0</v>
      </c>
      <c r="R1542" s="2" t="inlineStr"/>
    </row>
    <row r="1543" ht="15" customHeight="1">
      <c r="A1543" t="inlineStr">
        <is>
          <t>A 5996-2023</t>
        </is>
      </c>
      <c r="B1543" s="1" t="n">
        <v>44959</v>
      </c>
      <c r="C1543" s="1" t="n">
        <v>45192</v>
      </c>
      <c r="D1543" t="inlineStr">
        <is>
          <t>VÄSTERBOTTENS LÄN</t>
        </is>
      </c>
      <c r="E1543" t="inlineStr">
        <is>
          <t>SKELLEFTEÅ</t>
        </is>
      </c>
      <c r="G1543" t="n">
        <v>4.2</v>
      </c>
      <c r="H1543" t="n">
        <v>0</v>
      </c>
      <c r="I1543" t="n">
        <v>0</v>
      </c>
      <c r="J1543" t="n">
        <v>0</v>
      </c>
      <c r="K1543" t="n">
        <v>0</v>
      </c>
      <c r="L1543" t="n">
        <v>0</v>
      </c>
      <c r="M1543" t="n">
        <v>0</v>
      </c>
      <c r="N1543" t="n">
        <v>0</v>
      </c>
      <c r="O1543" t="n">
        <v>0</v>
      </c>
      <c r="P1543" t="n">
        <v>0</v>
      </c>
      <c r="Q1543" t="n">
        <v>0</v>
      </c>
      <c r="R1543" s="2" t="inlineStr"/>
    </row>
    <row r="1544" ht="15" customHeight="1">
      <c r="A1544" t="inlineStr">
        <is>
          <t>A 6016-2023</t>
        </is>
      </c>
      <c r="B1544" s="1" t="n">
        <v>44959</v>
      </c>
      <c r="C1544" s="1" t="n">
        <v>45192</v>
      </c>
      <c r="D1544" t="inlineStr">
        <is>
          <t>VÄSTERBOTTENS LÄN</t>
        </is>
      </c>
      <c r="E1544" t="inlineStr">
        <is>
          <t>SKELLEFTEÅ</t>
        </is>
      </c>
      <c r="G1544" t="n">
        <v>1.3</v>
      </c>
      <c r="H1544" t="n">
        <v>0</v>
      </c>
      <c r="I1544" t="n">
        <v>0</v>
      </c>
      <c r="J1544" t="n">
        <v>0</v>
      </c>
      <c r="K1544" t="n">
        <v>0</v>
      </c>
      <c r="L1544" t="n">
        <v>0</v>
      </c>
      <c r="M1544" t="n">
        <v>0</v>
      </c>
      <c r="N1544" t="n">
        <v>0</v>
      </c>
      <c r="O1544" t="n">
        <v>0</v>
      </c>
      <c r="P1544" t="n">
        <v>0</v>
      </c>
      <c r="Q1544" t="n">
        <v>0</v>
      </c>
      <c r="R1544" s="2" t="inlineStr"/>
    </row>
    <row r="1545" ht="15" customHeight="1">
      <c r="A1545" t="inlineStr">
        <is>
          <t>A 5541-2023</t>
        </is>
      </c>
      <c r="B1545" s="1" t="n">
        <v>44960</v>
      </c>
      <c r="C1545" s="1" t="n">
        <v>45192</v>
      </c>
      <c r="D1545" t="inlineStr">
        <is>
          <t>VÄSTERBOTTENS LÄN</t>
        </is>
      </c>
      <c r="E1545" t="inlineStr">
        <is>
          <t>SKELLEFTEÅ</t>
        </is>
      </c>
      <c r="F1545" t="inlineStr">
        <is>
          <t>Sveaskog</t>
        </is>
      </c>
      <c r="G1545" t="n">
        <v>3.5</v>
      </c>
      <c r="H1545" t="n">
        <v>0</v>
      </c>
      <c r="I1545" t="n">
        <v>0</v>
      </c>
      <c r="J1545" t="n">
        <v>0</v>
      </c>
      <c r="K1545" t="n">
        <v>0</v>
      </c>
      <c r="L1545" t="n">
        <v>0</v>
      </c>
      <c r="M1545" t="n">
        <v>0</v>
      </c>
      <c r="N1545" t="n">
        <v>0</v>
      </c>
      <c r="O1545" t="n">
        <v>0</v>
      </c>
      <c r="P1545" t="n">
        <v>0</v>
      </c>
      <c r="Q1545" t="n">
        <v>0</v>
      </c>
      <c r="R1545" s="2" t="inlineStr"/>
    </row>
    <row r="1546" ht="15" customHeight="1">
      <c r="A1546" t="inlineStr">
        <is>
          <t>A 5470-2023</t>
        </is>
      </c>
      <c r="B1546" s="1" t="n">
        <v>44960</v>
      </c>
      <c r="C1546" s="1" t="n">
        <v>45192</v>
      </c>
      <c r="D1546" t="inlineStr">
        <is>
          <t>VÄSTERBOTTENS LÄN</t>
        </is>
      </c>
      <c r="E1546" t="inlineStr">
        <is>
          <t>SKELLEFTEÅ</t>
        </is>
      </c>
      <c r="G1546" t="n">
        <v>0.6</v>
      </c>
      <c r="H1546" t="n">
        <v>0</v>
      </c>
      <c r="I1546" t="n">
        <v>0</v>
      </c>
      <c r="J1546" t="n">
        <v>0</v>
      </c>
      <c r="K1546" t="n">
        <v>0</v>
      </c>
      <c r="L1546" t="n">
        <v>0</v>
      </c>
      <c r="M1546" t="n">
        <v>0</v>
      </c>
      <c r="N1546" t="n">
        <v>0</v>
      </c>
      <c r="O1546" t="n">
        <v>0</v>
      </c>
      <c r="P1546" t="n">
        <v>0</v>
      </c>
      <c r="Q1546" t="n">
        <v>0</v>
      </c>
      <c r="R1546" s="2" t="inlineStr"/>
    </row>
    <row r="1547" ht="15" customHeight="1">
      <c r="A1547" t="inlineStr">
        <is>
          <t>A 6596-2023</t>
        </is>
      </c>
      <c r="B1547" s="1" t="n">
        <v>44963</v>
      </c>
      <c r="C1547" s="1" t="n">
        <v>45192</v>
      </c>
      <c r="D1547" t="inlineStr">
        <is>
          <t>VÄSTERBOTTENS LÄN</t>
        </is>
      </c>
      <c r="E1547" t="inlineStr">
        <is>
          <t>SKELLEFTEÅ</t>
        </is>
      </c>
      <c r="G1547" t="n">
        <v>1.4</v>
      </c>
      <c r="H1547" t="n">
        <v>0</v>
      </c>
      <c r="I1547" t="n">
        <v>0</v>
      </c>
      <c r="J1547" t="n">
        <v>0</v>
      </c>
      <c r="K1547" t="n">
        <v>0</v>
      </c>
      <c r="L1547" t="n">
        <v>0</v>
      </c>
      <c r="M1547" t="n">
        <v>0</v>
      </c>
      <c r="N1547" t="n">
        <v>0</v>
      </c>
      <c r="O1547" t="n">
        <v>0</v>
      </c>
      <c r="P1547" t="n">
        <v>0</v>
      </c>
      <c r="Q1547" t="n">
        <v>0</v>
      </c>
      <c r="R1547" s="2" t="inlineStr"/>
    </row>
    <row r="1548" ht="15" customHeight="1">
      <c r="A1548" t="inlineStr">
        <is>
          <t>A 6656-2023</t>
        </is>
      </c>
      <c r="B1548" s="1" t="n">
        <v>44963</v>
      </c>
      <c r="C1548" s="1" t="n">
        <v>45192</v>
      </c>
      <c r="D1548" t="inlineStr">
        <is>
          <t>VÄSTERBOTTENS LÄN</t>
        </is>
      </c>
      <c r="E1548" t="inlineStr">
        <is>
          <t>SKELLEFTEÅ</t>
        </is>
      </c>
      <c r="G1548" t="n">
        <v>2.5</v>
      </c>
      <c r="H1548" t="n">
        <v>0</v>
      </c>
      <c r="I1548" t="n">
        <v>0</v>
      </c>
      <c r="J1548" t="n">
        <v>0</v>
      </c>
      <c r="K1548" t="n">
        <v>0</v>
      </c>
      <c r="L1548" t="n">
        <v>0</v>
      </c>
      <c r="M1548" t="n">
        <v>0</v>
      </c>
      <c r="N1548" t="n">
        <v>0</v>
      </c>
      <c r="O1548" t="n">
        <v>0</v>
      </c>
      <c r="P1548" t="n">
        <v>0</v>
      </c>
      <c r="Q1548" t="n">
        <v>0</v>
      </c>
      <c r="R1548" s="2" t="inlineStr"/>
    </row>
    <row r="1549" ht="15" customHeight="1">
      <c r="A1549" t="inlineStr">
        <is>
          <t>A 5929-2023</t>
        </is>
      </c>
      <c r="B1549" s="1" t="n">
        <v>44963</v>
      </c>
      <c r="C1549" s="1" t="n">
        <v>45192</v>
      </c>
      <c r="D1549" t="inlineStr">
        <is>
          <t>VÄSTERBOTTENS LÄN</t>
        </is>
      </c>
      <c r="E1549" t="inlineStr">
        <is>
          <t>SKELLEFTEÅ</t>
        </is>
      </c>
      <c r="F1549" t="inlineStr">
        <is>
          <t>Sveaskog</t>
        </is>
      </c>
      <c r="G1549" t="n">
        <v>3.4</v>
      </c>
      <c r="H1549" t="n">
        <v>0</v>
      </c>
      <c r="I1549" t="n">
        <v>0</v>
      </c>
      <c r="J1549" t="n">
        <v>0</v>
      </c>
      <c r="K1549" t="n">
        <v>0</v>
      </c>
      <c r="L1549" t="n">
        <v>0</v>
      </c>
      <c r="M1549" t="n">
        <v>0</v>
      </c>
      <c r="N1549" t="n">
        <v>0</v>
      </c>
      <c r="O1549" t="n">
        <v>0</v>
      </c>
      <c r="P1549" t="n">
        <v>0</v>
      </c>
      <c r="Q1549" t="n">
        <v>0</v>
      </c>
      <c r="R1549" s="2" t="inlineStr"/>
    </row>
    <row r="1550" ht="15" customHeight="1">
      <c r="A1550" t="inlineStr">
        <is>
          <t>A 7875-2023</t>
        </is>
      </c>
      <c r="B1550" s="1" t="n">
        <v>44967</v>
      </c>
      <c r="C1550" s="1" t="n">
        <v>45192</v>
      </c>
      <c r="D1550" t="inlineStr">
        <is>
          <t>VÄSTERBOTTENS LÄN</t>
        </is>
      </c>
      <c r="E1550" t="inlineStr">
        <is>
          <t>SKELLEFTEÅ</t>
        </is>
      </c>
      <c r="G1550" t="n">
        <v>0.1</v>
      </c>
      <c r="H1550" t="n">
        <v>0</v>
      </c>
      <c r="I1550" t="n">
        <v>0</v>
      </c>
      <c r="J1550" t="n">
        <v>0</v>
      </c>
      <c r="K1550" t="n">
        <v>0</v>
      </c>
      <c r="L1550" t="n">
        <v>0</v>
      </c>
      <c r="M1550" t="n">
        <v>0</v>
      </c>
      <c r="N1550" t="n">
        <v>0</v>
      </c>
      <c r="O1550" t="n">
        <v>0</v>
      </c>
      <c r="P1550" t="n">
        <v>0</v>
      </c>
      <c r="Q1550" t="n">
        <v>0</v>
      </c>
      <c r="R1550" s="2" t="inlineStr"/>
    </row>
    <row r="1551" ht="15" customHeight="1">
      <c r="A1551" t="inlineStr">
        <is>
          <t>A 7364-2023</t>
        </is>
      </c>
      <c r="B1551" s="1" t="n">
        <v>44971</v>
      </c>
      <c r="C1551" s="1" t="n">
        <v>45192</v>
      </c>
      <c r="D1551" t="inlineStr">
        <is>
          <t>VÄSTERBOTTENS LÄN</t>
        </is>
      </c>
      <c r="E1551" t="inlineStr">
        <is>
          <t>SKELLEFTEÅ</t>
        </is>
      </c>
      <c r="G1551" t="n">
        <v>2.4</v>
      </c>
      <c r="H1551" t="n">
        <v>0</v>
      </c>
      <c r="I1551" t="n">
        <v>0</v>
      </c>
      <c r="J1551" t="n">
        <v>0</v>
      </c>
      <c r="K1551" t="n">
        <v>0</v>
      </c>
      <c r="L1551" t="n">
        <v>0</v>
      </c>
      <c r="M1551" t="n">
        <v>0</v>
      </c>
      <c r="N1551" t="n">
        <v>0</v>
      </c>
      <c r="O1551" t="n">
        <v>0</v>
      </c>
      <c r="P1551" t="n">
        <v>0</v>
      </c>
      <c r="Q1551" t="n">
        <v>0</v>
      </c>
      <c r="R1551" s="2" t="inlineStr"/>
    </row>
    <row r="1552" ht="15" customHeight="1">
      <c r="A1552" t="inlineStr">
        <is>
          <t>A 8206-2023</t>
        </is>
      </c>
      <c r="B1552" s="1" t="n">
        <v>44971</v>
      </c>
      <c r="C1552" s="1" t="n">
        <v>45192</v>
      </c>
      <c r="D1552" t="inlineStr">
        <is>
          <t>VÄSTERBOTTENS LÄN</t>
        </is>
      </c>
      <c r="E1552" t="inlineStr">
        <is>
          <t>SKELLEFTEÅ</t>
        </is>
      </c>
      <c r="G1552" t="n">
        <v>5.5</v>
      </c>
      <c r="H1552" t="n">
        <v>0</v>
      </c>
      <c r="I1552" t="n">
        <v>0</v>
      </c>
      <c r="J1552" t="n">
        <v>0</v>
      </c>
      <c r="K1552" t="n">
        <v>0</v>
      </c>
      <c r="L1552" t="n">
        <v>0</v>
      </c>
      <c r="M1552" t="n">
        <v>0</v>
      </c>
      <c r="N1552" t="n">
        <v>0</v>
      </c>
      <c r="O1552" t="n">
        <v>0</v>
      </c>
      <c r="P1552" t="n">
        <v>0</v>
      </c>
      <c r="Q1552" t="n">
        <v>0</v>
      </c>
      <c r="R1552" s="2" t="inlineStr"/>
    </row>
    <row r="1553" ht="15" customHeight="1">
      <c r="A1553" t="inlineStr">
        <is>
          <t>A 8422-2023</t>
        </is>
      </c>
      <c r="B1553" s="1" t="n">
        <v>44972</v>
      </c>
      <c r="C1553" s="1" t="n">
        <v>45192</v>
      </c>
      <c r="D1553" t="inlineStr">
        <is>
          <t>VÄSTERBOTTENS LÄN</t>
        </is>
      </c>
      <c r="E1553" t="inlineStr">
        <is>
          <t>SKELLEFTEÅ</t>
        </is>
      </c>
      <c r="G1553" t="n">
        <v>5</v>
      </c>
      <c r="H1553" t="n">
        <v>0</v>
      </c>
      <c r="I1553" t="n">
        <v>0</v>
      </c>
      <c r="J1553" t="n">
        <v>0</v>
      </c>
      <c r="K1553" t="n">
        <v>0</v>
      </c>
      <c r="L1553" t="n">
        <v>0</v>
      </c>
      <c r="M1553" t="n">
        <v>0</v>
      </c>
      <c r="N1553" t="n">
        <v>0</v>
      </c>
      <c r="O1553" t="n">
        <v>0</v>
      </c>
      <c r="P1553" t="n">
        <v>0</v>
      </c>
      <c r="Q1553" t="n">
        <v>0</v>
      </c>
      <c r="R1553" s="2" t="inlineStr"/>
    </row>
    <row r="1554" ht="15" customHeight="1">
      <c r="A1554" t="inlineStr">
        <is>
          <t>A 8479-2023</t>
        </is>
      </c>
      <c r="B1554" s="1" t="n">
        <v>44972</v>
      </c>
      <c r="C1554" s="1" t="n">
        <v>45192</v>
      </c>
      <c r="D1554" t="inlineStr">
        <is>
          <t>VÄSTERBOTTENS LÄN</t>
        </is>
      </c>
      <c r="E1554" t="inlineStr">
        <is>
          <t>SKELLEFTEÅ</t>
        </is>
      </c>
      <c r="G1554" t="n">
        <v>1.5</v>
      </c>
      <c r="H1554" t="n">
        <v>0</v>
      </c>
      <c r="I1554" t="n">
        <v>0</v>
      </c>
      <c r="J1554" t="n">
        <v>0</v>
      </c>
      <c r="K1554" t="n">
        <v>0</v>
      </c>
      <c r="L1554" t="n">
        <v>0</v>
      </c>
      <c r="M1554" t="n">
        <v>0</v>
      </c>
      <c r="N1554" t="n">
        <v>0</v>
      </c>
      <c r="O1554" t="n">
        <v>0</v>
      </c>
      <c r="P1554" t="n">
        <v>0</v>
      </c>
      <c r="Q1554" t="n">
        <v>0</v>
      </c>
      <c r="R1554" s="2" t="inlineStr"/>
    </row>
    <row r="1555" ht="15" customHeight="1">
      <c r="A1555" t="inlineStr">
        <is>
          <t>A 8549-2023</t>
        </is>
      </c>
      <c r="B1555" s="1" t="n">
        <v>44972</v>
      </c>
      <c r="C1555" s="1" t="n">
        <v>45192</v>
      </c>
      <c r="D1555" t="inlineStr">
        <is>
          <t>VÄSTERBOTTENS LÄN</t>
        </is>
      </c>
      <c r="E1555" t="inlineStr">
        <is>
          <t>SKELLEFTEÅ</t>
        </is>
      </c>
      <c r="G1555" t="n">
        <v>3.2</v>
      </c>
      <c r="H1555" t="n">
        <v>0</v>
      </c>
      <c r="I1555" t="n">
        <v>0</v>
      </c>
      <c r="J1555" t="n">
        <v>0</v>
      </c>
      <c r="K1555" t="n">
        <v>0</v>
      </c>
      <c r="L1555" t="n">
        <v>0</v>
      </c>
      <c r="M1555" t="n">
        <v>0</v>
      </c>
      <c r="N1555" t="n">
        <v>0</v>
      </c>
      <c r="O1555" t="n">
        <v>0</v>
      </c>
      <c r="P1555" t="n">
        <v>0</v>
      </c>
      <c r="Q1555" t="n">
        <v>0</v>
      </c>
      <c r="R1555" s="2" t="inlineStr"/>
    </row>
    <row r="1556" ht="15" customHeight="1">
      <c r="A1556" t="inlineStr">
        <is>
          <t>A 8563-2023</t>
        </is>
      </c>
      <c r="B1556" s="1" t="n">
        <v>44972</v>
      </c>
      <c r="C1556" s="1" t="n">
        <v>45192</v>
      </c>
      <c r="D1556" t="inlineStr">
        <is>
          <t>VÄSTERBOTTENS LÄN</t>
        </is>
      </c>
      <c r="E1556" t="inlineStr">
        <is>
          <t>SKELLEFTEÅ</t>
        </is>
      </c>
      <c r="G1556" t="n">
        <v>0.7</v>
      </c>
      <c r="H1556" t="n">
        <v>0</v>
      </c>
      <c r="I1556" t="n">
        <v>0</v>
      </c>
      <c r="J1556" t="n">
        <v>0</v>
      </c>
      <c r="K1556" t="n">
        <v>0</v>
      </c>
      <c r="L1556" t="n">
        <v>0</v>
      </c>
      <c r="M1556" t="n">
        <v>0</v>
      </c>
      <c r="N1556" t="n">
        <v>0</v>
      </c>
      <c r="O1556" t="n">
        <v>0</v>
      </c>
      <c r="P1556" t="n">
        <v>0</v>
      </c>
      <c r="Q1556" t="n">
        <v>0</v>
      </c>
      <c r="R1556" s="2" t="inlineStr"/>
    </row>
    <row r="1557" ht="15" customHeight="1">
      <c r="A1557" t="inlineStr">
        <is>
          <t>A 8478-2023</t>
        </is>
      </c>
      <c r="B1557" s="1" t="n">
        <v>44972</v>
      </c>
      <c r="C1557" s="1" t="n">
        <v>45192</v>
      </c>
      <c r="D1557" t="inlineStr">
        <is>
          <t>VÄSTERBOTTENS LÄN</t>
        </is>
      </c>
      <c r="E1557" t="inlineStr">
        <is>
          <t>SKELLEFTEÅ</t>
        </is>
      </c>
      <c r="G1557" t="n">
        <v>6.2</v>
      </c>
      <c r="H1557" t="n">
        <v>0</v>
      </c>
      <c r="I1557" t="n">
        <v>0</v>
      </c>
      <c r="J1557" t="n">
        <v>0</v>
      </c>
      <c r="K1557" t="n">
        <v>0</v>
      </c>
      <c r="L1557" t="n">
        <v>0</v>
      </c>
      <c r="M1557" t="n">
        <v>0</v>
      </c>
      <c r="N1557" t="n">
        <v>0</v>
      </c>
      <c r="O1557" t="n">
        <v>0</v>
      </c>
      <c r="P1557" t="n">
        <v>0</v>
      </c>
      <c r="Q1557" t="n">
        <v>0</v>
      </c>
      <c r="R1557" s="2" t="inlineStr"/>
    </row>
    <row r="1558" ht="15" customHeight="1">
      <c r="A1558" t="inlineStr">
        <is>
          <t>A 8477-2023</t>
        </is>
      </c>
      <c r="B1558" s="1" t="n">
        <v>44972</v>
      </c>
      <c r="C1558" s="1" t="n">
        <v>45192</v>
      </c>
      <c r="D1558" t="inlineStr">
        <is>
          <t>VÄSTERBOTTENS LÄN</t>
        </is>
      </c>
      <c r="E1558" t="inlineStr">
        <is>
          <t>SKELLEFTEÅ</t>
        </is>
      </c>
      <c r="G1558" t="n">
        <v>7.6</v>
      </c>
      <c r="H1558" t="n">
        <v>0</v>
      </c>
      <c r="I1558" t="n">
        <v>0</v>
      </c>
      <c r="J1558" t="n">
        <v>0</v>
      </c>
      <c r="K1558" t="n">
        <v>0</v>
      </c>
      <c r="L1558" t="n">
        <v>0</v>
      </c>
      <c r="M1558" t="n">
        <v>0</v>
      </c>
      <c r="N1558" t="n">
        <v>0</v>
      </c>
      <c r="O1558" t="n">
        <v>0</v>
      </c>
      <c r="P1558" t="n">
        <v>0</v>
      </c>
      <c r="Q1558" t="n">
        <v>0</v>
      </c>
      <c r="R1558" s="2" t="inlineStr"/>
    </row>
    <row r="1559" ht="15" customHeight="1">
      <c r="A1559" t="inlineStr">
        <is>
          <t>A 8480-2023</t>
        </is>
      </c>
      <c r="B1559" s="1" t="n">
        <v>44972</v>
      </c>
      <c r="C1559" s="1" t="n">
        <v>45192</v>
      </c>
      <c r="D1559" t="inlineStr">
        <is>
          <t>VÄSTERBOTTENS LÄN</t>
        </is>
      </c>
      <c r="E1559" t="inlineStr">
        <is>
          <t>SKELLEFTEÅ</t>
        </is>
      </c>
      <c r="G1559" t="n">
        <v>0.9</v>
      </c>
      <c r="H1559" t="n">
        <v>0</v>
      </c>
      <c r="I1559" t="n">
        <v>0</v>
      </c>
      <c r="J1559" t="n">
        <v>0</v>
      </c>
      <c r="K1559" t="n">
        <v>0</v>
      </c>
      <c r="L1559" t="n">
        <v>0</v>
      </c>
      <c r="M1559" t="n">
        <v>0</v>
      </c>
      <c r="N1559" t="n">
        <v>0</v>
      </c>
      <c r="O1559" t="n">
        <v>0</v>
      </c>
      <c r="P1559" t="n">
        <v>0</v>
      </c>
      <c r="Q1559" t="n">
        <v>0</v>
      </c>
      <c r="R1559" s="2" t="inlineStr"/>
    </row>
    <row r="1560" ht="15" customHeight="1">
      <c r="A1560" t="inlineStr">
        <is>
          <t>A 8029-2023</t>
        </is>
      </c>
      <c r="B1560" s="1" t="n">
        <v>44973</v>
      </c>
      <c r="C1560" s="1" t="n">
        <v>45192</v>
      </c>
      <c r="D1560" t="inlineStr">
        <is>
          <t>VÄSTERBOTTENS LÄN</t>
        </is>
      </c>
      <c r="E1560" t="inlineStr">
        <is>
          <t>SKELLEFTEÅ</t>
        </is>
      </c>
      <c r="F1560" t="inlineStr">
        <is>
          <t>SCA</t>
        </is>
      </c>
      <c r="G1560" t="n">
        <v>7.8</v>
      </c>
      <c r="H1560" t="n">
        <v>0</v>
      </c>
      <c r="I1560" t="n">
        <v>0</v>
      </c>
      <c r="J1560" t="n">
        <v>0</v>
      </c>
      <c r="K1560" t="n">
        <v>0</v>
      </c>
      <c r="L1560" t="n">
        <v>0</v>
      </c>
      <c r="M1560" t="n">
        <v>0</v>
      </c>
      <c r="N1560" t="n">
        <v>0</v>
      </c>
      <c r="O1560" t="n">
        <v>0</v>
      </c>
      <c r="P1560" t="n">
        <v>0</v>
      </c>
      <c r="Q1560" t="n">
        <v>0</v>
      </c>
      <c r="R1560" s="2" t="inlineStr"/>
    </row>
    <row r="1561" ht="15" customHeight="1">
      <c r="A1561" t="inlineStr">
        <is>
          <t>A 8930-2023</t>
        </is>
      </c>
      <c r="B1561" s="1" t="n">
        <v>44974</v>
      </c>
      <c r="C1561" s="1" t="n">
        <v>45192</v>
      </c>
      <c r="D1561" t="inlineStr">
        <is>
          <t>VÄSTERBOTTENS LÄN</t>
        </is>
      </c>
      <c r="E1561" t="inlineStr">
        <is>
          <t>SKELLEFTEÅ</t>
        </is>
      </c>
      <c r="G1561" t="n">
        <v>3.5</v>
      </c>
      <c r="H1561" t="n">
        <v>0</v>
      </c>
      <c r="I1561" t="n">
        <v>0</v>
      </c>
      <c r="J1561" t="n">
        <v>0</v>
      </c>
      <c r="K1561" t="n">
        <v>0</v>
      </c>
      <c r="L1561" t="n">
        <v>0</v>
      </c>
      <c r="M1561" t="n">
        <v>0</v>
      </c>
      <c r="N1561" t="n">
        <v>0</v>
      </c>
      <c r="O1561" t="n">
        <v>0</v>
      </c>
      <c r="P1561" t="n">
        <v>0</v>
      </c>
      <c r="Q1561" t="n">
        <v>0</v>
      </c>
      <c r="R1561" s="2" t="inlineStr"/>
    </row>
    <row r="1562" ht="15" customHeight="1">
      <c r="A1562" t="inlineStr">
        <is>
          <t>A 8952-2023</t>
        </is>
      </c>
      <c r="B1562" s="1" t="n">
        <v>44974</v>
      </c>
      <c r="C1562" s="1" t="n">
        <v>45192</v>
      </c>
      <c r="D1562" t="inlineStr">
        <is>
          <t>VÄSTERBOTTENS LÄN</t>
        </is>
      </c>
      <c r="E1562" t="inlineStr">
        <is>
          <t>SKELLEFTEÅ</t>
        </is>
      </c>
      <c r="G1562" t="n">
        <v>2.5</v>
      </c>
      <c r="H1562" t="n">
        <v>0</v>
      </c>
      <c r="I1562" t="n">
        <v>0</v>
      </c>
      <c r="J1562" t="n">
        <v>0</v>
      </c>
      <c r="K1562" t="n">
        <v>0</v>
      </c>
      <c r="L1562" t="n">
        <v>0</v>
      </c>
      <c r="M1562" t="n">
        <v>0</v>
      </c>
      <c r="N1562" t="n">
        <v>0</v>
      </c>
      <c r="O1562" t="n">
        <v>0</v>
      </c>
      <c r="P1562" t="n">
        <v>0</v>
      </c>
      <c r="Q1562" t="n">
        <v>0</v>
      </c>
      <c r="R1562" s="2" t="inlineStr"/>
    </row>
    <row r="1563" ht="15" customHeight="1">
      <c r="A1563" t="inlineStr">
        <is>
          <t>A 9624-2023</t>
        </is>
      </c>
      <c r="B1563" s="1" t="n">
        <v>44978</v>
      </c>
      <c r="C1563" s="1" t="n">
        <v>45192</v>
      </c>
      <c r="D1563" t="inlineStr">
        <is>
          <t>VÄSTERBOTTENS LÄN</t>
        </is>
      </c>
      <c r="E1563" t="inlineStr">
        <is>
          <t>SKELLEFTEÅ</t>
        </is>
      </c>
      <c r="G1563" t="n">
        <v>0.7</v>
      </c>
      <c r="H1563" t="n">
        <v>0</v>
      </c>
      <c r="I1563" t="n">
        <v>0</v>
      </c>
      <c r="J1563" t="n">
        <v>0</v>
      </c>
      <c r="K1563" t="n">
        <v>0</v>
      </c>
      <c r="L1563" t="n">
        <v>0</v>
      </c>
      <c r="M1563" t="n">
        <v>0</v>
      </c>
      <c r="N1563" t="n">
        <v>0</v>
      </c>
      <c r="O1563" t="n">
        <v>0</v>
      </c>
      <c r="P1563" t="n">
        <v>0</v>
      </c>
      <c r="Q1563" t="n">
        <v>0</v>
      </c>
      <c r="R1563" s="2" t="inlineStr"/>
    </row>
    <row r="1564" ht="15" customHeight="1">
      <c r="A1564" t="inlineStr">
        <is>
          <t>A 9652-2023</t>
        </is>
      </c>
      <c r="B1564" s="1" t="n">
        <v>44978</v>
      </c>
      <c r="C1564" s="1" t="n">
        <v>45192</v>
      </c>
      <c r="D1564" t="inlineStr">
        <is>
          <t>VÄSTERBOTTENS LÄN</t>
        </is>
      </c>
      <c r="E1564" t="inlineStr">
        <is>
          <t>SKELLEFTEÅ</t>
        </is>
      </c>
      <c r="G1564" t="n">
        <v>1.3</v>
      </c>
      <c r="H1564" t="n">
        <v>0</v>
      </c>
      <c r="I1564" t="n">
        <v>0</v>
      </c>
      <c r="J1564" t="n">
        <v>0</v>
      </c>
      <c r="K1564" t="n">
        <v>0</v>
      </c>
      <c r="L1564" t="n">
        <v>0</v>
      </c>
      <c r="M1564" t="n">
        <v>0</v>
      </c>
      <c r="N1564" t="n">
        <v>0</v>
      </c>
      <c r="O1564" t="n">
        <v>0</v>
      </c>
      <c r="P1564" t="n">
        <v>0</v>
      </c>
      <c r="Q1564" t="n">
        <v>0</v>
      </c>
      <c r="R1564" s="2" t="inlineStr"/>
    </row>
    <row r="1565" ht="15" customHeight="1">
      <c r="A1565" t="inlineStr">
        <is>
          <t>A 9740-2023</t>
        </is>
      </c>
      <c r="B1565" s="1" t="n">
        <v>44978</v>
      </c>
      <c r="C1565" s="1" t="n">
        <v>45192</v>
      </c>
      <c r="D1565" t="inlineStr">
        <is>
          <t>VÄSTERBOTTENS LÄN</t>
        </is>
      </c>
      <c r="E1565" t="inlineStr">
        <is>
          <t>SKELLEFTEÅ</t>
        </is>
      </c>
      <c r="G1565" t="n">
        <v>1.1</v>
      </c>
      <c r="H1565" t="n">
        <v>0</v>
      </c>
      <c r="I1565" t="n">
        <v>0</v>
      </c>
      <c r="J1565" t="n">
        <v>0</v>
      </c>
      <c r="K1565" t="n">
        <v>0</v>
      </c>
      <c r="L1565" t="n">
        <v>0</v>
      </c>
      <c r="M1565" t="n">
        <v>0</v>
      </c>
      <c r="N1565" t="n">
        <v>0</v>
      </c>
      <c r="O1565" t="n">
        <v>0</v>
      </c>
      <c r="P1565" t="n">
        <v>0</v>
      </c>
      <c r="Q1565" t="n">
        <v>0</v>
      </c>
      <c r="R1565" s="2" t="inlineStr"/>
    </row>
    <row r="1566" ht="15" customHeight="1">
      <c r="A1566" t="inlineStr">
        <is>
          <t>A 9619-2023</t>
        </is>
      </c>
      <c r="B1566" s="1" t="n">
        <v>44978</v>
      </c>
      <c r="C1566" s="1" t="n">
        <v>45192</v>
      </c>
      <c r="D1566" t="inlineStr">
        <is>
          <t>VÄSTERBOTTENS LÄN</t>
        </is>
      </c>
      <c r="E1566" t="inlineStr">
        <is>
          <t>SKELLEFTEÅ</t>
        </is>
      </c>
      <c r="G1566" t="n">
        <v>4.2</v>
      </c>
      <c r="H1566" t="n">
        <v>0</v>
      </c>
      <c r="I1566" t="n">
        <v>0</v>
      </c>
      <c r="J1566" t="n">
        <v>0</v>
      </c>
      <c r="K1566" t="n">
        <v>0</v>
      </c>
      <c r="L1566" t="n">
        <v>0</v>
      </c>
      <c r="M1566" t="n">
        <v>0</v>
      </c>
      <c r="N1566" t="n">
        <v>0</v>
      </c>
      <c r="O1566" t="n">
        <v>0</v>
      </c>
      <c r="P1566" t="n">
        <v>0</v>
      </c>
      <c r="Q1566" t="n">
        <v>0</v>
      </c>
      <c r="R1566" s="2" t="inlineStr"/>
    </row>
    <row r="1567" ht="15" customHeight="1">
      <c r="A1567" t="inlineStr">
        <is>
          <t>A 9980-2023</t>
        </is>
      </c>
      <c r="B1567" s="1" t="n">
        <v>44979</v>
      </c>
      <c r="C1567" s="1" t="n">
        <v>45192</v>
      </c>
      <c r="D1567" t="inlineStr">
        <is>
          <t>VÄSTERBOTTENS LÄN</t>
        </is>
      </c>
      <c r="E1567" t="inlineStr">
        <is>
          <t>SKELLEFTEÅ</t>
        </is>
      </c>
      <c r="G1567" t="n">
        <v>4.1</v>
      </c>
      <c r="H1567" t="n">
        <v>0</v>
      </c>
      <c r="I1567" t="n">
        <v>0</v>
      </c>
      <c r="J1567" t="n">
        <v>0</v>
      </c>
      <c r="K1567" t="n">
        <v>0</v>
      </c>
      <c r="L1567" t="n">
        <v>0</v>
      </c>
      <c r="M1567" t="n">
        <v>0</v>
      </c>
      <c r="N1567" t="n">
        <v>0</v>
      </c>
      <c r="O1567" t="n">
        <v>0</v>
      </c>
      <c r="P1567" t="n">
        <v>0</v>
      </c>
      <c r="Q1567" t="n">
        <v>0</v>
      </c>
      <c r="R1567" s="2" t="inlineStr"/>
    </row>
    <row r="1568" ht="15" customHeight="1">
      <c r="A1568" t="inlineStr">
        <is>
          <t>A 9081-2023</t>
        </is>
      </c>
      <c r="B1568" s="1" t="n">
        <v>44979</v>
      </c>
      <c r="C1568" s="1" t="n">
        <v>45192</v>
      </c>
      <c r="D1568" t="inlineStr">
        <is>
          <t>VÄSTERBOTTENS LÄN</t>
        </is>
      </c>
      <c r="E1568" t="inlineStr">
        <is>
          <t>SKELLEFTEÅ</t>
        </is>
      </c>
      <c r="G1568" t="n">
        <v>3.2</v>
      </c>
      <c r="H1568" t="n">
        <v>0</v>
      </c>
      <c r="I1568" t="n">
        <v>0</v>
      </c>
      <c r="J1568" t="n">
        <v>0</v>
      </c>
      <c r="K1568" t="n">
        <v>0</v>
      </c>
      <c r="L1568" t="n">
        <v>0</v>
      </c>
      <c r="M1568" t="n">
        <v>0</v>
      </c>
      <c r="N1568" t="n">
        <v>0</v>
      </c>
      <c r="O1568" t="n">
        <v>0</v>
      </c>
      <c r="P1568" t="n">
        <v>0</v>
      </c>
      <c r="Q1568" t="n">
        <v>0</v>
      </c>
      <c r="R1568" s="2" t="inlineStr"/>
    </row>
    <row r="1569" ht="15" customHeight="1">
      <c r="A1569" t="inlineStr">
        <is>
          <t>A 9080-2023</t>
        </is>
      </c>
      <c r="B1569" s="1" t="n">
        <v>44979</v>
      </c>
      <c r="C1569" s="1" t="n">
        <v>45192</v>
      </c>
      <c r="D1569" t="inlineStr">
        <is>
          <t>VÄSTERBOTTENS LÄN</t>
        </is>
      </c>
      <c r="E1569" t="inlineStr">
        <is>
          <t>SKELLEFTEÅ</t>
        </is>
      </c>
      <c r="G1569" t="n">
        <v>6.6</v>
      </c>
      <c r="H1569" t="n">
        <v>0</v>
      </c>
      <c r="I1569" t="n">
        <v>0</v>
      </c>
      <c r="J1569" t="n">
        <v>0</v>
      </c>
      <c r="K1569" t="n">
        <v>0</v>
      </c>
      <c r="L1569" t="n">
        <v>0</v>
      </c>
      <c r="M1569" t="n">
        <v>0</v>
      </c>
      <c r="N1569" t="n">
        <v>0</v>
      </c>
      <c r="O1569" t="n">
        <v>0</v>
      </c>
      <c r="P1569" t="n">
        <v>0</v>
      </c>
      <c r="Q1569" t="n">
        <v>0</v>
      </c>
      <c r="R1569" s="2" t="inlineStr"/>
    </row>
    <row r="1570" ht="15" customHeight="1">
      <c r="A1570" t="inlineStr">
        <is>
          <t>A 9983-2023</t>
        </is>
      </c>
      <c r="B1570" s="1" t="n">
        <v>44979</v>
      </c>
      <c r="C1570" s="1" t="n">
        <v>45192</v>
      </c>
      <c r="D1570" t="inlineStr">
        <is>
          <t>VÄSTERBOTTENS LÄN</t>
        </is>
      </c>
      <c r="E1570" t="inlineStr">
        <is>
          <t>SKELLEFTEÅ</t>
        </is>
      </c>
      <c r="G1570" t="n">
        <v>2.9</v>
      </c>
      <c r="H1570" t="n">
        <v>0</v>
      </c>
      <c r="I1570" t="n">
        <v>0</v>
      </c>
      <c r="J1570" t="n">
        <v>0</v>
      </c>
      <c r="K1570" t="n">
        <v>0</v>
      </c>
      <c r="L1570" t="n">
        <v>0</v>
      </c>
      <c r="M1570" t="n">
        <v>0</v>
      </c>
      <c r="N1570" t="n">
        <v>0</v>
      </c>
      <c r="O1570" t="n">
        <v>0</v>
      </c>
      <c r="P1570" t="n">
        <v>0</v>
      </c>
      <c r="Q1570" t="n">
        <v>0</v>
      </c>
      <c r="R1570" s="2" t="inlineStr"/>
    </row>
    <row r="1571" ht="15" customHeight="1">
      <c r="A1571" t="inlineStr">
        <is>
          <t>A 10172-2023</t>
        </is>
      </c>
      <c r="B1571" s="1" t="n">
        <v>44979</v>
      </c>
      <c r="C1571" s="1" t="n">
        <v>45192</v>
      </c>
      <c r="D1571" t="inlineStr">
        <is>
          <t>VÄSTERBOTTENS LÄN</t>
        </is>
      </c>
      <c r="E1571" t="inlineStr">
        <is>
          <t>SKELLEFTEÅ</t>
        </is>
      </c>
      <c r="G1571" t="n">
        <v>0.7</v>
      </c>
      <c r="H1571" t="n">
        <v>0</v>
      </c>
      <c r="I1571" t="n">
        <v>0</v>
      </c>
      <c r="J1571" t="n">
        <v>0</v>
      </c>
      <c r="K1571" t="n">
        <v>0</v>
      </c>
      <c r="L1571" t="n">
        <v>0</v>
      </c>
      <c r="M1571" t="n">
        <v>0</v>
      </c>
      <c r="N1571" t="n">
        <v>0</v>
      </c>
      <c r="O1571" t="n">
        <v>0</v>
      </c>
      <c r="P1571" t="n">
        <v>0</v>
      </c>
      <c r="Q1571" t="n">
        <v>0</v>
      </c>
      <c r="R1571" s="2" t="inlineStr"/>
    </row>
    <row r="1572" ht="15" customHeight="1">
      <c r="A1572" t="inlineStr">
        <is>
          <t>A 9027-2023</t>
        </is>
      </c>
      <c r="B1572" s="1" t="n">
        <v>44979</v>
      </c>
      <c r="C1572" s="1" t="n">
        <v>45192</v>
      </c>
      <c r="D1572" t="inlineStr">
        <is>
          <t>VÄSTERBOTTENS LÄN</t>
        </is>
      </c>
      <c r="E1572" t="inlineStr">
        <is>
          <t>SKELLEFTEÅ</t>
        </is>
      </c>
      <c r="G1572" t="n">
        <v>3.7</v>
      </c>
      <c r="H1572" t="n">
        <v>0</v>
      </c>
      <c r="I1572" t="n">
        <v>0</v>
      </c>
      <c r="J1572" t="n">
        <v>0</v>
      </c>
      <c r="K1572" t="n">
        <v>0</v>
      </c>
      <c r="L1572" t="n">
        <v>0</v>
      </c>
      <c r="M1572" t="n">
        <v>0</v>
      </c>
      <c r="N1572" t="n">
        <v>0</v>
      </c>
      <c r="O1572" t="n">
        <v>0</v>
      </c>
      <c r="P1572" t="n">
        <v>0</v>
      </c>
      <c r="Q1572" t="n">
        <v>0</v>
      </c>
      <c r="R1572" s="2" t="inlineStr"/>
    </row>
    <row r="1573" ht="15" customHeight="1">
      <c r="A1573" t="inlineStr">
        <is>
          <t>A 9982-2023</t>
        </is>
      </c>
      <c r="B1573" s="1" t="n">
        <v>44979</v>
      </c>
      <c r="C1573" s="1" t="n">
        <v>45192</v>
      </c>
      <c r="D1573" t="inlineStr">
        <is>
          <t>VÄSTERBOTTENS LÄN</t>
        </is>
      </c>
      <c r="E1573" t="inlineStr">
        <is>
          <t>SKELLEFTEÅ</t>
        </is>
      </c>
      <c r="G1573" t="n">
        <v>0.7</v>
      </c>
      <c r="H1573" t="n">
        <v>0</v>
      </c>
      <c r="I1573" t="n">
        <v>0</v>
      </c>
      <c r="J1573" t="n">
        <v>0</v>
      </c>
      <c r="K1573" t="n">
        <v>0</v>
      </c>
      <c r="L1573" t="n">
        <v>0</v>
      </c>
      <c r="M1573" t="n">
        <v>0</v>
      </c>
      <c r="N1573" t="n">
        <v>0</v>
      </c>
      <c r="O1573" t="n">
        <v>0</v>
      </c>
      <c r="P1573" t="n">
        <v>0</v>
      </c>
      <c r="Q1573" t="n">
        <v>0</v>
      </c>
      <c r="R1573" s="2" t="inlineStr"/>
    </row>
    <row r="1574" ht="15" customHeight="1">
      <c r="A1574" t="inlineStr">
        <is>
          <t>A 9345-2023</t>
        </is>
      </c>
      <c r="B1574" s="1" t="n">
        <v>44980</v>
      </c>
      <c r="C1574" s="1" t="n">
        <v>45192</v>
      </c>
      <c r="D1574" t="inlineStr">
        <is>
          <t>VÄSTERBOTTENS LÄN</t>
        </is>
      </c>
      <c r="E1574" t="inlineStr">
        <is>
          <t>SKELLEFTEÅ</t>
        </is>
      </c>
      <c r="G1574" t="n">
        <v>4.4</v>
      </c>
      <c r="H1574" t="n">
        <v>0</v>
      </c>
      <c r="I1574" t="n">
        <v>0</v>
      </c>
      <c r="J1574" t="n">
        <v>0</v>
      </c>
      <c r="K1574" t="n">
        <v>0</v>
      </c>
      <c r="L1574" t="n">
        <v>0</v>
      </c>
      <c r="M1574" t="n">
        <v>0</v>
      </c>
      <c r="N1574" t="n">
        <v>0</v>
      </c>
      <c r="O1574" t="n">
        <v>0</v>
      </c>
      <c r="P1574" t="n">
        <v>0</v>
      </c>
      <c r="Q1574" t="n">
        <v>0</v>
      </c>
      <c r="R1574" s="2" t="inlineStr"/>
    </row>
    <row r="1575" ht="15" customHeight="1">
      <c r="A1575" t="inlineStr">
        <is>
          <t>A 9343-2023</t>
        </is>
      </c>
      <c r="B1575" s="1" t="n">
        <v>44980</v>
      </c>
      <c r="C1575" s="1" t="n">
        <v>45192</v>
      </c>
      <c r="D1575" t="inlineStr">
        <is>
          <t>VÄSTERBOTTENS LÄN</t>
        </is>
      </c>
      <c r="E1575" t="inlineStr">
        <is>
          <t>SKELLEFTEÅ</t>
        </is>
      </c>
      <c r="G1575" t="n">
        <v>2.6</v>
      </c>
      <c r="H1575" t="n">
        <v>0</v>
      </c>
      <c r="I1575" t="n">
        <v>0</v>
      </c>
      <c r="J1575" t="n">
        <v>0</v>
      </c>
      <c r="K1575" t="n">
        <v>0</v>
      </c>
      <c r="L1575" t="n">
        <v>0</v>
      </c>
      <c r="M1575" t="n">
        <v>0</v>
      </c>
      <c r="N1575" t="n">
        <v>0</v>
      </c>
      <c r="O1575" t="n">
        <v>0</v>
      </c>
      <c r="P1575" t="n">
        <v>0</v>
      </c>
      <c r="Q1575" t="n">
        <v>0</v>
      </c>
      <c r="R1575" s="2" t="inlineStr"/>
    </row>
    <row r="1576" ht="15" customHeight="1">
      <c r="A1576" t="inlineStr">
        <is>
          <t>A 9342-2023</t>
        </is>
      </c>
      <c r="B1576" s="1" t="n">
        <v>44980</v>
      </c>
      <c r="C1576" s="1" t="n">
        <v>45192</v>
      </c>
      <c r="D1576" t="inlineStr">
        <is>
          <t>VÄSTERBOTTENS LÄN</t>
        </is>
      </c>
      <c r="E1576" t="inlineStr">
        <is>
          <t>SKELLEFTEÅ</t>
        </is>
      </c>
      <c r="G1576" t="n">
        <v>1.6</v>
      </c>
      <c r="H1576" t="n">
        <v>0</v>
      </c>
      <c r="I1576" t="n">
        <v>0</v>
      </c>
      <c r="J1576" t="n">
        <v>0</v>
      </c>
      <c r="K1576" t="n">
        <v>0</v>
      </c>
      <c r="L1576" t="n">
        <v>0</v>
      </c>
      <c r="M1576" t="n">
        <v>0</v>
      </c>
      <c r="N1576" t="n">
        <v>0</v>
      </c>
      <c r="O1576" t="n">
        <v>0</v>
      </c>
      <c r="P1576" t="n">
        <v>0</v>
      </c>
      <c r="Q1576" t="n">
        <v>0</v>
      </c>
      <c r="R1576" s="2" t="inlineStr"/>
    </row>
    <row r="1577" ht="15" customHeight="1">
      <c r="A1577" t="inlineStr">
        <is>
          <t>A 10570-2023</t>
        </is>
      </c>
      <c r="B1577" s="1" t="n">
        <v>44981</v>
      </c>
      <c r="C1577" s="1" t="n">
        <v>45192</v>
      </c>
      <c r="D1577" t="inlineStr">
        <is>
          <t>VÄSTERBOTTENS LÄN</t>
        </is>
      </c>
      <c r="E1577" t="inlineStr">
        <is>
          <t>SKELLEFTEÅ</t>
        </is>
      </c>
      <c r="G1577" t="n">
        <v>3.5</v>
      </c>
      <c r="H1577" t="n">
        <v>0</v>
      </c>
      <c r="I1577" t="n">
        <v>0</v>
      </c>
      <c r="J1577" t="n">
        <v>0</v>
      </c>
      <c r="K1577" t="n">
        <v>0</v>
      </c>
      <c r="L1577" t="n">
        <v>0</v>
      </c>
      <c r="M1577" t="n">
        <v>0</v>
      </c>
      <c r="N1577" t="n">
        <v>0</v>
      </c>
      <c r="O1577" t="n">
        <v>0</v>
      </c>
      <c r="P1577" t="n">
        <v>0</v>
      </c>
      <c r="Q1577" t="n">
        <v>0</v>
      </c>
      <c r="R1577" s="2" t="inlineStr"/>
    </row>
    <row r="1578" ht="15" customHeight="1">
      <c r="A1578" t="inlineStr">
        <is>
          <t>A 10567-2023</t>
        </is>
      </c>
      <c r="B1578" s="1" t="n">
        <v>44981</v>
      </c>
      <c r="C1578" s="1" t="n">
        <v>45192</v>
      </c>
      <c r="D1578" t="inlineStr">
        <is>
          <t>VÄSTERBOTTENS LÄN</t>
        </is>
      </c>
      <c r="E1578" t="inlineStr">
        <is>
          <t>SKELLEFTEÅ</t>
        </is>
      </c>
      <c r="G1578" t="n">
        <v>7.8</v>
      </c>
      <c r="H1578" t="n">
        <v>0</v>
      </c>
      <c r="I1578" t="n">
        <v>0</v>
      </c>
      <c r="J1578" t="n">
        <v>0</v>
      </c>
      <c r="K1578" t="n">
        <v>0</v>
      </c>
      <c r="L1578" t="n">
        <v>0</v>
      </c>
      <c r="M1578" t="n">
        <v>0</v>
      </c>
      <c r="N1578" t="n">
        <v>0</v>
      </c>
      <c r="O1578" t="n">
        <v>0</v>
      </c>
      <c r="P1578" t="n">
        <v>0</v>
      </c>
      <c r="Q1578" t="n">
        <v>0</v>
      </c>
      <c r="R1578" s="2" t="inlineStr"/>
    </row>
    <row r="1579" ht="15" customHeight="1">
      <c r="A1579" t="inlineStr">
        <is>
          <t>A 9402-2023</t>
        </is>
      </c>
      <c r="B1579" s="1" t="n">
        <v>44981</v>
      </c>
      <c r="C1579" s="1" t="n">
        <v>45192</v>
      </c>
      <c r="D1579" t="inlineStr">
        <is>
          <t>VÄSTERBOTTENS LÄN</t>
        </is>
      </c>
      <c r="E1579" t="inlineStr">
        <is>
          <t>SKELLEFTEÅ</t>
        </is>
      </c>
      <c r="G1579" t="n">
        <v>6</v>
      </c>
      <c r="H1579" t="n">
        <v>0</v>
      </c>
      <c r="I1579" t="n">
        <v>0</v>
      </c>
      <c r="J1579" t="n">
        <v>0</v>
      </c>
      <c r="K1579" t="n">
        <v>0</v>
      </c>
      <c r="L1579" t="n">
        <v>0</v>
      </c>
      <c r="M1579" t="n">
        <v>0</v>
      </c>
      <c r="N1579" t="n">
        <v>0</v>
      </c>
      <c r="O1579" t="n">
        <v>0</v>
      </c>
      <c r="P1579" t="n">
        <v>0</v>
      </c>
      <c r="Q1579" t="n">
        <v>0</v>
      </c>
      <c r="R1579" s="2" t="inlineStr"/>
    </row>
    <row r="1580" ht="15" customHeight="1">
      <c r="A1580" t="inlineStr">
        <is>
          <t>A 10568-2023</t>
        </is>
      </c>
      <c r="B1580" s="1" t="n">
        <v>44981</v>
      </c>
      <c r="C1580" s="1" t="n">
        <v>45192</v>
      </c>
      <c r="D1580" t="inlineStr">
        <is>
          <t>VÄSTERBOTTENS LÄN</t>
        </is>
      </c>
      <c r="E1580" t="inlineStr">
        <is>
          <t>SKELLEFTEÅ</t>
        </is>
      </c>
      <c r="G1580" t="n">
        <v>2</v>
      </c>
      <c r="H1580" t="n">
        <v>0</v>
      </c>
      <c r="I1580" t="n">
        <v>0</v>
      </c>
      <c r="J1580" t="n">
        <v>0</v>
      </c>
      <c r="K1580" t="n">
        <v>0</v>
      </c>
      <c r="L1580" t="n">
        <v>0</v>
      </c>
      <c r="M1580" t="n">
        <v>0</v>
      </c>
      <c r="N1580" t="n">
        <v>0</v>
      </c>
      <c r="O1580" t="n">
        <v>0</v>
      </c>
      <c r="P1580" t="n">
        <v>0</v>
      </c>
      <c r="Q1580" t="n">
        <v>0</v>
      </c>
      <c r="R1580" s="2" t="inlineStr"/>
    </row>
    <row r="1581" ht="15" customHeight="1">
      <c r="A1581" t="inlineStr">
        <is>
          <t>A 10696-2023</t>
        </is>
      </c>
      <c r="B1581" s="1" t="n">
        <v>44984</v>
      </c>
      <c r="C1581" s="1" t="n">
        <v>45192</v>
      </c>
      <c r="D1581" t="inlineStr">
        <is>
          <t>VÄSTERBOTTENS LÄN</t>
        </is>
      </c>
      <c r="E1581" t="inlineStr">
        <is>
          <t>SKELLEFTEÅ</t>
        </is>
      </c>
      <c r="G1581" t="n">
        <v>3.3</v>
      </c>
      <c r="H1581" t="n">
        <v>0</v>
      </c>
      <c r="I1581" t="n">
        <v>0</v>
      </c>
      <c r="J1581" t="n">
        <v>0</v>
      </c>
      <c r="K1581" t="n">
        <v>0</v>
      </c>
      <c r="L1581" t="n">
        <v>0</v>
      </c>
      <c r="M1581" t="n">
        <v>0</v>
      </c>
      <c r="N1581" t="n">
        <v>0</v>
      </c>
      <c r="O1581" t="n">
        <v>0</v>
      </c>
      <c r="P1581" t="n">
        <v>0</v>
      </c>
      <c r="Q1581" t="n">
        <v>0</v>
      </c>
      <c r="R1581" s="2" t="inlineStr"/>
    </row>
    <row r="1582" ht="15" customHeight="1">
      <c r="A1582" t="inlineStr">
        <is>
          <t>A 10647-2023</t>
        </is>
      </c>
      <c r="B1582" s="1" t="n">
        <v>44984</v>
      </c>
      <c r="C1582" s="1" t="n">
        <v>45192</v>
      </c>
      <c r="D1582" t="inlineStr">
        <is>
          <t>VÄSTERBOTTENS LÄN</t>
        </is>
      </c>
      <c r="E1582" t="inlineStr">
        <is>
          <t>SKELLEFTEÅ</t>
        </is>
      </c>
      <c r="G1582" t="n">
        <v>2.9</v>
      </c>
      <c r="H1582" t="n">
        <v>0</v>
      </c>
      <c r="I1582" t="n">
        <v>0</v>
      </c>
      <c r="J1582" t="n">
        <v>0</v>
      </c>
      <c r="K1582" t="n">
        <v>0</v>
      </c>
      <c r="L1582" t="n">
        <v>0</v>
      </c>
      <c r="M1582" t="n">
        <v>0</v>
      </c>
      <c r="N1582" t="n">
        <v>0</v>
      </c>
      <c r="O1582" t="n">
        <v>0</v>
      </c>
      <c r="P1582" t="n">
        <v>0</v>
      </c>
      <c r="Q1582" t="n">
        <v>0</v>
      </c>
      <c r="R1582" s="2" t="inlineStr"/>
    </row>
    <row r="1583" ht="15" customHeight="1">
      <c r="A1583" t="inlineStr">
        <is>
          <t>A 10073-2023</t>
        </is>
      </c>
      <c r="B1583" s="1" t="n">
        <v>44985</v>
      </c>
      <c r="C1583" s="1" t="n">
        <v>45192</v>
      </c>
      <c r="D1583" t="inlineStr">
        <is>
          <t>VÄSTERBOTTENS LÄN</t>
        </is>
      </c>
      <c r="E1583" t="inlineStr">
        <is>
          <t>SKELLEFTEÅ</t>
        </is>
      </c>
      <c r="G1583" t="n">
        <v>1.4</v>
      </c>
      <c r="H1583" t="n">
        <v>0</v>
      </c>
      <c r="I1583" t="n">
        <v>0</v>
      </c>
      <c r="J1583" t="n">
        <v>0</v>
      </c>
      <c r="K1583" t="n">
        <v>0</v>
      </c>
      <c r="L1583" t="n">
        <v>0</v>
      </c>
      <c r="M1583" t="n">
        <v>0</v>
      </c>
      <c r="N1583" t="n">
        <v>0</v>
      </c>
      <c r="O1583" t="n">
        <v>0</v>
      </c>
      <c r="P1583" t="n">
        <v>0</v>
      </c>
      <c r="Q1583" t="n">
        <v>0</v>
      </c>
      <c r="R1583" s="2" t="inlineStr"/>
    </row>
    <row r="1584" ht="15" customHeight="1">
      <c r="A1584" t="inlineStr">
        <is>
          <t>A 10840-2023</t>
        </is>
      </c>
      <c r="B1584" s="1" t="n">
        <v>44985</v>
      </c>
      <c r="C1584" s="1" t="n">
        <v>45192</v>
      </c>
      <c r="D1584" t="inlineStr">
        <is>
          <t>VÄSTERBOTTENS LÄN</t>
        </is>
      </c>
      <c r="E1584" t="inlineStr">
        <is>
          <t>SKELLEFTEÅ</t>
        </is>
      </c>
      <c r="G1584" t="n">
        <v>2.3</v>
      </c>
      <c r="H1584" t="n">
        <v>0</v>
      </c>
      <c r="I1584" t="n">
        <v>0</v>
      </c>
      <c r="J1584" t="n">
        <v>0</v>
      </c>
      <c r="K1584" t="n">
        <v>0</v>
      </c>
      <c r="L1584" t="n">
        <v>0</v>
      </c>
      <c r="M1584" t="n">
        <v>0</v>
      </c>
      <c r="N1584" t="n">
        <v>0</v>
      </c>
      <c r="O1584" t="n">
        <v>0</v>
      </c>
      <c r="P1584" t="n">
        <v>0</v>
      </c>
      <c r="Q1584" t="n">
        <v>0</v>
      </c>
      <c r="R1584" s="2" t="inlineStr"/>
    </row>
    <row r="1585" ht="15" customHeight="1">
      <c r="A1585" t="inlineStr">
        <is>
          <t>A 10846-2023</t>
        </is>
      </c>
      <c r="B1585" s="1" t="n">
        <v>44985</v>
      </c>
      <c r="C1585" s="1" t="n">
        <v>45192</v>
      </c>
      <c r="D1585" t="inlineStr">
        <is>
          <t>VÄSTERBOTTENS LÄN</t>
        </is>
      </c>
      <c r="E1585" t="inlineStr">
        <is>
          <t>SKELLEFTEÅ</t>
        </is>
      </c>
      <c r="G1585" t="n">
        <v>4.5</v>
      </c>
      <c r="H1585" t="n">
        <v>0</v>
      </c>
      <c r="I1585" t="n">
        <v>0</v>
      </c>
      <c r="J1585" t="n">
        <v>0</v>
      </c>
      <c r="K1585" t="n">
        <v>0</v>
      </c>
      <c r="L1585" t="n">
        <v>0</v>
      </c>
      <c r="M1585" t="n">
        <v>0</v>
      </c>
      <c r="N1585" t="n">
        <v>0</v>
      </c>
      <c r="O1585" t="n">
        <v>0</v>
      </c>
      <c r="P1585" t="n">
        <v>0</v>
      </c>
      <c r="Q1585" t="n">
        <v>0</v>
      </c>
      <c r="R1585" s="2" t="inlineStr"/>
    </row>
    <row r="1586" ht="15" customHeight="1">
      <c r="A1586" t="inlineStr">
        <is>
          <t>A 10852-2023</t>
        </is>
      </c>
      <c r="B1586" s="1" t="n">
        <v>44985</v>
      </c>
      <c r="C1586" s="1" t="n">
        <v>45192</v>
      </c>
      <c r="D1586" t="inlineStr">
        <is>
          <t>VÄSTERBOTTENS LÄN</t>
        </is>
      </c>
      <c r="E1586" t="inlineStr">
        <is>
          <t>SKELLEFTEÅ</t>
        </is>
      </c>
      <c r="G1586" t="n">
        <v>7.5</v>
      </c>
      <c r="H1586" t="n">
        <v>0</v>
      </c>
      <c r="I1586" t="n">
        <v>0</v>
      </c>
      <c r="J1586" t="n">
        <v>0</v>
      </c>
      <c r="K1586" t="n">
        <v>0</v>
      </c>
      <c r="L1586" t="n">
        <v>0</v>
      </c>
      <c r="M1586" t="n">
        <v>0</v>
      </c>
      <c r="N1586" t="n">
        <v>0</v>
      </c>
      <c r="O1586" t="n">
        <v>0</v>
      </c>
      <c r="P1586" t="n">
        <v>0</v>
      </c>
      <c r="Q1586" t="n">
        <v>0</v>
      </c>
      <c r="R1586" s="2" t="inlineStr"/>
    </row>
    <row r="1587" ht="15" customHeight="1">
      <c r="A1587" t="inlineStr">
        <is>
          <t>A 10291-2023</t>
        </is>
      </c>
      <c r="B1587" s="1" t="n">
        <v>44986</v>
      </c>
      <c r="C1587" s="1" t="n">
        <v>45192</v>
      </c>
      <c r="D1587" t="inlineStr">
        <is>
          <t>VÄSTERBOTTENS LÄN</t>
        </is>
      </c>
      <c r="E1587" t="inlineStr">
        <is>
          <t>SKELLEFTEÅ</t>
        </is>
      </c>
      <c r="G1587" t="n">
        <v>0.5</v>
      </c>
      <c r="H1587" t="n">
        <v>0</v>
      </c>
      <c r="I1587" t="n">
        <v>0</v>
      </c>
      <c r="J1587" t="n">
        <v>0</v>
      </c>
      <c r="K1587" t="n">
        <v>0</v>
      </c>
      <c r="L1587" t="n">
        <v>0</v>
      </c>
      <c r="M1587" t="n">
        <v>0</v>
      </c>
      <c r="N1587" t="n">
        <v>0</v>
      </c>
      <c r="O1587" t="n">
        <v>0</v>
      </c>
      <c r="P1587" t="n">
        <v>0</v>
      </c>
      <c r="Q1587" t="n">
        <v>0</v>
      </c>
      <c r="R1587" s="2" t="inlineStr"/>
    </row>
    <row r="1588" ht="15" customHeight="1">
      <c r="A1588" t="inlineStr">
        <is>
          <t>A 11707-2023</t>
        </is>
      </c>
      <c r="B1588" s="1" t="n">
        <v>44992</v>
      </c>
      <c r="C1588" s="1" t="n">
        <v>45192</v>
      </c>
      <c r="D1588" t="inlineStr">
        <is>
          <t>VÄSTERBOTTENS LÄN</t>
        </is>
      </c>
      <c r="E1588" t="inlineStr">
        <is>
          <t>SKELLEFTEÅ</t>
        </is>
      </c>
      <c r="G1588" t="n">
        <v>7.2</v>
      </c>
      <c r="H1588" t="n">
        <v>0</v>
      </c>
      <c r="I1588" t="n">
        <v>0</v>
      </c>
      <c r="J1588" t="n">
        <v>0</v>
      </c>
      <c r="K1588" t="n">
        <v>0</v>
      </c>
      <c r="L1588" t="n">
        <v>0</v>
      </c>
      <c r="M1588" t="n">
        <v>0</v>
      </c>
      <c r="N1588" t="n">
        <v>0</v>
      </c>
      <c r="O1588" t="n">
        <v>0</v>
      </c>
      <c r="P1588" t="n">
        <v>0</v>
      </c>
      <c r="Q1588" t="n">
        <v>0</v>
      </c>
      <c r="R1588" s="2" t="inlineStr"/>
    </row>
    <row r="1589" ht="15" customHeight="1">
      <c r="A1589" t="inlineStr">
        <is>
          <t>A 11963-2023</t>
        </is>
      </c>
      <c r="B1589" s="1" t="n">
        <v>44994</v>
      </c>
      <c r="C1589" s="1" t="n">
        <v>45192</v>
      </c>
      <c r="D1589" t="inlineStr">
        <is>
          <t>VÄSTERBOTTENS LÄN</t>
        </is>
      </c>
      <c r="E1589" t="inlineStr">
        <is>
          <t>SKELLEFTEÅ</t>
        </is>
      </c>
      <c r="G1589" t="n">
        <v>2.8</v>
      </c>
      <c r="H1589" t="n">
        <v>0</v>
      </c>
      <c r="I1589" t="n">
        <v>0</v>
      </c>
      <c r="J1589" t="n">
        <v>0</v>
      </c>
      <c r="K1589" t="n">
        <v>0</v>
      </c>
      <c r="L1589" t="n">
        <v>0</v>
      </c>
      <c r="M1589" t="n">
        <v>0</v>
      </c>
      <c r="N1589" t="n">
        <v>0</v>
      </c>
      <c r="O1589" t="n">
        <v>0</v>
      </c>
      <c r="P1589" t="n">
        <v>0</v>
      </c>
      <c r="Q1589" t="n">
        <v>0</v>
      </c>
      <c r="R1589" s="2" t="inlineStr"/>
    </row>
    <row r="1590" ht="15" customHeight="1">
      <c r="A1590" t="inlineStr">
        <is>
          <t>A 11627-2023</t>
        </is>
      </c>
      <c r="B1590" s="1" t="n">
        <v>44994</v>
      </c>
      <c r="C1590" s="1" t="n">
        <v>45192</v>
      </c>
      <c r="D1590" t="inlineStr">
        <is>
          <t>VÄSTERBOTTENS LÄN</t>
        </is>
      </c>
      <c r="E1590" t="inlineStr">
        <is>
          <t>SKELLEFTEÅ</t>
        </is>
      </c>
      <c r="G1590" t="n">
        <v>16.6</v>
      </c>
      <c r="H1590" t="n">
        <v>0</v>
      </c>
      <c r="I1590" t="n">
        <v>0</v>
      </c>
      <c r="J1590" t="n">
        <v>0</v>
      </c>
      <c r="K1590" t="n">
        <v>0</v>
      </c>
      <c r="L1590" t="n">
        <v>0</v>
      </c>
      <c r="M1590" t="n">
        <v>0</v>
      </c>
      <c r="N1590" t="n">
        <v>0</v>
      </c>
      <c r="O1590" t="n">
        <v>0</v>
      </c>
      <c r="P1590" t="n">
        <v>0</v>
      </c>
      <c r="Q1590" t="n">
        <v>0</v>
      </c>
      <c r="R1590" s="2" t="inlineStr"/>
    </row>
    <row r="1591" ht="15" customHeight="1">
      <c r="A1591" t="inlineStr">
        <is>
          <t>A 11995-2023</t>
        </is>
      </c>
      <c r="B1591" s="1" t="n">
        <v>44994</v>
      </c>
      <c r="C1591" s="1" t="n">
        <v>45192</v>
      </c>
      <c r="D1591" t="inlineStr">
        <is>
          <t>VÄSTERBOTTENS LÄN</t>
        </is>
      </c>
      <c r="E1591" t="inlineStr">
        <is>
          <t>SKELLEFTEÅ</t>
        </is>
      </c>
      <c r="G1591" t="n">
        <v>25</v>
      </c>
      <c r="H1591" t="n">
        <v>0</v>
      </c>
      <c r="I1591" t="n">
        <v>0</v>
      </c>
      <c r="J1591" t="n">
        <v>0</v>
      </c>
      <c r="K1591" t="n">
        <v>0</v>
      </c>
      <c r="L1591" t="n">
        <v>0</v>
      </c>
      <c r="M1591" t="n">
        <v>0</v>
      </c>
      <c r="N1591" t="n">
        <v>0</v>
      </c>
      <c r="O1591" t="n">
        <v>0</v>
      </c>
      <c r="P1591" t="n">
        <v>0</v>
      </c>
      <c r="Q1591" t="n">
        <v>0</v>
      </c>
      <c r="R1591" s="2" t="inlineStr"/>
    </row>
    <row r="1592" ht="15" customHeight="1">
      <c r="A1592" t="inlineStr">
        <is>
          <t>A 11973-2023</t>
        </is>
      </c>
      <c r="B1592" s="1" t="n">
        <v>44994</v>
      </c>
      <c r="C1592" s="1" t="n">
        <v>45192</v>
      </c>
      <c r="D1592" t="inlineStr">
        <is>
          <t>VÄSTERBOTTENS LÄN</t>
        </is>
      </c>
      <c r="E1592" t="inlineStr">
        <is>
          <t>SKELLEFTEÅ</t>
        </is>
      </c>
      <c r="G1592" t="n">
        <v>7</v>
      </c>
      <c r="H1592" t="n">
        <v>0</v>
      </c>
      <c r="I1592" t="n">
        <v>0</v>
      </c>
      <c r="J1592" t="n">
        <v>0</v>
      </c>
      <c r="K1592" t="n">
        <v>0</v>
      </c>
      <c r="L1592" t="n">
        <v>0</v>
      </c>
      <c r="M1592" t="n">
        <v>0</v>
      </c>
      <c r="N1592" t="n">
        <v>0</v>
      </c>
      <c r="O1592" t="n">
        <v>0</v>
      </c>
      <c r="P1592" t="n">
        <v>0</v>
      </c>
      <c r="Q1592" t="n">
        <v>0</v>
      </c>
      <c r="R1592" s="2" t="inlineStr"/>
    </row>
    <row r="1593" ht="15" customHeight="1">
      <c r="A1593" t="inlineStr">
        <is>
          <t>A 11989-2023</t>
        </is>
      </c>
      <c r="B1593" s="1" t="n">
        <v>44994</v>
      </c>
      <c r="C1593" s="1" t="n">
        <v>45192</v>
      </c>
      <c r="D1593" t="inlineStr">
        <is>
          <t>VÄSTERBOTTENS LÄN</t>
        </is>
      </c>
      <c r="E1593" t="inlineStr">
        <is>
          <t>SKELLEFTEÅ</t>
        </is>
      </c>
      <c r="G1593" t="n">
        <v>6.8</v>
      </c>
      <c r="H1593" t="n">
        <v>0</v>
      </c>
      <c r="I1593" t="n">
        <v>0</v>
      </c>
      <c r="J1593" t="n">
        <v>0</v>
      </c>
      <c r="K1593" t="n">
        <v>0</v>
      </c>
      <c r="L1593" t="n">
        <v>0</v>
      </c>
      <c r="M1593" t="n">
        <v>0</v>
      </c>
      <c r="N1593" t="n">
        <v>0</v>
      </c>
      <c r="O1593" t="n">
        <v>0</v>
      </c>
      <c r="P1593" t="n">
        <v>0</v>
      </c>
      <c r="Q1593" t="n">
        <v>0</v>
      </c>
      <c r="R1593" s="2" t="inlineStr"/>
    </row>
    <row r="1594" ht="15" customHeight="1">
      <c r="A1594" t="inlineStr">
        <is>
          <t>A 12033-2023</t>
        </is>
      </c>
      <c r="B1594" s="1" t="n">
        <v>44995</v>
      </c>
      <c r="C1594" s="1" t="n">
        <v>45192</v>
      </c>
      <c r="D1594" t="inlineStr">
        <is>
          <t>VÄSTERBOTTENS LÄN</t>
        </is>
      </c>
      <c r="E1594" t="inlineStr">
        <is>
          <t>SKELLEFTEÅ</t>
        </is>
      </c>
      <c r="G1594" t="n">
        <v>1.2</v>
      </c>
      <c r="H1594" t="n">
        <v>0</v>
      </c>
      <c r="I1594" t="n">
        <v>0</v>
      </c>
      <c r="J1594" t="n">
        <v>0</v>
      </c>
      <c r="K1594" t="n">
        <v>0</v>
      </c>
      <c r="L1594" t="n">
        <v>0</v>
      </c>
      <c r="M1594" t="n">
        <v>0</v>
      </c>
      <c r="N1594" t="n">
        <v>0</v>
      </c>
      <c r="O1594" t="n">
        <v>0</v>
      </c>
      <c r="P1594" t="n">
        <v>0</v>
      </c>
      <c r="Q1594" t="n">
        <v>0</v>
      </c>
      <c r="R1594" s="2" t="inlineStr"/>
    </row>
    <row r="1595" ht="15" customHeight="1">
      <c r="A1595" t="inlineStr">
        <is>
          <t>A 12032-2023</t>
        </is>
      </c>
      <c r="B1595" s="1" t="n">
        <v>44995</v>
      </c>
      <c r="C1595" s="1" t="n">
        <v>45192</v>
      </c>
      <c r="D1595" t="inlineStr">
        <is>
          <t>VÄSTERBOTTENS LÄN</t>
        </is>
      </c>
      <c r="E1595" t="inlineStr">
        <is>
          <t>SKELLEFTEÅ</t>
        </is>
      </c>
      <c r="G1595" t="n">
        <v>0.7</v>
      </c>
      <c r="H1595" t="n">
        <v>0</v>
      </c>
      <c r="I1595" t="n">
        <v>0</v>
      </c>
      <c r="J1595" t="n">
        <v>0</v>
      </c>
      <c r="K1595" t="n">
        <v>0</v>
      </c>
      <c r="L1595" t="n">
        <v>0</v>
      </c>
      <c r="M1595" t="n">
        <v>0</v>
      </c>
      <c r="N1595" t="n">
        <v>0</v>
      </c>
      <c r="O1595" t="n">
        <v>0</v>
      </c>
      <c r="P1595" t="n">
        <v>0</v>
      </c>
      <c r="Q1595" t="n">
        <v>0</v>
      </c>
      <c r="R1595" s="2" t="inlineStr"/>
    </row>
    <row r="1596" ht="15" customHeight="1">
      <c r="A1596" t="inlineStr">
        <is>
          <t>A 11945-2023</t>
        </is>
      </c>
      <c r="B1596" s="1" t="n">
        <v>44995</v>
      </c>
      <c r="C1596" s="1" t="n">
        <v>45192</v>
      </c>
      <c r="D1596" t="inlineStr">
        <is>
          <t>VÄSTERBOTTENS LÄN</t>
        </is>
      </c>
      <c r="E1596" t="inlineStr">
        <is>
          <t>SKELLEFTEÅ</t>
        </is>
      </c>
      <c r="F1596" t="inlineStr">
        <is>
          <t>Sveaskog</t>
        </is>
      </c>
      <c r="G1596" t="n">
        <v>2.6</v>
      </c>
      <c r="H1596" t="n">
        <v>0</v>
      </c>
      <c r="I1596" t="n">
        <v>0</v>
      </c>
      <c r="J1596" t="n">
        <v>0</v>
      </c>
      <c r="K1596" t="n">
        <v>0</v>
      </c>
      <c r="L1596" t="n">
        <v>0</v>
      </c>
      <c r="M1596" t="n">
        <v>0</v>
      </c>
      <c r="N1596" t="n">
        <v>0</v>
      </c>
      <c r="O1596" t="n">
        <v>0</v>
      </c>
      <c r="P1596" t="n">
        <v>0</v>
      </c>
      <c r="Q1596" t="n">
        <v>0</v>
      </c>
      <c r="R1596" s="2" t="inlineStr"/>
    </row>
    <row r="1597" ht="15" customHeight="1">
      <c r="A1597" t="inlineStr">
        <is>
          <t>A 12137-2023</t>
        </is>
      </c>
      <c r="B1597" s="1" t="n">
        <v>44995</v>
      </c>
      <c r="C1597" s="1" t="n">
        <v>45192</v>
      </c>
      <c r="D1597" t="inlineStr">
        <is>
          <t>VÄSTERBOTTENS LÄN</t>
        </is>
      </c>
      <c r="E1597" t="inlineStr">
        <is>
          <t>SKELLEFTEÅ</t>
        </is>
      </c>
      <c r="G1597" t="n">
        <v>2.4</v>
      </c>
      <c r="H1597" t="n">
        <v>0</v>
      </c>
      <c r="I1597" t="n">
        <v>0</v>
      </c>
      <c r="J1597" t="n">
        <v>0</v>
      </c>
      <c r="K1597" t="n">
        <v>0</v>
      </c>
      <c r="L1597" t="n">
        <v>0</v>
      </c>
      <c r="M1597" t="n">
        <v>0</v>
      </c>
      <c r="N1597" t="n">
        <v>0</v>
      </c>
      <c r="O1597" t="n">
        <v>0</v>
      </c>
      <c r="P1597" t="n">
        <v>0</v>
      </c>
      <c r="Q1597" t="n">
        <v>0</v>
      </c>
      <c r="R1597" s="2" t="inlineStr"/>
    </row>
    <row r="1598" ht="15" customHeight="1">
      <c r="A1598" t="inlineStr">
        <is>
          <t>A 12366-2023</t>
        </is>
      </c>
      <c r="B1598" s="1" t="n">
        <v>44998</v>
      </c>
      <c r="C1598" s="1" t="n">
        <v>45192</v>
      </c>
      <c r="D1598" t="inlineStr">
        <is>
          <t>VÄSTERBOTTENS LÄN</t>
        </is>
      </c>
      <c r="E1598" t="inlineStr">
        <is>
          <t>SKELLEFTEÅ</t>
        </is>
      </c>
      <c r="G1598" t="n">
        <v>7</v>
      </c>
      <c r="H1598" t="n">
        <v>0</v>
      </c>
      <c r="I1598" t="n">
        <v>0</v>
      </c>
      <c r="J1598" t="n">
        <v>0</v>
      </c>
      <c r="K1598" t="n">
        <v>0</v>
      </c>
      <c r="L1598" t="n">
        <v>0</v>
      </c>
      <c r="M1598" t="n">
        <v>0</v>
      </c>
      <c r="N1598" t="n">
        <v>0</v>
      </c>
      <c r="O1598" t="n">
        <v>0</v>
      </c>
      <c r="P1598" t="n">
        <v>0</v>
      </c>
      <c r="Q1598" t="n">
        <v>0</v>
      </c>
      <c r="R1598" s="2" t="inlineStr"/>
    </row>
    <row r="1599" ht="15" customHeight="1">
      <c r="A1599" t="inlineStr">
        <is>
          <t>A 12392-2023</t>
        </is>
      </c>
      <c r="B1599" s="1" t="n">
        <v>44998</v>
      </c>
      <c r="C1599" s="1" t="n">
        <v>45192</v>
      </c>
      <c r="D1599" t="inlineStr">
        <is>
          <t>VÄSTERBOTTENS LÄN</t>
        </is>
      </c>
      <c r="E1599" t="inlineStr">
        <is>
          <t>SKELLEFTEÅ</t>
        </is>
      </c>
      <c r="G1599" t="n">
        <v>9.4</v>
      </c>
      <c r="H1599" t="n">
        <v>0</v>
      </c>
      <c r="I1599" t="n">
        <v>0</v>
      </c>
      <c r="J1599" t="n">
        <v>0</v>
      </c>
      <c r="K1599" t="n">
        <v>0</v>
      </c>
      <c r="L1599" t="n">
        <v>0</v>
      </c>
      <c r="M1599" t="n">
        <v>0</v>
      </c>
      <c r="N1599" t="n">
        <v>0</v>
      </c>
      <c r="O1599" t="n">
        <v>0</v>
      </c>
      <c r="P1599" t="n">
        <v>0</v>
      </c>
      <c r="Q1599" t="n">
        <v>0</v>
      </c>
      <c r="R1599" s="2" t="inlineStr"/>
    </row>
    <row r="1600" ht="15" customHeight="1">
      <c r="A1600" t="inlineStr">
        <is>
          <t>A 12728-2023</t>
        </is>
      </c>
      <c r="B1600" s="1" t="n">
        <v>45000</v>
      </c>
      <c r="C1600" s="1" t="n">
        <v>45192</v>
      </c>
      <c r="D1600" t="inlineStr">
        <is>
          <t>VÄSTERBOTTENS LÄN</t>
        </is>
      </c>
      <c r="E1600" t="inlineStr">
        <is>
          <t>SKELLEFTEÅ</t>
        </is>
      </c>
      <c r="G1600" t="n">
        <v>6</v>
      </c>
      <c r="H1600" t="n">
        <v>0</v>
      </c>
      <c r="I1600" t="n">
        <v>0</v>
      </c>
      <c r="J1600" t="n">
        <v>0</v>
      </c>
      <c r="K1600" t="n">
        <v>0</v>
      </c>
      <c r="L1600" t="n">
        <v>0</v>
      </c>
      <c r="M1600" t="n">
        <v>0</v>
      </c>
      <c r="N1600" t="n">
        <v>0</v>
      </c>
      <c r="O1600" t="n">
        <v>0</v>
      </c>
      <c r="P1600" t="n">
        <v>0</v>
      </c>
      <c r="Q1600" t="n">
        <v>0</v>
      </c>
      <c r="R1600" s="2" t="inlineStr"/>
    </row>
    <row r="1601" ht="15" customHeight="1">
      <c r="A1601" t="inlineStr">
        <is>
          <t>A 12803-2023</t>
        </is>
      </c>
      <c r="B1601" s="1" t="n">
        <v>45000</v>
      </c>
      <c r="C1601" s="1" t="n">
        <v>45192</v>
      </c>
      <c r="D1601" t="inlineStr">
        <is>
          <t>VÄSTERBOTTENS LÄN</t>
        </is>
      </c>
      <c r="E1601" t="inlineStr">
        <is>
          <t>SKELLEFTEÅ</t>
        </is>
      </c>
      <c r="G1601" t="n">
        <v>2.2</v>
      </c>
      <c r="H1601" t="n">
        <v>0</v>
      </c>
      <c r="I1601" t="n">
        <v>0</v>
      </c>
      <c r="J1601" t="n">
        <v>0</v>
      </c>
      <c r="K1601" t="n">
        <v>0</v>
      </c>
      <c r="L1601" t="n">
        <v>0</v>
      </c>
      <c r="M1601" t="n">
        <v>0</v>
      </c>
      <c r="N1601" t="n">
        <v>0</v>
      </c>
      <c r="O1601" t="n">
        <v>0</v>
      </c>
      <c r="P1601" t="n">
        <v>0</v>
      </c>
      <c r="Q1601" t="n">
        <v>0</v>
      </c>
      <c r="R1601" s="2" t="inlineStr"/>
    </row>
    <row r="1602" ht="15" customHeight="1">
      <c r="A1602" t="inlineStr">
        <is>
          <t>A 12974-2023</t>
        </is>
      </c>
      <c r="B1602" s="1" t="n">
        <v>45001</v>
      </c>
      <c r="C1602" s="1" t="n">
        <v>45192</v>
      </c>
      <c r="D1602" t="inlineStr">
        <is>
          <t>VÄSTERBOTTENS LÄN</t>
        </is>
      </c>
      <c r="E1602" t="inlineStr">
        <is>
          <t>SKELLEFTEÅ</t>
        </is>
      </c>
      <c r="G1602" t="n">
        <v>1.7</v>
      </c>
      <c r="H1602" t="n">
        <v>0</v>
      </c>
      <c r="I1602" t="n">
        <v>0</v>
      </c>
      <c r="J1602" t="n">
        <v>0</v>
      </c>
      <c r="K1602" t="n">
        <v>0</v>
      </c>
      <c r="L1602" t="n">
        <v>0</v>
      </c>
      <c r="M1602" t="n">
        <v>0</v>
      </c>
      <c r="N1602" t="n">
        <v>0</v>
      </c>
      <c r="O1602" t="n">
        <v>0</v>
      </c>
      <c r="P1602" t="n">
        <v>0</v>
      </c>
      <c r="Q1602" t="n">
        <v>0</v>
      </c>
      <c r="R1602" s="2" t="inlineStr"/>
    </row>
    <row r="1603" ht="15" customHeight="1">
      <c r="A1603" t="inlineStr">
        <is>
          <t>A 12975-2023</t>
        </is>
      </c>
      <c r="B1603" s="1" t="n">
        <v>45001</v>
      </c>
      <c r="C1603" s="1" t="n">
        <v>45192</v>
      </c>
      <c r="D1603" t="inlineStr">
        <is>
          <t>VÄSTERBOTTENS LÄN</t>
        </is>
      </c>
      <c r="E1603" t="inlineStr">
        <is>
          <t>SKELLEFTEÅ</t>
        </is>
      </c>
      <c r="G1603" t="n">
        <v>1.7</v>
      </c>
      <c r="H1603" t="n">
        <v>0</v>
      </c>
      <c r="I1603" t="n">
        <v>0</v>
      </c>
      <c r="J1603" t="n">
        <v>0</v>
      </c>
      <c r="K1603" t="n">
        <v>0</v>
      </c>
      <c r="L1603" t="n">
        <v>0</v>
      </c>
      <c r="M1603" t="n">
        <v>0</v>
      </c>
      <c r="N1603" t="n">
        <v>0</v>
      </c>
      <c r="O1603" t="n">
        <v>0</v>
      </c>
      <c r="P1603" t="n">
        <v>0</v>
      </c>
      <c r="Q1603" t="n">
        <v>0</v>
      </c>
      <c r="R1603" s="2" t="inlineStr"/>
    </row>
    <row r="1604" ht="15" customHeight="1">
      <c r="A1604" t="inlineStr">
        <is>
          <t>A 13149-2023</t>
        </is>
      </c>
      <c r="B1604" s="1" t="n">
        <v>45002</v>
      </c>
      <c r="C1604" s="1" t="n">
        <v>45192</v>
      </c>
      <c r="D1604" t="inlineStr">
        <is>
          <t>VÄSTERBOTTENS LÄN</t>
        </is>
      </c>
      <c r="E1604" t="inlineStr">
        <is>
          <t>SKELLEFTEÅ</t>
        </is>
      </c>
      <c r="G1604" t="n">
        <v>5</v>
      </c>
      <c r="H1604" t="n">
        <v>0</v>
      </c>
      <c r="I1604" t="n">
        <v>0</v>
      </c>
      <c r="J1604" t="n">
        <v>0</v>
      </c>
      <c r="K1604" t="n">
        <v>0</v>
      </c>
      <c r="L1604" t="n">
        <v>0</v>
      </c>
      <c r="M1604" t="n">
        <v>0</v>
      </c>
      <c r="N1604" t="n">
        <v>0</v>
      </c>
      <c r="O1604" t="n">
        <v>0</v>
      </c>
      <c r="P1604" t="n">
        <v>0</v>
      </c>
      <c r="Q1604" t="n">
        <v>0</v>
      </c>
      <c r="R1604" s="2" t="inlineStr"/>
    </row>
    <row r="1605" ht="15" customHeight="1">
      <c r="A1605" t="inlineStr">
        <is>
          <t>A 13245-2023</t>
        </is>
      </c>
      <c r="B1605" s="1" t="n">
        <v>45002</v>
      </c>
      <c r="C1605" s="1" t="n">
        <v>45192</v>
      </c>
      <c r="D1605" t="inlineStr">
        <is>
          <t>VÄSTERBOTTENS LÄN</t>
        </is>
      </c>
      <c r="E1605" t="inlineStr">
        <is>
          <t>SKELLEFTEÅ</t>
        </is>
      </c>
      <c r="G1605" t="n">
        <v>3.3</v>
      </c>
      <c r="H1605" t="n">
        <v>0</v>
      </c>
      <c r="I1605" t="n">
        <v>0</v>
      </c>
      <c r="J1605" t="n">
        <v>0</v>
      </c>
      <c r="K1605" t="n">
        <v>0</v>
      </c>
      <c r="L1605" t="n">
        <v>0</v>
      </c>
      <c r="M1605" t="n">
        <v>0</v>
      </c>
      <c r="N1605" t="n">
        <v>0</v>
      </c>
      <c r="O1605" t="n">
        <v>0</v>
      </c>
      <c r="P1605" t="n">
        <v>0</v>
      </c>
      <c r="Q1605" t="n">
        <v>0</v>
      </c>
      <c r="R1605" s="2" t="inlineStr"/>
    </row>
    <row r="1606" ht="15" customHeight="1">
      <c r="A1606" t="inlineStr">
        <is>
          <t>A 13312-2023</t>
        </is>
      </c>
      <c r="B1606" s="1" t="n">
        <v>45005</v>
      </c>
      <c r="C1606" s="1" t="n">
        <v>45192</v>
      </c>
      <c r="D1606" t="inlineStr">
        <is>
          <t>VÄSTERBOTTENS LÄN</t>
        </is>
      </c>
      <c r="E1606" t="inlineStr">
        <is>
          <t>SKELLEFTEÅ</t>
        </is>
      </c>
      <c r="G1606" t="n">
        <v>0.7</v>
      </c>
      <c r="H1606" t="n">
        <v>0</v>
      </c>
      <c r="I1606" t="n">
        <v>0</v>
      </c>
      <c r="J1606" t="n">
        <v>0</v>
      </c>
      <c r="K1606" t="n">
        <v>0</v>
      </c>
      <c r="L1606" t="n">
        <v>0</v>
      </c>
      <c r="M1606" t="n">
        <v>0</v>
      </c>
      <c r="N1606" t="n">
        <v>0</v>
      </c>
      <c r="O1606" t="n">
        <v>0</v>
      </c>
      <c r="P1606" t="n">
        <v>0</v>
      </c>
      <c r="Q1606" t="n">
        <v>0</v>
      </c>
      <c r="R1606" s="2" t="inlineStr"/>
    </row>
    <row r="1607" ht="15" customHeight="1">
      <c r="A1607" t="inlineStr">
        <is>
          <t>A 13470-2023</t>
        </is>
      </c>
      <c r="B1607" s="1" t="n">
        <v>45005</v>
      </c>
      <c r="C1607" s="1" t="n">
        <v>45192</v>
      </c>
      <c r="D1607" t="inlineStr">
        <is>
          <t>VÄSTERBOTTENS LÄN</t>
        </is>
      </c>
      <c r="E1607" t="inlineStr">
        <is>
          <t>SKELLEFTEÅ</t>
        </is>
      </c>
      <c r="G1607" t="n">
        <v>2.5</v>
      </c>
      <c r="H1607" t="n">
        <v>0</v>
      </c>
      <c r="I1607" t="n">
        <v>0</v>
      </c>
      <c r="J1607" t="n">
        <v>0</v>
      </c>
      <c r="K1607" t="n">
        <v>0</v>
      </c>
      <c r="L1607" t="n">
        <v>0</v>
      </c>
      <c r="M1607" t="n">
        <v>0</v>
      </c>
      <c r="N1607" t="n">
        <v>0</v>
      </c>
      <c r="O1607" t="n">
        <v>0</v>
      </c>
      <c r="P1607" t="n">
        <v>0</v>
      </c>
      <c r="Q1607" t="n">
        <v>0</v>
      </c>
      <c r="R1607" s="2" t="inlineStr"/>
    </row>
    <row r="1608" ht="15" customHeight="1">
      <c r="A1608" t="inlineStr">
        <is>
          <t>A 13641-2023</t>
        </is>
      </c>
      <c r="B1608" s="1" t="n">
        <v>45006</v>
      </c>
      <c r="C1608" s="1" t="n">
        <v>45192</v>
      </c>
      <c r="D1608" t="inlineStr">
        <is>
          <t>VÄSTERBOTTENS LÄN</t>
        </is>
      </c>
      <c r="E1608" t="inlineStr">
        <is>
          <t>SKELLEFTEÅ</t>
        </is>
      </c>
      <c r="G1608" t="n">
        <v>6.2</v>
      </c>
      <c r="H1608" t="n">
        <v>0</v>
      </c>
      <c r="I1608" t="n">
        <v>0</v>
      </c>
      <c r="J1608" t="n">
        <v>0</v>
      </c>
      <c r="K1608" t="n">
        <v>0</v>
      </c>
      <c r="L1608" t="n">
        <v>0</v>
      </c>
      <c r="M1608" t="n">
        <v>0</v>
      </c>
      <c r="N1608" t="n">
        <v>0</v>
      </c>
      <c r="O1608" t="n">
        <v>0</v>
      </c>
      <c r="P1608" t="n">
        <v>0</v>
      </c>
      <c r="Q1608" t="n">
        <v>0</v>
      </c>
      <c r="R1608" s="2" t="inlineStr"/>
    </row>
    <row r="1609" ht="15" customHeight="1">
      <c r="A1609" t="inlineStr">
        <is>
          <t>A 13889-2023</t>
        </is>
      </c>
      <c r="B1609" s="1" t="n">
        <v>45007</v>
      </c>
      <c r="C1609" s="1" t="n">
        <v>45192</v>
      </c>
      <c r="D1609" t="inlineStr">
        <is>
          <t>VÄSTERBOTTENS LÄN</t>
        </is>
      </c>
      <c r="E1609" t="inlineStr">
        <is>
          <t>SKELLEFTEÅ</t>
        </is>
      </c>
      <c r="G1609" t="n">
        <v>28.7</v>
      </c>
      <c r="H1609" t="n">
        <v>0</v>
      </c>
      <c r="I1609" t="n">
        <v>0</v>
      </c>
      <c r="J1609" t="n">
        <v>0</v>
      </c>
      <c r="K1609" t="n">
        <v>0</v>
      </c>
      <c r="L1609" t="n">
        <v>0</v>
      </c>
      <c r="M1609" t="n">
        <v>0</v>
      </c>
      <c r="N1609" t="n">
        <v>0</v>
      </c>
      <c r="O1609" t="n">
        <v>0</v>
      </c>
      <c r="P1609" t="n">
        <v>0</v>
      </c>
      <c r="Q1609" t="n">
        <v>0</v>
      </c>
      <c r="R1609" s="2" t="inlineStr"/>
    </row>
    <row r="1610" ht="15" customHeight="1">
      <c r="A1610" t="inlineStr">
        <is>
          <t>A 14066-2023</t>
        </is>
      </c>
      <c r="B1610" s="1" t="n">
        <v>45008</v>
      </c>
      <c r="C1610" s="1" t="n">
        <v>45192</v>
      </c>
      <c r="D1610" t="inlineStr">
        <is>
          <t>VÄSTERBOTTENS LÄN</t>
        </is>
      </c>
      <c r="E1610" t="inlineStr">
        <is>
          <t>SKELLEFTEÅ</t>
        </is>
      </c>
      <c r="G1610" t="n">
        <v>6.7</v>
      </c>
      <c r="H1610" t="n">
        <v>0</v>
      </c>
      <c r="I1610" t="n">
        <v>0</v>
      </c>
      <c r="J1610" t="n">
        <v>0</v>
      </c>
      <c r="K1610" t="n">
        <v>0</v>
      </c>
      <c r="L1610" t="n">
        <v>0</v>
      </c>
      <c r="M1610" t="n">
        <v>0</v>
      </c>
      <c r="N1610" t="n">
        <v>0</v>
      </c>
      <c r="O1610" t="n">
        <v>0</v>
      </c>
      <c r="P1610" t="n">
        <v>0</v>
      </c>
      <c r="Q1610" t="n">
        <v>0</v>
      </c>
      <c r="R1610" s="2" t="inlineStr"/>
    </row>
    <row r="1611" ht="15" customHeight="1">
      <c r="A1611" t="inlineStr">
        <is>
          <t>A 14332-2023</t>
        </is>
      </c>
      <c r="B1611" s="1" t="n">
        <v>45009</v>
      </c>
      <c r="C1611" s="1" t="n">
        <v>45192</v>
      </c>
      <c r="D1611" t="inlineStr">
        <is>
          <t>VÄSTERBOTTENS LÄN</t>
        </is>
      </c>
      <c r="E1611" t="inlineStr">
        <is>
          <t>SKELLEFTEÅ</t>
        </is>
      </c>
      <c r="G1611" t="n">
        <v>1</v>
      </c>
      <c r="H1611" t="n">
        <v>0</v>
      </c>
      <c r="I1611" t="n">
        <v>0</v>
      </c>
      <c r="J1611" t="n">
        <v>0</v>
      </c>
      <c r="K1611" t="n">
        <v>0</v>
      </c>
      <c r="L1611" t="n">
        <v>0</v>
      </c>
      <c r="M1611" t="n">
        <v>0</v>
      </c>
      <c r="N1611" t="n">
        <v>0</v>
      </c>
      <c r="O1611" t="n">
        <v>0</v>
      </c>
      <c r="P1611" t="n">
        <v>0</v>
      </c>
      <c r="Q1611" t="n">
        <v>0</v>
      </c>
      <c r="R1611" s="2" t="inlineStr"/>
    </row>
    <row r="1612" ht="15" customHeight="1">
      <c r="A1612" t="inlineStr">
        <is>
          <t>A 14351-2023</t>
        </is>
      </c>
      <c r="B1612" s="1" t="n">
        <v>45009</v>
      </c>
      <c r="C1612" s="1" t="n">
        <v>45192</v>
      </c>
      <c r="D1612" t="inlineStr">
        <is>
          <t>VÄSTERBOTTENS LÄN</t>
        </is>
      </c>
      <c r="E1612" t="inlineStr">
        <is>
          <t>SKELLEFTEÅ</t>
        </is>
      </c>
      <c r="G1612" t="n">
        <v>3.3</v>
      </c>
      <c r="H1612" t="n">
        <v>0</v>
      </c>
      <c r="I1612" t="n">
        <v>0</v>
      </c>
      <c r="J1612" t="n">
        <v>0</v>
      </c>
      <c r="K1612" t="n">
        <v>0</v>
      </c>
      <c r="L1612" t="n">
        <v>0</v>
      </c>
      <c r="M1612" t="n">
        <v>0</v>
      </c>
      <c r="N1612" t="n">
        <v>0</v>
      </c>
      <c r="O1612" t="n">
        <v>0</v>
      </c>
      <c r="P1612" t="n">
        <v>0</v>
      </c>
      <c r="Q1612" t="n">
        <v>0</v>
      </c>
      <c r="R1612" s="2" t="inlineStr"/>
    </row>
    <row r="1613" ht="15" customHeight="1">
      <c r="A1613" t="inlineStr">
        <is>
          <t>A 14341-2023</t>
        </is>
      </c>
      <c r="B1613" s="1" t="n">
        <v>45009</v>
      </c>
      <c r="C1613" s="1" t="n">
        <v>45192</v>
      </c>
      <c r="D1613" t="inlineStr">
        <is>
          <t>VÄSTERBOTTENS LÄN</t>
        </is>
      </c>
      <c r="E1613" t="inlineStr">
        <is>
          <t>SKELLEFTEÅ</t>
        </is>
      </c>
      <c r="G1613" t="n">
        <v>0.3</v>
      </c>
      <c r="H1613" t="n">
        <v>0</v>
      </c>
      <c r="I1613" t="n">
        <v>0</v>
      </c>
      <c r="J1613" t="n">
        <v>0</v>
      </c>
      <c r="K1613" t="n">
        <v>0</v>
      </c>
      <c r="L1613" t="n">
        <v>0</v>
      </c>
      <c r="M1613" t="n">
        <v>0</v>
      </c>
      <c r="N1613" t="n">
        <v>0</v>
      </c>
      <c r="O1613" t="n">
        <v>0</v>
      </c>
      <c r="P1613" t="n">
        <v>0</v>
      </c>
      <c r="Q1613" t="n">
        <v>0</v>
      </c>
      <c r="R1613" s="2" t="inlineStr"/>
    </row>
    <row r="1614" ht="15" customHeight="1">
      <c r="A1614" t="inlineStr">
        <is>
          <t>A 14197-2023</t>
        </is>
      </c>
      <c r="B1614" s="1" t="n">
        <v>45009</v>
      </c>
      <c r="C1614" s="1" t="n">
        <v>45192</v>
      </c>
      <c r="D1614" t="inlineStr">
        <is>
          <t>VÄSTERBOTTENS LÄN</t>
        </is>
      </c>
      <c r="E1614" t="inlineStr">
        <is>
          <t>SKELLEFTEÅ</t>
        </is>
      </c>
      <c r="G1614" t="n">
        <v>6.2</v>
      </c>
      <c r="H1614" t="n">
        <v>0</v>
      </c>
      <c r="I1614" t="n">
        <v>0</v>
      </c>
      <c r="J1614" t="n">
        <v>0</v>
      </c>
      <c r="K1614" t="n">
        <v>0</v>
      </c>
      <c r="L1614" t="n">
        <v>0</v>
      </c>
      <c r="M1614" t="n">
        <v>0</v>
      </c>
      <c r="N1614" t="n">
        <v>0</v>
      </c>
      <c r="O1614" t="n">
        <v>0</v>
      </c>
      <c r="P1614" t="n">
        <v>0</v>
      </c>
      <c r="Q1614" t="n">
        <v>0</v>
      </c>
      <c r="R1614" s="2" t="inlineStr"/>
    </row>
    <row r="1615" ht="15" customHeight="1">
      <c r="A1615" t="inlineStr">
        <is>
          <t>A 14705-2023</t>
        </is>
      </c>
      <c r="B1615" s="1" t="n">
        <v>45012</v>
      </c>
      <c r="C1615" s="1" t="n">
        <v>45192</v>
      </c>
      <c r="D1615" t="inlineStr">
        <is>
          <t>VÄSTERBOTTENS LÄN</t>
        </is>
      </c>
      <c r="E1615" t="inlineStr">
        <is>
          <t>SKELLEFTEÅ</t>
        </is>
      </c>
      <c r="G1615" t="n">
        <v>11.4</v>
      </c>
      <c r="H1615" t="n">
        <v>0</v>
      </c>
      <c r="I1615" t="n">
        <v>0</v>
      </c>
      <c r="J1615" t="n">
        <v>0</v>
      </c>
      <c r="K1615" t="n">
        <v>0</v>
      </c>
      <c r="L1615" t="n">
        <v>0</v>
      </c>
      <c r="M1615" t="n">
        <v>0</v>
      </c>
      <c r="N1615" t="n">
        <v>0</v>
      </c>
      <c r="O1615" t="n">
        <v>0</v>
      </c>
      <c r="P1615" t="n">
        <v>0</v>
      </c>
      <c r="Q1615" t="n">
        <v>0</v>
      </c>
      <c r="R1615" s="2" t="inlineStr"/>
    </row>
    <row r="1616" ht="15" customHeight="1">
      <c r="A1616" t="inlineStr">
        <is>
          <t>A 14697-2023</t>
        </is>
      </c>
      <c r="B1616" s="1" t="n">
        <v>45012</v>
      </c>
      <c r="C1616" s="1" t="n">
        <v>45192</v>
      </c>
      <c r="D1616" t="inlineStr">
        <is>
          <t>VÄSTERBOTTENS LÄN</t>
        </is>
      </c>
      <c r="E1616" t="inlineStr">
        <is>
          <t>SKELLEFTEÅ</t>
        </is>
      </c>
      <c r="G1616" t="n">
        <v>3.7</v>
      </c>
      <c r="H1616" t="n">
        <v>0</v>
      </c>
      <c r="I1616" t="n">
        <v>0</v>
      </c>
      <c r="J1616" t="n">
        <v>0</v>
      </c>
      <c r="K1616" t="n">
        <v>0</v>
      </c>
      <c r="L1616" t="n">
        <v>0</v>
      </c>
      <c r="M1616" t="n">
        <v>0</v>
      </c>
      <c r="N1616" t="n">
        <v>0</v>
      </c>
      <c r="O1616" t="n">
        <v>0</v>
      </c>
      <c r="P1616" t="n">
        <v>0</v>
      </c>
      <c r="Q1616" t="n">
        <v>0</v>
      </c>
      <c r="R1616" s="2" t="inlineStr"/>
    </row>
    <row r="1617" ht="15" customHeight="1">
      <c r="A1617" t="inlineStr">
        <is>
          <t>A 14902-2023</t>
        </is>
      </c>
      <c r="B1617" s="1" t="n">
        <v>45014</v>
      </c>
      <c r="C1617" s="1" t="n">
        <v>45192</v>
      </c>
      <c r="D1617" t="inlineStr">
        <is>
          <t>VÄSTERBOTTENS LÄN</t>
        </is>
      </c>
      <c r="E1617" t="inlineStr">
        <is>
          <t>SKELLEFTEÅ</t>
        </is>
      </c>
      <c r="G1617" t="n">
        <v>1.3</v>
      </c>
      <c r="H1617" t="n">
        <v>0</v>
      </c>
      <c r="I1617" t="n">
        <v>0</v>
      </c>
      <c r="J1617" t="n">
        <v>0</v>
      </c>
      <c r="K1617" t="n">
        <v>0</v>
      </c>
      <c r="L1617" t="n">
        <v>0</v>
      </c>
      <c r="M1617" t="n">
        <v>0</v>
      </c>
      <c r="N1617" t="n">
        <v>0</v>
      </c>
      <c r="O1617" t="n">
        <v>0</v>
      </c>
      <c r="P1617" t="n">
        <v>0</v>
      </c>
      <c r="Q1617" t="n">
        <v>0</v>
      </c>
      <c r="R1617" s="2" t="inlineStr"/>
    </row>
    <row r="1618" ht="15" customHeight="1">
      <c r="A1618" t="inlineStr">
        <is>
          <t>A 14992-2023</t>
        </is>
      </c>
      <c r="B1618" s="1" t="n">
        <v>45014</v>
      </c>
      <c r="C1618" s="1" t="n">
        <v>45192</v>
      </c>
      <c r="D1618" t="inlineStr">
        <is>
          <t>VÄSTERBOTTENS LÄN</t>
        </is>
      </c>
      <c r="E1618" t="inlineStr">
        <is>
          <t>SKELLEFTEÅ</t>
        </is>
      </c>
      <c r="G1618" t="n">
        <v>2.2</v>
      </c>
      <c r="H1618" t="n">
        <v>0</v>
      </c>
      <c r="I1618" t="n">
        <v>0</v>
      </c>
      <c r="J1618" t="n">
        <v>0</v>
      </c>
      <c r="K1618" t="n">
        <v>0</v>
      </c>
      <c r="L1618" t="n">
        <v>0</v>
      </c>
      <c r="M1618" t="n">
        <v>0</v>
      </c>
      <c r="N1618" t="n">
        <v>0</v>
      </c>
      <c r="O1618" t="n">
        <v>0</v>
      </c>
      <c r="P1618" t="n">
        <v>0</v>
      </c>
      <c r="Q1618" t="n">
        <v>0</v>
      </c>
      <c r="R1618" s="2" t="inlineStr"/>
    </row>
    <row r="1619" ht="15" customHeight="1">
      <c r="A1619" t="inlineStr">
        <is>
          <t>A 14983-2023</t>
        </is>
      </c>
      <c r="B1619" s="1" t="n">
        <v>45014</v>
      </c>
      <c r="C1619" s="1" t="n">
        <v>45192</v>
      </c>
      <c r="D1619" t="inlineStr">
        <is>
          <t>VÄSTERBOTTENS LÄN</t>
        </is>
      </c>
      <c r="E1619" t="inlineStr">
        <is>
          <t>SKELLEFTEÅ</t>
        </is>
      </c>
      <c r="G1619" t="n">
        <v>2.1</v>
      </c>
      <c r="H1619" t="n">
        <v>0</v>
      </c>
      <c r="I1619" t="n">
        <v>0</v>
      </c>
      <c r="J1619" t="n">
        <v>0</v>
      </c>
      <c r="K1619" t="n">
        <v>0</v>
      </c>
      <c r="L1619" t="n">
        <v>0</v>
      </c>
      <c r="M1619" t="n">
        <v>0</v>
      </c>
      <c r="N1619" t="n">
        <v>0</v>
      </c>
      <c r="O1619" t="n">
        <v>0</v>
      </c>
      <c r="P1619" t="n">
        <v>0</v>
      </c>
      <c r="Q1619" t="n">
        <v>0</v>
      </c>
      <c r="R1619" s="2" t="inlineStr"/>
    </row>
    <row r="1620" ht="15" customHeight="1">
      <c r="A1620" t="inlineStr">
        <is>
          <t>A 14982-2023</t>
        </is>
      </c>
      <c r="B1620" s="1" t="n">
        <v>45014</v>
      </c>
      <c r="C1620" s="1" t="n">
        <v>45192</v>
      </c>
      <c r="D1620" t="inlineStr">
        <is>
          <t>VÄSTERBOTTENS LÄN</t>
        </is>
      </c>
      <c r="E1620" t="inlineStr">
        <is>
          <t>SKELLEFTEÅ</t>
        </is>
      </c>
      <c r="G1620" t="n">
        <v>10.4</v>
      </c>
      <c r="H1620" t="n">
        <v>0</v>
      </c>
      <c r="I1620" t="n">
        <v>0</v>
      </c>
      <c r="J1620" t="n">
        <v>0</v>
      </c>
      <c r="K1620" t="n">
        <v>0</v>
      </c>
      <c r="L1620" t="n">
        <v>0</v>
      </c>
      <c r="M1620" t="n">
        <v>0</v>
      </c>
      <c r="N1620" t="n">
        <v>0</v>
      </c>
      <c r="O1620" t="n">
        <v>0</v>
      </c>
      <c r="P1620" t="n">
        <v>0</v>
      </c>
      <c r="Q1620" t="n">
        <v>0</v>
      </c>
      <c r="R1620" s="2" t="inlineStr"/>
    </row>
    <row r="1621" ht="15" customHeight="1">
      <c r="A1621" t="inlineStr">
        <is>
          <t>A 15327-2023</t>
        </is>
      </c>
      <c r="B1621" s="1" t="n">
        <v>45016</v>
      </c>
      <c r="C1621" s="1" t="n">
        <v>45192</v>
      </c>
      <c r="D1621" t="inlineStr">
        <is>
          <t>VÄSTERBOTTENS LÄN</t>
        </is>
      </c>
      <c r="E1621" t="inlineStr">
        <is>
          <t>SKELLEFTEÅ</t>
        </is>
      </c>
      <c r="G1621" t="n">
        <v>2.7</v>
      </c>
      <c r="H1621" t="n">
        <v>0</v>
      </c>
      <c r="I1621" t="n">
        <v>0</v>
      </c>
      <c r="J1621" t="n">
        <v>0</v>
      </c>
      <c r="K1621" t="n">
        <v>0</v>
      </c>
      <c r="L1621" t="n">
        <v>0</v>
      </c>
      <c r="M1621" t="n">
        <v>0</v>
      </c>
      <c r="N1621" t="n">
        <v>0</v>
      </c>
      <c r="O1621" t="n">
        <v>0</v>
      </c>
      <c r="P1621" t="n">
        <v>0</v>
      </c>
      <c r="Q1621" t="n">
        <v>0</v>
      </c>
      <c r="R1621" s="2" t="inlineStr"/>
    </row>
    <row r="1622" ht="15" customHeight="1">
      <c r="A1622" t="inlineStr">
        <is>
          <t>A 15155-2023</t>
        </is>
      </c>
      <c r="B1622" s="1" t="n">
        <v>45016</v>
      </c>
      <c r="C1622" s="1" t="n">
        <v>45192</v>
      </c>
      <c r="D1622" t="inlineStr">
        <is>
          <t>VÄSTERBOTTENS LÄN</t>
        </is>
      </c>
      <c r="E1622" t="inlineStr">
        <is>
          <t>SKELLEFTEÅ</t>
        </is>
      </c>
      <c r="G1622" t="n">
        <v>5.9</v>
      </c>
      <c r="H1622" t="n">
        <v>0</v>
      </c>
      <c r="I1622" t="n">
        <v>0</v>
      </c>
      <c r="J1622" t="n">
        <v>0</v>
      </c>
      <c r="K1622" t="n">
        <v>0</v>
      </c>
      <c r="L1622" t="n">
        <v>0</v>
      </c>
      <c r="M1622" t="n">
        <v>0</v>
      </c>
      <c r="N1622" t="n">
        <v>0</v>
      </c>
      <c r="O1622" t="n">
        <v>0</v>
      </c>
      <c r="P1622" t="n">
        <v>0</v>
      </c>
      <c r="Q1622" t="n">
        <v>0</v>
      </c>
      <c r="R1622" s="2" t="inlineStr"/>
    </row>
    <row r="1623" ht="15" customHeight="1">
      <c r="A1623" t="inlineStr">
        <is>
          <t>A 15332-2023</t>
        </is>
      </c>
      <c r="B1623" s="1" t="n">
        <v>45016</v>
      </c>
      <c r="C1623" s="1" t="n">
        <v>45192</v>
      </c>
      <c r="D1623" t="inlineStr">
        <is>
          <t>VÄSTERBOTTENS LÄN</t>
        </is>
      </c>
      <c r="E1623" t="inlineStr">
        <is>
          <t>SKELLEFTEÅ</t>
        </is>
      </c>
      <c r="G1623" t="n">
        <v>0.3</v>
      </c>
      <c r="H1623" t="n">
        <v>0</v>
      </c>
      <c r="I1623" t="n">
        <v>0</v>
      </c>
      <c r="J1623" t="n">
        <v>0</v>
      </c>
      <c r="K1623" t="n">
        <v>0</v>
      </c>
      <c r="L1623" t="n">
        <v>0</v>
      </c>
      <c r="M1623" t="n">
        <v>0</v>
      </c>
      <c r="N1623" t="n">
        <v>0</v>
      </c>
      <c r="O1623" t="n">
        <v>0</v>
      </c>
      <c r="P1623" t="n">
        <v>0</v>
      </c>
      <c r="Q1623" t="n">
        <v>0</v>
      </c>
      <c r="R1623" s="2" t="inlineStr"/>
    </row>
    <row r="1624" ht="15" customHeight="1">
      <c r="A1624" t="inlineStr">
        <is>
          <t>A 15405-2023</t>
        </is>
      </c>
      <c r="B1624" s="1" t="n">
        <v>45019</v>
      </c>
      <c r="C1624" s="1" t="n">
        <v>45192</v>
      </c>
      <c r="D1624" t="inlineStr">
        <is>
          <t>VÄSTERBOTTENS LÄN</t>
        </is>
      </c>
      <c r="E1624" t="inlineStr">
        <is>
          <t>SKELLEFTEÅ</t>
        </is>
      </c>
      <c r="F1624" t="inlineStr">
        <is>
          <t>Holmen skog AB</t>
        </is>
      </c>
      <c r="G1624" t="n">
        <v>11.3</v>
      </c>
      <c r="H1624" t="n">
        <v>0</v>
      </c>
      <c r="I1624" t="n">
        <v>0</v>
      </c>
      <c r="J1624" t="n">
        <v>0</v>
      </c>
      <c r="K1624" t="n">
        <v>0</v>
      </c>
      <c r="L1624" t="n">
        <v>0</v>
      </c>
      <c r="M1624" t="n">
        <v>0</v>
      </c>
      <c r="N1624" t="n">
        <v>0</v>
      </c>
      <c r="O1624" t="n">
        <v>0</v>
      </c>
      <c r="P1624" t="n">
        <v>0</v>
      </c>
      <c r="Q1624" t="n">
        <v>0</v>
      </c>
      <c r="R1624" s="2" t="inlineStr"/>
    </row>
    <row r="1625" ht="15" customHeight="1">
      <c r="A1625" t="inlineStr">
        <is>
          <t>A 15593-2023</t>
        </is>
      </c>
      <c r="B1625" s="1" t="n">
        <v>45019</v>
      </c>
      <c r="C1625" s="1" t="n">
        <v>45192</v>
      </c>
      <c r="D1625" t="inlineStr">
        <is>
          <t>VÄSTERBOTTENS LÄN</t>
        </is>
      </c>
      <c r="E1625" t="inlineStr">
        <is>
          <t>SKELLEFTEÅ</t>
        </is>
      </c>
      <c r="G1625" t="n">
        <v>6.3</v>
      </c>
      <c r="H1625" t="n">
        <v>0</v>
      </c>
      <c r="I1625" t="n">
        <v>0</v>
      </c>
      <c r="J1625" t="n">
        <v>0</v>
      </c>
      <c r="K1625" t="n">
        <v>0</v>
      </c>
      <c r="L1625" t="n">
        <v>0</v>
      </c>
      <c r="M1625" t="n">
        <v>0</v>
      </c>
      <c r="N1625" t="n">
        <v>0</v>
      </c>
      <c r="O1625" t="n">
        <v>0</v>
      </c>
      <c r="P1625" t="n">
        <v>0</v>
      </c>
      <c r="Q1625" t="n">
        <v>0</v>
      </c>
      <c r="R1625" s="2" t="inlineStr"/>
    </row>
    <row r="1626" ht="15" customHeight="1">
      <c r="A1626" t="inlineStr">
        <is>
          <t>A 15536-2023</t>
        </is>
      </c>
      <c r="B1626" s="1" t="n">
        <v>45020</v>
      </c>
      <c r="C1626" s="1" t="n">
        <v>45192</v>
      </c>
      <c r="D1626" t="inlineStr">
        <is>
          <t>VÄSTERBOTTENS LÄN</t>
        </is>
      </c>
      <c r="E1626" t="inlineStr">
        <is>
          <t>SKELLEFTEÅ</t>
        </is>
      </c>
      <c r="F1626" t="inlineStr">
        <is>
          <t>Sveaskog</t>
        </is>
      </c>
      <c r="G1626" t="n">
        <v>5</v>
      </c>
      <c r="H1626" t="n">
        <v>0</v>
      </c>
      <c r="I1626" t="n">
        <v>0</v>
      </c>
      <c r="J1626" t="n">
        <v>0</v>
      </c>
      <c r="K1626" t="n">
        <v>0</v>
      </c>
      <c r="L1626" t="n">
        <v>0</v>
      </c>
      <c r="M1626" t="n">
        <v>0</v>
      </c>
      <c r="N1626" t="n">
        <v>0</v>
      </c>
      <c r="O1626" t="n">
        <v>0</v>
      </c>
      <c r="P1626" t="n">
        <v>0</v>
      </c>
      <c r="Q1626" t="n">
        <v>0</v>
      </c>
      <c r="R1626" s="2" t="inlineStr"/>
    </row>
    <row r="1627" ht="15" customHeight="1">
      <c r="A1627" t="inlineStr">
        <is>
          <t>A 15717-2023</t>
        </is>
      </c>
      <c r="B1627" s="1" t="n">
        <v>45020</v>
      </c>
      <c r="C1627" s="1" t="n">
        <v>45192</v>
      </c>
      <c r="D1627" t="inlineStr">
        <is>
          <t>VÄSTERBOTTENS LÄN</t>
        </is>
      </c>
      <c r="E1627" t="inlineStr">
        <is>
          <t>SKELLEFTEÅ</t>
        </is>
      </c>
      <c r="G1627" t="n">
        <v>3.2</v>
      </c>
      <c r="H1627" t="n">
        <v>0</v>
      </c>
      <c r="I1627" t="n">
        <v>0</v>
      </c>
      <c r="J1627" t="n">
        <v>0</v>
      </c>
      <c r="K1627" t="n">
        <v>0</v>
      </c>
      <c r="L1627" t="n">
        <v>0</v>
      </c>
      <c r="M1627" t="n">
        <v>0</v>
      </c>
      <c r="N1627" t="n">
        <v>0</v>
      </c>
      <c r="O1627" t="n">
        <v>0</v>
      </c>
      <c r="P1627" t="n">
        <v>0</v>
      </c>
      <c r="Q1627" t="n">
        <v>0</v>
      </c>
      <c r="R1627" s="2" t="inlineStr"/>
    </row>
    <row r="1628" ht="15" customHeight="1">
      <c r="A1628" t="inlineStr">
        <is>
          <t>A 15570-2023</t>
        </is>
      </c>
      <c r="B1628" s="1" t="n">
        <v>45020</v>
      </c>
      <c r="C1628" s="1" t="n">
        <v>45192</v>
      </c>
      <c r="D1628" t="inlineStr">
        <is>
          <t>VÄSTERBOTTENS LÄN</t>
        </is>
      </c>
      <c r="E1628" t="inlineStr">
        <is>
          <t>SKELLEFTEÅ</t>
        </is>
      </c>
      <c r="G1628" t="n">
        <v>2.7</v>
      </c>
      <c r="H1628" t="n">
        <v>0</v>
      </c>
      <c r="I1628" t="n">
        <v>0</v>
      </c>
      <c r="J1628" t="n">
        <v>0</v>
      </c>
      <c r="K1628" t="n">
        <v>0</v>
      </c>
      <c r="L1628" t="n">
        <v>0</v>
      </c>
      <c r="M1628" t="n">
        <v>0</v>
      </c>
      <c r="N1628" t="n">
        <v>0</v>
      </c>
      <c r="O1628" t="n">
        <v>0</v>
      </c>
      <c r="P1628" t="n">
        <v>0</v>
      </c>
      <c r="Q1628" t="n">
        <v>0</v>
      </c>
      <c r="R1628" s="2" t="inlineStr"/>
    </row>
    <row r="1629" ht="15" customHeight="1">
      <c r="A1629" t="inlineStr">
        <is>
          <t>A 15709-2023</t>
        </is>
      </c>
      <c r="B1629" s="1" t="n">
        <v>45020</v>
      </c>
      <c r="C1629" s="1" t="n">
        <v>45192</v>
      </c>
      <c r="D1629" t="inlineStr">
        <is>
          <t>VÄSTERBOTTENS LÄN</t>
        </is>
      </c>
      <c r="E1629" t="inlineStr">
        <is>
          <t>SKELLEFTEÅ</t>
        </is>
      </c>
      <c r="G1629" t="n">
        <v>4.4</v>
      </c>
      <c r="H1629" t="n">
        <v>0</v>
      </c>
      <c r="I1629" t="n">
        <v>0</v>
      </c>
      <c r="J1629" t="n">
        <v>0</v>
      </c>
      <c r="K1629" t="n">
        <v>0</v>
      </c>
      <c r="L1629" t="n">
        <v>0</v>
      </c>
      <c r="M1629" t="n">
        <v>0</v>
      </c>
      <c r="N1629" t="n">
        <v>0</v>
      </c>
      <c r="O1629" t="n">
        <v>0</v>
      </c>
      <c r="P1629" t="n">
        <v>0</v>
      </c>
      <c r="Q1629" t="n">
        <v>0</v>
      </c>
      <c r="R1629" s="2" t="inlineStr"/>
    </row>
    <row r="1630" ht="15" customHeight="1">
      <c r="A1630" t="inlineStr">
        <is>
          <t>A 15732-2023</t>
        </is>
      </c>
      <c r="B1630" s="1" t="n">
        <v>45020</v>
      </c>
      <c r="C1630" s="1" t="n">
        <v>45192</v>
      </c>
      <c r="D1630" t="inlineStr">
        <is>
          <t>VÄSTERBOTTENS LÄN</t>
        </is>
      </c>
      <c r="E1630" t="inlineStr">
        <is>
          <t>SKELLEFTEÅ</t>
        </is>
      </c>
      <c r="G1630" t="n">
        <v>7.7</v>
      </c>
      <c r="H1630" t="n">
        <v>0</v>
      </c>
      <c r="I1630" t="n">
        <v>0</v>
      </c>
      <c r="J1630" t="n">
        <v>0</v>
      </c>
      <c r="K1630" t="n">
        <v>0</v>
      </c>
      <c r="L1630" t="n">
        <v>0</v>
      </c>
      <c r="M1630" t="n">
        <v>0</v>
      </c>
      <c r="N1630" t="n">
        <v>0</v>
      </c>
      <c r="O1630" t="n">
        <v>0</v>
      </c>
      <c r="P1630" t="n">
        <v>0</v>
      </c>
      <c r="Q1630" t="n">
        <v>0</v>
      </c>
      <c r="R1630" s="2" t="inlineStr"/>
    </row>
    <row r="1631" ht="15" customHeight="1">
      <c r="A1631" t="inlineStr">
        <is>
          <t>A 15706-2023</t>
        </is>
      </c>
      <c r="B1631" s="1" t="n">
        <v>45020</v>
      </c>
      <c r="C1631" s="1" t="n">
        <v>45192</v>
      </c>
      <c r="D1631" t="inlineStr">
        <is>
          <t>VÄSTERBOTTENS LÄN</t>
        </is>
      </c>
      <c r="E1631" t="inlineStr">
        <is>
          <t>SKELLEFTEÅ</t>
        </is>
      </c>
      <c r="G1631" t="n">
        <v>2.8</v>
      </c>
      <c r="H1631" t="n">
        <v>0</v>
      </c>
      <c r="I1631" t="n">
        <v>0</v>
      </c>
      <c r="J1631" t="n">
        <v>0</v>
      </c>
      <c r="K1631" t="n">
        <v>0</v>
      </c>
      <c r="L1631" t="n">
        <v>0</v>
      </c>
      <c r="M1631" t="n">
        <v>0</v>
      </c>
      <c r="N1631" t="n">
        <v>0</v>
      </c>
      <c r="O1631" t="n">
        <v>0</v>
      </c>
      <c r="P1631" t="n">
        <v>0</v>
      </c>
      <c r="Q1631" t="n">
        <v>0</v>
      </c>
      <c r="R1631" s="2" t="inlineStr"/>
    </row>
    <row r="1632" ht="15" customHeight="1">
      <c r="A1632" t="inlineStr">
        <is>
          <t>A 15806-2023</t>
        </is>
      </c>
      <c r="B1632" s="1" t="n">
        <v>45021</v>
      </c>
      <c r="C1632" s="1" t="n">
        <v>45192</v>
      </c>
      <c r="D1632" t="inlineStr">
        <is>
          <t>VÄSTERBOTTENS LÄN</t>
        </is>
      </c>
      <c r="E1632" t="inlineStr">
        <is>
          <t>SKELLEFTEÅ</t>
        </is>
      </c>
      <c r="G1632" t="n">
        <v>2.5</v>
      </c>
      <c r="H1632" t="n">
        <v>0</v>
      </c>
      <c r="I1632" t="n">
        <v>0</v>
      </c>
      <c r="J1632" t="n">
        <v>0</v>
      </c>
      <c r="K1632" t="n">
        <v>0</v>
      </c>
      <c r="L1632" t="n">
        <v>0</v>
      </c>
      <c r="M1632" t="n">
        <v>0</v>
      </c>
      <c r="N1632" t="n">
        <v>0</v>
      </c>
      <c r="O1632" t="n">
        <v>0</v>
      </c>
      <c r="P1632" t="n">
        <v>0</v>
      </c>
      <c r="Q1632" t="n">
        <v>0</v>
      </c>
      <c r="R1632" s="2" t="inlineStr"/>
    </row>
    <row r="1633" ht="15" customHeight="1">
      <c r="A1633" t="inlineStr">
        <is>
          <t>A 15903-2023</t>
        </is>
      </c>
      <c r="B1633" s="1" t="n">
        <v>45021</v>
      </c>
      <c r="C1633" s="1" t="n">
        <v>45192</v>
      </c>
      <c r="D1633" t="inlineStr">
        <is>
          <t>VÄSTERBOTTENS LÄN</t>
        </is>
      </c>
      <c r="E1633" t="inlineStr">
        <is>
          <t>SKELLEFTEÅ</t>
        </is>
      </c>
      <c r="G1633" t="n">
        <v>8.9</v>
      </c>
      <c r="H1633" t="n">
        <v>0</v>
      </c>
      <c r="I1633" t="n">
        <v>0</v>
      </c>
      <c r="J1633" t="n">
        <v>0</v>
      </c>
      <c r="K1633" t="n">
        <v>0</v>
      </c>
      <c r="L1633" t="n">
        <v>0</v>
      </c>
      <c r="M1633" t="n">
        <v>0</v>
      </c>
      <c r="N1633" t="n">
        <v>0</v>
      </c>
      <c r="O1633" t="n">
        <v>0</v>
      </c>
      <c r="P1633" t="n">
        <v>0</v>
      </c>
      <c r="Q1633" t="n">
        <v>0</v>
      </c>
      <c r="R1633" s="2" t="inlineStr"/>
    </row>
    <row r="1634" ht="15" customHeight="1">
      <c r="A1634" t="inlineStr">
        <is>
          <t>A 15899-2023</t>
        </is>
      </c>
      <c r="B1634" s="1" t="n">
        <v>45021</v>
      </c>
      <c r="C1634" s="1" t="n">
        <v>45192</v>
      </c>
      <c r="D1634" t="inlineStr">
        <is>
          <t>VÄSTERBOTTENS LÄN</t>
        </is>
      </c>
      <c r="E1634" t="inlineStr">
        <is>
          <t>SKELLEFTEÅ</t>
        </is>
      </c>
      <c r="G1634" t="n">
        <v>4</v>
      </c>
      <c r="H1634" t="n">
        <v>0</v>
      </c>
      <c r="I1634" t="n">
        <v>0</v>
      </c>
      <c r="J1634" t="n">
        <v>0</v>
      </c>
      <c r="K1634" t="n">
        <v>0</v>
      </c>
      <c r="L1634" t="n">
        <v>0</v>
      </c>
      <c r="M1634" t="n">
        <v>0</v>
      </c>
      <c r="N1634" t="n">
        <v>0</v>
      </c>
      <c r="O1634" t="n">
        <v>0</v>
      </c>
      <c r="P1634" t="n">
        <v>0</v>
      </c>
      <c r="Q1634" t="n">
        <v>0</v>
      </c>
      <c r="R1634" s="2" t="inlineStr"/>
    </row>
    <row r="1635" ht="15" customHeight="1">
      <c r="A1635" t="inlineStr">
        <is>
          <t>A 15906-2023</t>
        </is>
      </c>
      <c r="B1635" s="1" t="n">
        <v>45021</v>
      </c>
      <c r="C1635" s="1" t="n">
        <v>45192</v>
      </c>
      <c r="D1635" t="inlineStr">
        <is>
          <t>VÄSTERBOTTENS LÄN</t>
        </is>
      </c>
      <c r="E1635" t="inlineStr">
        <is>
          <t>SKELLEFTEÅ</t>
        </is>
      </c>
      <c r="G1635" t="n">
        <v>7</v>
      </c>
      <c r="H1635" t="n">
        <v>0</v>
      </c>
      <c r="I1635" t="n">
        <v>0</v>
      </c>
      <c r="J1635" t="n">
        <v>0</v>
      </c>
      <c r="K1635" t="n">
        <v>0</v>
      </c>
      <c r="L1635" t="n">
        <v>0</v>
      </c>
      <c r="M1635" t="n">
        <v>0</v>
      </c>
      <c r="N1635" t="n">
        <v>0</v>
      </c>
      <c r="O1635" t="n">
        <v>0</v>
      </c>
      <c r="P1635" t="n">
        <v>0</v>
      </c>
      <c r="Q1635" t="n">
        <v>0</v>
      </c>
      <c r="R1635" s="2" t="inlineStr"/>
    </row>
    <row r="1636" ht="15" customHeight="1">
      <c r="A1636" t="inlineStr">
        <is>
          <t>A 16027-2023</t>
        </is>
      </c>
      <c r="B1636" s="1" t="n">
        <v>45027</v>
      </c>
      <c r="C1636" s="1" t="n">
        <v>45192</v>
      </c>
      <c r="D1636" t="inlineStr">
        <is>
          <t>VÄSTERBOTTENS LÄN</t>
        </is>
      </c>
      <c r="E1636" t="inlineStr">
        <is>
          <t>SKELLEFTEÅ</t>
        </is>
      </c>
      <c r="G1636" t="n">
        <v>6.5</v>
      </c>
      <c r="H1636" t="n">
        <v>0</v>
      </c>
      <c r="I1636" t="n">
        <v>0</v>
      </c>
      <c r="J1636" t="n">
        <v>0</v>
      </c>
      <c r="K1636" t="n">
        <v>0</v>
      </c>
      <c r="L1636" t="n">
        <v>0</v>
      </c>
      <c r="M1636" t="n">
        <v>0</v>
      </c>
      <c r="N1636" t="n">
        <v>0</v>
      </c>
      <c r="O1636" t="n">
        <v>0</v>
      </c>
      <c r="P1636" t="n">
        <v>0</v>
      </c>
      <c r="Q1636" t="n">
        <v>0</v>
      </c>
      <c r="R1636" s="2" t="inlineStr"/>
    </row>
    <row r="1637" ht="15" customHeight="1">
      <c r="A1637" t="inlineStr">
        <is>
          <t>A 16183-2023</t>
        </is>
      </c>
      <c r="B1637" s="1" t="n">
        <v>45027</v>
      </c>
      <c r="C1637" s="1" t="n">
        <v>45192</v>
      </c>
      <c r="D1637" t="inlineStr">
        <is>
          <t>VÄSTERBOTTENS LÄN</t>
        </is>
      </c>
      <c r="E1637" t="inlineStr">
        <is>
          <t>SKELLEFTEÅ</t>
        </is>
      </c>
      <c r="G1637" t="n">
        <v>24.7</v>
      </c>
      <c r="H1637" t="n">
        <v>0</v>
      </c>
      <c r="I1637" t="n">
        <v>0</v>
      </c>
      <c r="J1637" t="n">
        <v>0</v>
      </c>
      <c r="K1637" t="n">
        <v>0</v>
      </c>
      <c r="L1637" t="n">
        <v>0</v>
      </c>
      <c r="M1637" t="n">
        <v>0</v>
      </c>
      <c r="N1637" t="n">
        <v>0</v>
      </c>
      <c r="O1637" t="n">
        <v>0</v>
      </c>
      <c r="P1637" t="n">
        <v>0</v>
      </c>
      <c r="Q1637" t="n">
        <v>0</v>
      </c>
      <c r="R1637" s="2" t="inlineStr"/>
    </row>
    <row r="1638" ht="15" customHeight="1">
      <c r="A1638" t="inlineStr">
        <is>
          <t>A 16239-2023</t>
        </is>
      </c>
      <c r="B1638" s="1" t="n">
        <v>45028</v>
      </c>
      <c r="C1638" s="1" t="n">
        <v>45192</v>
      </c>
      <c r="D1638" t="inlineStr">
        <is>
          <t>VÄSTERBOTTENS LÄN</t>
        </is>
      </c>
      <c r="E1638" t="inlineStr">
        <is>
          <t>SKELLEFTEÅ</t>
        </is>
      </c>
      <c r="G1638" t="n">
        <v>0.3</v>
      </c>
      <c r="H1638" t="n">
        <v>0</v>
      </c>
      <c r="I1638" t="n">
        <v>0</v>
      </c>
      <c r="J1638" t="n">
        <v>0</v>
      </c>
      <c r="K1638" t="n">
        <v>0</v>
      </c>
      <c r="L1638" t="n">
        <v>0</v>
      </c>
      <c r="M1638" t="n">
        <v>0</v>
      </c>
      <c r="N1638" t="n">
        <v>0</v>
      </c>
      <c r="O1638" t="n">
        <v>0</v>
      </c>
      <c r="P1638" t="n">
        <v>0</v>
      </c>
      <c r="Q1638" t="n">
        <v>0</v>
      </c>
      <c r="R1638" s="2" t="inlineStr"/>
    </row>
    <row r="1639" ht="15" customHeight="1">
      <c r="A1639" t="inlineStr">
        <is>
          <t>A 16237-2023</t>
        </is>
      </c>
      <c r="B1639" s="1" t="n">
        <v>45028</v>
      </c>
      <c r="C1639" s="1" t="n">
        <v>45192</v>
      </c>
      <c r="D1639" t="inlineStr">
        <is>
          <t>VÄSTERBOTTENS LÄN</t>
        </is>
      </c>
      <c r="E1639" t="inlineStr">
        <is>
          <t>SKELLEFTEÅ</t>
        </is>
      </c>
      <c r="G1639" t="n">
        <v>1.4</v>
      </c>
      <c r="H1639" t="n">
        <v>0</v>
      </c>
      <c r="I1639" t="n">
        <v>0</v>
      </c>
      <c r="J1639" t="n">
        <v>0</v>
      </c>
      <c r="K1639" t="n">
        <v>0</v>
      </c>
      <c r="L1639" t="n">
        <v>0</v>
      </c>
      <c r="M1639" t="n">
        <v>0</v>
      </c>
      <c r="N1639" t="n">
        <v>0</v>
      </c>
      <c r="O1639" t="n">
        <v>0</v>
      </c>
      <c r="P1639" t="n">
        <v>0</v>
      </c>
      <c r="Q1639" t="n">
        <v>0</v>
      </c>
      <c r="R1639" s="2" t="inlineStr"/>
    </row>
    <row r="1640" ht="15" customHeight="1">
      <c r="A1640" t="inlineStr">
        <is>
          <t>A 17026-2023</t>
        </is>
      </c>
      <c r="B1640" s="1" t="n">
        <v>45030</v>
      </c>
      <c r="C1640" s="1" t="n">
        <v>45192</v>
      </c>
      <c r="D1640" t="inlineStr">
        <is>
          <t>VÄSTERBOTTENS LÄN</t>
        </is>
      </c>
      <c r="E1640" t="inlineStr">
        <is>
          <t>SKELLEFTEÅ</t>
        </is>
      </c>
      <c r="G1640" t="n">
        <v>7.1</v>
      </c>
      <c r="H1640" t="n">
        <v>0</v>
      </c>
      <c r="I1640" t="n">
        <v>0</v>
      </c>
      <c r="J1640" t="n">
        <v>0</v>
      </c>
      <c r="K1640" t="n">
        <v>0</v>
      </c>
      <c r="L1640" t="n">
        <v>0</v>
      </c>
      <c r="M1640" t="n">
        <v>0</v>
      </c>
      <c r="N1640" t="n">
        <v>0</v>
      </c>
      <c r="O1640" t="n">
        <v>0</v>
      </c>
      <c r="P1640" t="n">
        <v>0</v>
      </c>
      <c r="Q1640" t="n">
        <v>0</v>
      </c>
      <c r="R1640" s="2" t="inlineStr"/>
    </row>
    <row r="1641" ht="15" customHeight="1">
      <c r="A1641" t="inlineStr">
        <is>
          <t>A 17083-2023</t>
        </is>
      </c>
      <c r="B1641" s="1" t="n">
        <v>45030</v>
      </c>
      <c r="C1641" s="1" t="n">
        <v>45192</v>
      </c>
      <c r="D1641" t="inlineStr">
        <is>
          <t>VÄSTERBOTTENS LÄN</t>
        </is>
      </c>
      <c r="E1641" t="inlineStr">
        <is>
          <t>SKELLEFTEÅ</t>
        </is>
      </c>
      <c r="G1641" t="n">
        <v>5.4</v>
      </c>
      <c r="H1641" t="n">
        <v>0</v>
      </c>
      <c r="I1641" t="n">
        <v>0</v>
      </c>
      <c r="J1641" t="n">
        <v>0</v>
      </c>
      <c r="K1641" t="n">
        <v>0</v>
      </c>
      <c r="L1641" t="n">
        <v>0</v>
      </c>
      <c r="M1641" t="n">
        <v>0</v>
      </c>
      <c r="N1641" t="n">
        <v>0</v>
      </c>
      <c r="O1641" t="n">
        <v>0</v>
      </c>
      <c r="P1641" t="n">
        <v>0</v>
      </c>
      <c r="Q1641" t="n">
        <v>0</v>
      </c>
      <c r="R1641" s="2" t="inlineStr"/>
    </row>
    <row r="1642" ht="15" customHeight="1">
      <c r="A1642" t="inlineStr">
        <is>
          <t>A 17086-2023</t>
        </is>
      </c>
      <c r="B1642" s="1" t="n">
        <v>45030</v>
      </c>
      <c r="C1642" s="1" t="n">
        <v>45192</v>
      </c>
      <c r="D1642" t="inlineStr">
        <is>
          <t>VÄSTERBOTTENS LÄN</t>
        </is>
      </c>
      <c r="E1642" t="inlineStr">
        <is>
          <t>SKELLEFTEÅ</t>
        </is>
      </c>
      <c r="G1642" t="n">
        <v>2.6</v>
      </c>
      <c r="H1642" t="n">
        <v>0</v>
      </c>
      <c r="I1642" t="n">
        <v>0</v>
      </c>
      <c r="J1642" t="n">
        <v>0</v>
      </c>
      <c r="K1642" t="n">
        <v>0</v>
      </c>
      <c r="L1642" t="n">
        <v>0</v>
      </c>
      <c r="M1642" t="n">
        <v>0</v>
      </c>
      <c r="N1642" t="n">
        <v>0</v>
      </c>
      <c r="O1642" t="n">
        <v>0</v>
      </c>
      <c r="P1642" t="n">
        <v>0</v>
      </c>
      <c r="Q1642" t="n">
        <v>0</v>
      </c>
      <c r="R1642" s="2" t="inlineStr"/>
    </row>
    <row r="1643" ht="15" customHeight="1">
      <c r="A1643" t="inlineStr">
        <is>
          <t>A 17071-2023</t>
        </is>
      </c>
      <c r="B1643" s="1" t="n">
        <v>45030</v>
      </c>
      <c r="C1643" s="1" t="n">
        <v>45192</v>
      </c>
      <c r="D1643" t="inlineStr">
        <is>
          <t>VÄSTERBOTTENS LÄN</t>
        </is>
      </c>
      <c r="E1643" t="inlineStr">
        <is>
          <t>SKELLEFTEÅ</t>
        </is>
      </c>
      <c r="G1643" t="n">
        <v>2</v>
      </c>
      <c r="H1643" t="n">
        <v>0</v>
      </c>
      <c r="I1643" t="n">
        <v>0</v>
      </c>
      <c r="J1643" t="n">
        <v>0</v>
      </c>
      <c r="K1643" t="n">
        <v>0</v>
      </c>
      <c r="L1643" t="n">
        <v>0</v>
      </c>
      <c r="M1643" t="n">
        <v>0</v>
      </c>
      <c r="N1643" t="n">
        <v>0</v>
      </c>
      <c r="O1643" t="n">
        <v>0</v>
      </c>
      <c r="P1643" t="n">
        <v>0</v>
      </c>
      <c r="Q1643" t="n">
        <v>0</v>
      </c>
      <c r="R1643" s="2" t="inlineStr"/>
    </row>
    <row r="1644" ht="15" customHeight="1">
      <c r="A1644" t="inlineStr">
        <is>
          <t>A 16998-2023</t>
        </is>
      </c>
      <c r="B1644" s="1" t="n">
        <v>45033</v>
      </c>
      <c r="C1644" s="1" t="n">
        <v>45192</v>
      </c>
      <c r="D1644" t="inlineStr">
        <is>
          <t>VÄSTERBOTTENS LÄN</t>
        </is>
      </c>
      <c r="E1644" t="inlineStr">
        <is>
          <t>SKELLEFTEÅ</t>
        </is>
      </c>
      <c r="G1644" t="n">
        <v>6.4</v>
      </c>
      <c r="H1644" t="n">
        <v>0</v>
      </c>
      <c r="I1644" t="n">
        <v>0</v>
      </c>
      <c r="J1644" t="n">
        <v>0</v>
      </c>
      <c r="K1644" t="n">
        <v>0</v>
      </c>
      <c r="L1644" t="n">
        <v>0</v>
      </c>
      <c r="M1644" t="n">
        <v>0</v>
      </c>
      <c r="N1644" t="n">
        <v>0</v>
      </c>
      <c r="O1644" t="n">
        <v>0</v>
      </c>
      <c r="P1644" t="n">
        <v>0</v>
      </c>
      <c r="Q1644" t="n">
        <v>0</v>
      </c>
      <c r="R1644" s="2" t="inlineStr"/>
    </row>
    <row r="1645" ht="15" customHeight="1">
      <c r="A1645" t="inlineStr">
        <is>
          <t>A 17485-2023</t>
        </is>
      </c>
      <c r="B1645" s="1" t="n">
        <v>45034</v>
      </c>
      <c r="C1645" s="1" t="n">
        <v>45192</v>
      </c>
      <c r="D1645" t="inlineStr">
        <is>
          <t>VÄSTERBOTTENS LÄN</t>
        </is>
      </c>
      <c r="E1645" t="inlineStr">
        <is>
          <t>SKELLEFTEÅ</t>
        </is>
      </c>
      <c r="G1645" t="n">
        <v>3</v>
      </c>
      <c r="H1645" t="n">
        <v>0</v>
      </c>
      <c r="I1645" t="n">
        <v>0</v>
      </c>
      <c r="J1645" t="n">
        <v>0</v>
      </c>
      <c r="K1645" t="n">
        <v>0</v>
      </c>
      <c r="L1645" t="n">
        <v>0</v>
      </c>
      <c r="M1645" t="n">
        <v>0</v>
      </c>
      <c r="N1645" t="n">
        <v>0</v>
      </c>
      <c r="O1645" t="n">
        <v>0</v>
      </c>
      <c r="P1645" t="n">
        <v>0</v>
      </c>
      <c r="Q1645" t="n">
        <v>0</v>
      </c>
      <c r="R1645" s="2" t="inlineStr"/>
    </row>
    <row r="1646" ht="15" customHeight="1">
      <c r="A1646" t="inlineStr">
        <is>
          <t>A 17482-2023</t>
        </is>
      </c>
      <c r="B1646" s="1" t="n">
        <v>45034</v>
      </c>
      <c r="C1646" s="1" t="n">
        <v>45192</v>
      </c>
      <c r="D1646" t="inlineStr">
        <is>
          <t>VÄSTERBOTTENS LÄN</t>
        </is>
      </c>
      <c r="E1646" t="inlineStr">
        <is>
          <t>SKELLEFTEÅ</t>
        </is>
      </c>
      <c r="G1646" t="n">
        <v>2.3</v>
      </c>
      <c r="H1646" t="n">
        <v>0</v>
      </c>
      <c r="I1646" t="n">
        <v>0</v>
      </c>
      <c r="J1646" t="n">
        <v>0</v>
      </c>
      <c r="K1646" t="n">
        <v>0</v>
      </c>
      <c r="L1646" t="n">
        <v>0</v>
      </c>
      <c r="M1646" t="n">
        <v>0</v>
      </c>
      <c r="N1646" t="n">
        <v>0</v>
      </c>
      <c r="O1646" t="n">
        <v>0</v>
      </c>
      <c r="P1646" t="n">
        <v>0</v>
      </c>
      <c r="Q1646" t="n">
        <v>0</v>
      </c>
      <c r="R1646" s="2" t="inlineStr"/>
    </row>
    <row r="1647" ht="15" customHeight="1">
      <c r="A1647" t="inlineStr">
        <is>
          <t>A 17483-2023</t>
        </is>
      </c>
      <c r="B1647" s="1" t="n">
        <v>45034</v>
      </c>
      <c r="C1647" s="1" t="n">
        <v>45192</v>
      </c>
      <c r="D1647" t="inlineStr">
        <is>
          <t>VÄSTERBOTTENS LÄN</t>
        </is>
      </c>
      <c r="E1647" t="inlineStr">
        <is>
          <t>SKELLEFTEÅ</t>
        </is>
      </c>
      <c r="G1647" t="n">
        <v>3.7</v>
      </c>
      <c r="H1647" t="n">
        <v>0</v>
      </c>
      <c r="I1647" t="n">
        <v>0</v>
      </c>
      <c r="J1647" t="n">
        <v>0</v>
      </c>
      <c r="K1647" t="n">
        <v>0</v>
      </c>
      <c r="L1647" t="n">
        <v>0</v>
      </c>
      <c r="M1647" t="n">
        <v>0</v>
      </c>
      <c r="N1647" t="n">
        <v>0</v>
      </c>
      <c r="O1647" t="n">
        <v>0</v>
      </c>
      <c r="P1647" t="n">
        <v>0</v>
      </c>
      <c r="Q1647" t="n">
        <v>0</v>
      </c>
      <c r="R1647" s="2" t="inlineStr"/>
    </row>
    <row r="1648" ht="15" customHeight="1">
      <c r="A1648" t="inlineStr">
        <is>
          <t>A 17365-2023</t>
        </is>
      </c>
      <c r="B1648" s="1" t="n">
        <v>45034</v>
      </c>
      <c r="C1648" s="1" t="n">
        <v>45192</v>
      </c>
      <c r="D1648" t="inlineStr">
        <is>
          <t>VÄSTERBOTTENS LÄN</t>
        </is>
      </c>
      <c r="E1648" t="inlineStr">
        <is>
          <t>SKELLEFTEÅ</t>
        </is>
      </c>
      <c r="G1648" t="n">
        <v>5.4</v>
      </c>
      <c r="H1648" t="n">
        <v>0</v>
      </c>
      <c r="I1648" t="n">
        <v>0</v>
      </c>
      <c r="J1648" t="n">
        <v>0</v>
      </c>
      <c r="K1648" t="n">
        <v>0</v>
      </c>
      <c r="L1648" t="n">
        <v>0</v>
      </c>
      <c r="M1648" t="n">
        <v>0</v>
      </c>
      <c r="N1648" t="n">
        <v>0</v>
      </c>
      <c r="O1648" t="n">
        <v>0</v>
      </c>
      <c r="P1648" t="n">
        <v>0</v>
      </c>
      <c r="Q1648" t="n">
        <v>0</v>
      </c>
      <c r="R1648" s="2" t="inlineStr"/>
    </row>
    <row r="1649" ht="15" customHeight="1">
      <c r="A1649" t="inlineStr">
        <is>
          <t>A 17478-2023</t>
        </is>
      </c>
      <c r="B1649" s="1" t="n">
        <v>45034</v>
      </c>
      <c r="C1649" s="1" t="n">
        <v>45192</v>
      </c>
      <c r="D1649" t="inlineStr">
        <is>
          <t>VÄSTERBOTTENS LÄN</t>
        </is>
      </c>
      <c r="E1649" t="inlineStr">
        <is>
          <t>SKELLEFTEÅ</t>
        </is>
      </c>
      <c r="G1649" t="n">
        <v>6.3</v>
      </c>
      <c r="H1649" t="n">
        <v>0</v>
      </c>
      <c r="I1649" t="n">
        <v>0</v>
      </c>
      <c r="J1649" t="n">
        <v>0</v>
      </c>
      <c r="K1649" t="n">
        <v>0</v>
      </c>
      <c r="L1649" t="n">
        <v>0</v>
      </c>
      <c r="M1649" t="n">
        <v>0</v>
      </c>
      <c r="N1649" t="n">
        <v>0</v>
      </c>
      <c r="O1649" t="n">
        <v>0</v>
      </c>
      <c r="P1649" t="n">
        <v>0</v>
      </c>
      <c r="Q1649" t="n">
        <v>0</v>
      </c>
      <c r="R1649" s="2" t="inlineStr"/>
    </row>
    <row r="1650" ht="15" customHeight="1">
      <c r="A1650" t="inlineStr">
        <is>
          <t>A 17487-2023</t>
        </is>
      </c>
      <c r="B1650" s="1" t="n">
        <v>45034</v>
      </c>
      <c r="C1650" s="1" t="n">
        <v>45192</v>
      </c>
      <c r="D1650" t="inlineStr">
        <is>
          <t>VÄSTERBOTTENS LÄN</t>
        </is>
      </c>
      <c r="E1650" t="inlineStr">
        <is>
          <t>SKELLEFTEÅ</t>
        </is>
      </c>
      <c r="G1650" t="n">
        <v>8.9</v>
      </c>
      <c r="H1650" t="n">
        <v>0</v>
      </c>
      <c r="I1650" t="n">
        <v>0</v>
      </c>
      <c r="J1650" t="n">
        <v>0</v>
      </c>
      <c r="K1650" t="n">
        <v>0</v>
      </c>
      <c r="L1650" t="n">
        <v>0</v>
      </c>
      <c r="M1650" t="n">
        <v>0</v>
      </c>
      <c r="N1650" t="n">
        <v>0</v>
      </c>
      <c r="O1650" t="n">
        <v>0</v>
      </c>
      <c r="P1650" t="n">
        <v>0</v>
      </c>
      <c r="Q1650" t="n">
        <v>0</v>
      </c>
      <c r="R1650" s="2" t="inlineStr"/>
    </row>
    <row r="1651" ht="15" customHeight="1">
      <c r="A1651" t="inlineStr">
        <is>
          <t>A 17674-2023</t>
        </is>
      </c>
      <c r="B1651" s="1" t="n">
        <v>45036</v>
      </c>
      <c r="C1651" s="1" t="n">
        <v>45192</v>
      </c>
      <c r="D1651" t="inlineStr">
        <is>
          <t>VÄSTERBOTTENS LÄN</t>
        </is>
      </c>
      <c r="E1651" t="inlineStr">
        <is>
          <t>SKELLEFTEÅ</t>
        </is>
      </c>
      <c r="G1651" t="n">
        <v>7.9</v>
      </c>
      <c r="H1651" t="n">
        <v>0</v>
      </c>
      <c r="I1651" t="n">
        <v>0</v>
      </c>
      <c r="J1651" t="n">
        <v>0</v>
      </c>
      <c r="K1651" t="n">
        <v>0</v>
      </c>
      <c r="L1651" t="n">
        <v>0</v>
      </c>
      <c r="M1651" t="n">
        <v>0</v>
      </c>
      <c r="N1651" t="n">
        <v>0</v>
      </c>
      <c r="O1651" t="n">
        <v>0</v>
      </c>
      <c r="P1651" t="n">
        <v>0</v>
      </c>
      <c r="Q1651" t="n">
        <v>0</v>
      </c>
      <c r="R1651" s="2" t="inlineStr"/>
    </row>
    <row r="1652" ht="15" customHeight="1">
      <c r="A1652" t="inlineStr">
        <is>
          <t>A 17660-2023</t>
        </is>
      </c>
      <c r="B1652" s="1" t="n">
        <v>45036</v>
      </c>
      <c r="C1652" s="1" t="n">
        <v>45192</v>
      </c>
      <c r="D1652" t="inlineStr">
        <is>
          <t>VÄSTERBOTTENS LÄN</t>
        </is>
      </c>
      <c r="E1652" t="inlineStr">
        <is>
          <t>SKELLEFTEÅ</t>
        </is>
      </c>
      <c r="G1652" t="n">
        <v>3.8</v>
      </c>
      <c r="H1652" t="n">
        <v>0</v>
      </c>
      <c r="I1652" t="n">
        <v>0</v>
      </c>
      <c r="J1652" t="n">
        <v>0</v>
      </c>
      <c r="K1652" t="n">
        <v>0</v>
      </c>
      <c r="L1652" t="n">
        <v>0</v>
      </c>
      <c r="M1652" t="n">
        <v>0</v>
      </c>
      <c r="N1652" t="n">
        <v>0</v>
      </c>
      <c r="O1652" t="n">
        <v>0</v>
      </c>
      <c r="P1652" t="n">
        <v>0</v>
      </c>
      <c r="Q1652" t="n">
        <v>0</v>
      </c>
      <c r="R1652" s="2" t="inlineStr"/>
    </row>
    <row r="1653" ht="15" customHeight="1">
      <c r="A1653" t="inlineStr">
        <is>
          <t>A 17755-2023</t>
        </is>
      </c>
      <c r="B1653" s="1" t="n">
        <v>45036</v>
      </c>
      <c r="C1653" s="1" t="n">
        <v>45192</v>
      </c>
      <c r="D1653" t="inlineStr">
        <is>
          <t>VÄSTERBOTTENS LÄN</t>
        </is>
      </c>
      <c r="E1653" t="inlineStr">
        <is>
          <t>SKELLEFTEÅ</t>
        </is>
      </c>
      <c r="G1653" t="n">
        <v>2.8</v>
      </c>
      <c r="H1653" t="n">
        <v>0</v>
      </c>
      <c r="I1653" t="n">
        <v>0</v>
      </c>
      <c r="J1653" t="n">
        <v>0</v>
      </c>
      <c r="K1653" t="n">
        <v>0</v>
      </c>
      <c r="L1653" t="n">
        <v>0</v>
      </c>
      <c r="M1653" t="n">
        <v>0</v>
      </c>
      <c r="N1653" t="n">
        <v>0</v>
      </c>
      <c r="O1653" t="n">
        <v>0</v>
      </c>
      <c r="P1653" t="n">
        <v>0</v>
      </c>
      <c r="Q1653" t="n">
        <v>0</v>
      </c>
      <c r="R1653" s="2" t="inlineStr"/>
    </row>
    <row r="1654" ht="15" customHeight="1">
      <c r="A1654" t="inlineStr">
        <is>
          <t>A 18035-2023</t>
        </is>
      </c>
      <c r="B1654" s="1" t="n">
        <v>45037</v>
      </c>
      <c r="C1654" s="1" t="n">
        <v>45192</v>
      </c>
      <c r="D1654" t="inlineStr">
        <is>
          <t>VÄSTERBOTTENS LÄN</t>
        </is>
      </c>
      <c r="E1654" t="inlineStr">
        <is>
          <t>SKELLEFTEÅ</t>
        </is>
      </c>
      <c r="G1654" t="n">
        <v>0.6</v>
      </c>
      <c r="H1654" t="n">
        <v>0</v>
      </c>
      <c r="I1654" t="n">
        <v>0</v>
      </c>
      <c r="J1654" t="n">
        <v>0</v>
      </c>
      <c r="K1654" t="n">
        <v>0</v>
      </c>
      <c r="L1654" t="n">
        <v>0</v>
      </c>
      <c r="M1654" t="n">
        <v>0</v>
      </c>
      <c r="N1654" t="n">
        <v>0</v>
      </c>
      <c r="O1654" t="n">
        <v>0</v>
      </c>
      <c r="P1654" t="n">
        <v>0</v>
      </c>
      <c r="Q1654" t="n">
        <v>0</v>
      </c>
      <c r="R1654" s="2" t="inlineStr"/>
    </row>
    <row r="1655" ht="15" customHeight="1">
      <c r="A1655" t="inlineStr">
        <is>
          <t>A 18029-2023</t>
        </is>
      </c>
      <c r="B1655" s="1" t="n">
        <v>45040</v>
      </c>
      <c r="C1655" s="1" t="n">
        <v>45192</v>
      </c>
      <c r="D1655" t="inlineStr">
        <is>
          <t>VÄSTERBOTTENS LÄN</t>
        </is>
      </c>
      <c r="E1655" t="inlineStr">
        <is>
          <t>SKELLEFTEÅ</t>
        </is>
      </c>
      <c r="G1655" t="n">
        <v>2.3</v>
      </c>
      <c r="H1655" t="n">
        <v>0</v>
      </c>
      <c r="I1655" t="n">
        <v>0</v>
      </c>
      <c r="J1655" t="n">
        <v>0</v>
      </c>
      <c r="K1655" t="n">
        <v>0</v>
      </c>
      <c r="L1655" t="n">
        <v>0</v>
      </c>
      <c r="M1655" t="n">
        <v>0</v>
      </c>
      <c r="N1655" t="n">
        <v>0</v>
      </c>
      <c r="O1655" t="n">
        <v>0</v>
      </c>
      <c r="P1655" t="n">
        <v>0</v>
      </c>
      <c r="Q1655" t="n">
        <v>0</v>
      </c>
      <c r="R1655" s="2" t="inlineStr"/>
    </row>
    <row r="1656" ht="15" customHeight="1">
      <c r="A1656" t="inlineStr">
        <is>
          <t>A 18455-2023</t>
        </is>
      </c>
      <c r="B1656" s="1" t="n">
        <v>45041</v>
      </c>
      <c r="C1656" s="1" t="n">
        <v>45192</v>
      </c>
      <c r="D1656" t="inlineStr">
        <is>
          <t>VÄSTERBOTTENS LÄN</t>
        </is>
      </c>
      <c r="E1656" t="inlineStr">
        <is>
          <t>SKELLEFTEÅ</t>
        </is>
      </c>
      <c r="G1656" t="n">
        <v>4.5</v>
      </c>
      <c r="H1656" t="n">
        <v>0</v>
      </c>
      <c r="I1656" t="n">
        <v>0</v>
      </c>
      <c r="J1656" t="n">
        <v>0</v>
      </c>
      <c r="K1656" t="n">
        <v>0</v>
      </c>
      <c r="L1656" t="n">
        <v>0</v>
      </c>
      <c r="M1656" t="n">
        <v>0</v>
      </c>
      <c r="N1656" t="n">
        <v>0</v>
      </c>
      <c r="O1656" t="n">
        <v>0</v>
      </c>
      <c r="P1656" t="n">
        <v>0</v>
      </c>
      <c r="Q1656" t="n">
        <v>0</v>
      </c>
      <c r="R1656" s="2" t="inlineStr"/>
    </row>
    <row r="1657" ht="15" customHeight="1">
      <c r="A1657" t="inlineStr">
        <is>
          <t>A 18357-2023</t>
        </is>
      </c>
      <c r="B1657" s="1" t="n">
        <v>45041</v>
      </c>
      <c r="C1657" s="1" t="n">
        <v>45192</v>
      </c>
      <c r="D1657" t="inlineStr">
        <is>
          <t>VÄSTERBOTTENS LÄN</t>
        </is>
      </c>
      <c r="E1657" t="inlineStr">
        <is>
          <t>SKELLEFTEÅ</t>
        </is>
      </c>
      <c r="G1657" t="n">
        <v>11.2</v>
      </c>
      <c r="H1657" t="n">
        <v>0</v>
      </c>
      <c r="I1657" t="n">
        <v>0</v>
      </c>
      <c r="J1657" t="n">
        <v>0</v>
      </c>
      <c r="K1657" t="n">
        <v>0</v>
      </c>
      <c r="L1657" t="n">
        <v>0</v>
      </c>
      <c r="M1657" t="n">
        <v>0</v>
      </c>
      <c r="N1657" t="n">
        <v>0</v>
      </c>
      <c r="O1657" t="n">
        <v>0</v>
      </c>
      <c r="P1657" t="n">
        <v>0</v>
      </c>
      <c r="Q1657" t="n">
        <v>0</v>
      </c>
      <c r="R1657" s="2" t="inlineStr"/>
    </row>
    <row r="1658" ht="15" customHeight="1">
      <c r="A1658" t="inlineStr">
        <is>
          <t>A 18607-2023</t>
        </is>
      </c>
      <c r="B1658" s="1" t="n">
        <v>45041</v>
      </c>
      <c r="C1658" s="1" t="n">
        <v>45192</v>
      </c>
      <c r="D1658" t="inlineStr">
        <is>
          <t>VÄSTERBOTTENS LÄN</t>
        </is>
      </c>
      <c r="E1658" t="inlineStr">
        <is>
          <t>SKELLEFTEÅ</t>
        </is>
      </c>
      <c r="G1658" t="n">
        <v>0.9</v>
      </c>
      <c r="H1658" t="n">
        <v>0</v>
      </c>
      <c r="I1658" t="n">
        <v>0</v>
      </c>
      <c r="J1658" t="n">
        <v>0</v>
      </c>
      <c r="K1658" t="n">
        <v>0</v>
      </c>
      <c r="L1658" t="n">
        <v>0</v>
      </c>
      <c r="M1658" t="n">
        <v>0</v>
      </c>
      <c r="N1658" t="n">
        <v>0</v>
      </c>
      <c r="O1658" t="n">
        <v>0</v>
      </c>
      <c r="P1658" t="n">
        <v>0</v>
      </c>
      <c r="Q1658" t="n">
        <v>0</v>
      </c>
      <c r="R1658" s="2" t="inlineStr"/>
    </row>
    <row r="1659" ht="15" customHeight="1">
      <c r="A1659" t="inlineStr">
        <is>
          <t>A 18706-2023</t>
        </is>
      </c>
      <c r="B1659" s="1" t="n">
        <v>45042</v>
      </c>
      <c r="C1659" s="1" t="n">
        <v>45192</v>
      </c>
      <c r="D1659" t="inlineStr">
        <is>
          <t>VÄSTERBOTTENS LÄN</t>
        </is>
      </c>
      <c r="E1659" t="inlineStr">
        <is>
          <t>SKELLEFTEÅ</t>
        </is>
      </c>
      <c r="G1659" t="n">
        <v>8.4</v>
      </c>
      <c r="H1659" t="n">
        <v>0</v>
      </c>
      <c r="I1659" t="n">
        <v>0</v>
      </c>
      <c r="J1659" t="n">
        <v>0</v>
      </c>
      <c r="K1659" t="n">
        <v>0</v>
      </c>
      <c r="L1659" t="n">
        <v>0</v>
      </c>
      <c r="M1659" t="n">
        <v>0</v>
      </c>
      <c r="N1659" t="n">
        <v>0</v>
      </c>
      <c r="O1659" t="n">
        <v>0</v>
      </c>
      <c r="P1659" t="n">
        <v>0</v>
      </c>
      <c r="Q1659" t="n">
        <v>0</v>
      </c>
      <c r="R1659" s="2" t="inlineStr"/>
    </row>
    <row r="1660" ht="15" customHeight="1">
      <c r="A1660" t="inlineStr">
        <is>
          <t>A 18701-2023</t>
        </is>
      </c>
      <c r="B1660" s="1" t="n">
        <v>45042</v>
      </c>
      <c r="C1660" s="1" t="n">
        <v>45192</v>
      </c>
      <c r="D1660" t="inlineStr">
        <is>
          <t>VÄSTERBOTTENS LÄN</t>
        </is>
      </c>
      <c r="E1660" t="inlineStr">
        <is>
          <t>SKELLEFTEÅ</t>
        </is>
      </c>
      <c r="G1660" t="n">
        <v>2.4</v>
      </c>
      <c r="H1660" t="n">
        <v>0</v>
      </c>
      <c r="I1660" t="n">
        <v>0</v>
      </c>
      <c r="J1660" t="n">
        <v>0</v>
      </c>
      <c r="K1660" t="n">
        <v>0</v>
      </c>
      <c r="L1660" t="n">
        <v>0</v>
      </c>
      <c r="M1660" t="n">
        <v>0</v>
      </c>
      <c r="N1660" t="n">
        <v>0</v>
      </c>
      <c r="O1660" t="n">
        <v>0</v>
      </c>
      <c r="P1660" t="n">
        <v>0</v>
      </c>
      <c r="Q1660" t="n">
        <v>0</v>
      </c>
      <c r="R1660" s="2" t="inlineStr"/>
    </row>
    <row r="1661" ht="15" customHeight="1">
      <c r="A1661" t="inlineStr">
        <is>
          <t>A 19066-2023</t>
        </is>
      </c>
      <c r="B1661" s="1" t="n">
        <v>45043</v>
      </c>
      <c r="C1661" s="1" t="n">
        <v>45192</v>
      </c>
      <c r="D1661" t="inlineStr">
        <is>
          <t>VÄSTERBOTTENS LÄN</t>
        </is>
      </c>
      <c r="E1661" t="inlineStr">
        <is>
          <t>SKELLEFTEÅ</t>
        </is>
      </c>
      <c r="G1661" t="n">
        <v>2.7</v>
      </c>
      <c r="H1661" t="n">
        <v>0</v>
      </c>
      <c r="I1661" t="n">
        <v>0</v>
      </c>
      <c r="J1661" t="n">
        <v>0</v>
      </c>
      <c r="K1661" t="n">
        <v>0</v>
      </c>
      <c r="L1661" t="n">
        <v>0</v>
      </c>
      <c r="M1661" t="n">
        <v>0</v>
      </c>
      <c r="N1661" t="n">
        <v>0</v>
      </c>
      <c r="O1661" t="n">
        <v>0</v>
      </c>
      <c r="P1661" t="n">
        <v>0</v>
      </c>
      <c r="Q1661" t="n">
        <v>0</v>
      </c>
      <c r="R1661" s="2" t="inlineStr"/>
    </row>
    <row r="1662" ht="15" customHeight="1">
      <c r="A1662" t="inlineStr">
        <is>
          <t>A 18819-2023</t>
        </is>
      </c>
      <c r="B1662" s="1" t="n">
        <v>45044</v>
      </c>
      <c r="C1662" s="1" t="n">
        <v>45192</v>
      </c>
      <c r="D1662" t="inlineStr">
        <is>
          <t>VÄSTERBOTTENS LÄN</t>
        </is>
      </c>
      <c r="E1662" t="inlineStr">
        <is>
          <t>SKELLEFTEÅ</t>
        </is>
      </c>
      <c r="G1662" t="n">
        <v>3.5</v>
      </c>
      <c r="H1662" t="n">
        <v>0</v>
      </c>
      <c r="I1662" t="n">
        <v>0</v>
      </c>
      <c r="J1662" t="n">
        <v>0</v>
      </c>
      <c r="K1662" t="n">
        <v>0</v>
      </c>
      <c r="L1662" t="n">
        <v>0</v>
      </c>
      <c r="M1662" t="n">
        <v>0</v>
      </c>
      <c r="N1662" t="n">
        <v>0</v>
      </c>
      <c r="O1662" t="n">
        <v>0</v>
      </c>
      <c r="P1662" t="n">
        <v>0</v>
      </c>
      <c r="Q1662" t="n">
        <v>0</v>
      </c>
      <c r="R1662" s="2" t="inlineStr"/>
    </row>
    <row r="1663" ht="15" customHeight="1">
      <c r="A1663" t="inlineStr">
        <is>
          <t>A 18975-2023</t>
        </is>
      </c>
      <c r="B1663" s="1" t="n">
        <v>45044</v>
      </c>
      <c r="C1663" s="1" t="n">
        <v>45192</v>
      </c>
      <c r="D1663" t="inlineStr">
        <is>
          <t>VÄSTERBOTTENS LÄN</t>
        </is>
      </c>
      <c r="E1663" t="inlineStr">
        <is>
          <t>SKELLEFTEÅ</t>
        </is>
      </c>
      <c r="G1663" t="n">
        <v>2.2</v>
      </c>
      <c r="H1663" t="n">
        <v>0</v>
      </c>
      <c r="I1663" t="n">
        <v>0</v>
      </c>
      <c r="J1663" t="n">
        <v>0</v>
      </c>
      <c r="K1663" t="n">
        <v>0</v>
      </c>
      <c r="L1663" t="n">
        <v>0</v>
      </c>
      <c r="M1663" t="n">
        <v>0</v>
      </c>
      <c r="N1663" t="n">
        <v>0</v>
      </c>
      <c r="O1663" t="n">
        <v>0</v>
      </c>
      <c r="P1663" t="n">
        <v>0</v>
      </c>
      <c r="Q1663" t="n">
        <v>0</v>
      </c>
      <c r="R1663" s="2" t="inlineStr"/>
    </row>
    <row r="1664" ht="15" customHeight="1">
      <c r="A1664" t="inlineStr">
        <is>
          <t>A 19491-2023</t>
        </is>
      </c>
      <c r="B1664" s="1" t="n">
        <v>45049</v>
      </c>
      <c r="C1664" s="1" t="n">
        <v>45192</v>
      </c>
      <c r="D1664" t="inlineStr">
        <is>
          <t>VÄSTERBOTTENS LÄN</t>
        </is>
      </c>
      <c r="E1664" t="inlineStr">
        <is>
          <t>SKELLEFTEÅ</t>
        </is>
      </c>
      <c r="G1664" t="n">
        <v>1.7</v>
      </c>
      <c r="H1664" t="n">
        <v>0</v>
      </c>
      <c r="I1664" t="n">
        <v>0</v>
      </c>
      <c r="J1664" t="n">
        <v>0</v>
      </c>
      <c r="K1664" t="n">
        <v>0</v>
      </c>
      <c r="L1664" t="n">
        <v>0</v>
      </c>
      <c r="M1664" t="n">
        <v>0</v>
      </c>
      <c r="N1664" t="n">
        <v>0</v>
      </c>
      <c r="O1664" t="n">
        <v>0</v>
      </c>
      <c r="P1664" t="n">
        <v>0</v>
      </c>
      <c r="Q1664" t="n">
        <v>0</v>
      </c>
      <c r="R1664" s="2" t="inlineStr"/>
    </row>
    <row r="1665" ht="15" customHeight="1">
      <c r="A1665" t="inlineStr">
        <is>
          <t>A 19498-2023</t>
        </is>
      </c>
      <c r="B1665" s="1" t="n">
        <v>45049</v>
      </c>
      <c r="C1665" s="1" t="n">
        <v>45192</v>
      </c>
      <c r="D1665" t="inlineStr">
        <is>
          <t>VÄSTERBOTTENS LÄN</t>
        </is>
      </c>
      <c r="E1665" t="inlineStr">
        <is>
          <t>SKELLEFTEÅ</t>
        </is>
      </c>
      <c r="G1665" t="n">
        <v>1.4</v>
      </c>
      <c r="H1665" t="n">
        <v>0</v>
      </c>
      <c r="I1665" t="n">
        <v>0</v>
      </c>
      <c r="J1665" t="n">
        <v>0</v>
      </c>
      <c r="K1665" t="n">
        <v>0</v>
      </c>
      <c r="L1665" t="n">
        <v>0</v>
      </c>
      <c r="M1665" t="n">
        <v>0</v>
      </c>
      <c r="N1665" t="n">
        <v>0</v>
      </c>
      <c r="O1665" t="n">
        <v>0</v>
      </c>
      <c r="P1665" t="n">
        <v>0</v>
      </c>
      <c r="Q1665" t="n">
        <v>0</v>
      </c>
      <c r="R1665" s="2" t="inlineStr"/>
    </row>
    <row r="1666" ht="15" customHeight="1">
      <c r="A1666" t="inlineStr">
        <is>
          <t>A 19422-2023</t>
        </is>
      </c>
      <c r="B1666" s="1" t="n">
        <v>45049</v>
      </c>
      <c r="C1666" s="1" t="n">
        <v>45192</v>
      </c>
      <c r="D1666" t="inlineStr">
        <is>
          <t>VÄSTERBOTTENS LÄN</t>
        </is>
      </c>
      <c r="E1666" t="inlineStr">
        <is>
          <t>SKELLEFTEÅ</t>
        </is>
      </c>
      <c r="G1666" t="n">
        <v>2.3</v>
      </c>
      <c r="H1666" t="n">
        <v>0</v>
      </c>
      <c r="I1666" t="n">
        <v>0</v>
      </c>
      <c r="J1666" t="n">
        <v>0</v>
      </c>
      <c r="K1666" t="n">
        <v>0</v>
      </c>
      <c r="L1666" t="n">
        <v>0</v>
      </c>
      <c r="M1666" t="n">
        <v>0</v>
      </c>
      <c r="N1666" t="n">
        <v>0</v>
      </c>
      <c r="O1666" t="n">
        <v>0</v>
      </c>
      <c r="P1666" t="n">
        <v>0</v>
      </c>
      <c r="Q1666" t="n">
        <v>0</v>
      </c>
      <c r="R1666" s="2" t="inlineStr"/>
    </row>
    <row r="1667" ht="15" customHeight="1">
      <c r="A1667" t="inlineStr">
        <is>
          <t>A 20301-2023</t>
        </is>
      </c>
      <c r="B1667" s="1" t="n">
        <v>45056</v>
      </c>
      <c r="C1667" s="1" t="n">
        <v>45192</v>
      </c>
      <c r="D1667" t="inlineStr">
        <is>
          <t>VÄSTERBOTTENS LÄN</t>
        </is>
      </c>
      <c r="E1667" t="inlineStr">
        <is>
          <t>SKELLEFTEÅ</t>
        </is>
      </c>
      <c r="G1667" t="n">
        <v>1.7</v>
      </c>
      <c r="H1667" t="n">
        <v>0</v>
      </c>
      <c r="I1667" t="n">
        <v>0</v>
      </c>
      <c r="J1667" t="n">
        <v>0</v>
      </c>
      <c r="K1667" t="n">
        <v>0</v>
      </c>
      <c r="L1667" t="n">
        <v>0</v>
      </c>
      <c r="M1667" t="n">
        <v>0</v>
      </c>
      <c r="N1667" t="n">
        <v>0</v>
      </c>
      <c r="O1667" t="n">
        <v>0</v>
      </c>
      <c r="P1667" t="n">
        <v>0</v>
      </c>
      <c r="Q1667" t="n">
        <v>0</v>
      </c>
      <c r="R1667" s="2" t="inlineStr"/>
    </row>
    <row r="1668" ht="15" customHeight="1">
      <c r="A1668" t="inlineStr">
        <is>
          <t>A 20290-2023</t>
        </is>
      </c>
      <c r="B1668" s="1" t="n">
        <v>45056</v>
      </c>
      <c r="C1668" s="1" t="n">
        <v>45192</v>
      </c>
      <c r="D1668" t="inlineStr">
        <is>
          <t>VÄSTERBOTTENS LÄN</t>
        </is>
      </c>
      <c r="E1668" t="inlineStr">
        <is>
          <t>SKELLEFTEÅ</t>
        </is>
      </c>
      <c r="G1668" t="n">
        <v>2.5</v>
      </c>
      <c r="H1668" t="n">
        <v>0</v>
      </c>
      <c r="I1668" t="n">
        <v>0</v>
      </c>
      <c r="J1668" t="n">
        <v>0</v>
      </c>
      <c r="K1668" t="n">
        <v>0</v>
      </c>
      <c r="L1668" t="n">
        <v>0</v>
      </c>
      <c r="M1668" t="n">
        <v>0</v>
      </c>
      <c r="N1668" t="n">
        <v>0</v>
      </c>
      <c r="O1668" t="n">
        <v>0</v>
      </c>
      <c r="P1668" t="n">
        <v>0</v>
      </c>
      <c r="Q1668" t="n">
        <v>0</v>
      </c>
      <c r="R1668" s="2" t="inlineStr"/>
    </row>
    <row r="1669" ht="15" customHeight="1">
      <c r="A1669" t="inlineStr">
        <is>
          <t>A 21238-2023</t>
        </is>
      </c>
      <c r="B1669" s="1" t="n">
        <v>45058</v>
      </c>
      <c r="C1669" s="1" t="n">
        <v>45192</v>
      </c>
      <c r="D1669" t="inlineStr">
        <is>
          <t>VÄSTERBOTTENS LÄN</t>
        </is>
      </c>
      <c r="E1669" t="inlineStr">
        <is>
          <t>SKELLEFTEÅ</t>
        </is>
      </c>
      <c r="G1669" t="n">
        <v>6</v>
      </c>
      <c r="H1669" t="n">
        <v>0</v>
      </c>
      <c r="I1669" t="n">
        <v>0</v>
      </c>
      <c r="J1669" t="n">
        <v>0</v>
      </c>
      <c r="K1669" t="n">
        <v>0</v>
      </c>
      <c r="L1669" t="n">
        <v>0</v>
      </c>
      <c r="M1669" t="n">
        <v>0</v>
      </c>
      <c r="N1669" t="n">
        <v>0</v>
      </c>
      <c r="O1669" t="n">
        <v>0</v>
      </c>
      <c r="P1669" t="n">
        <v>0</v>
      </c>
      <c r="Q1669" t="n">
        <v>0</v>
      </c>
      <c r="R1669" s="2" t="inlineStr"/>
    </row>
    <row r="1670" ht="15" customHeight="1">
      <c r="A1670" t="inlineStr">
        <is>
          <t>A 21336-2023</t>
        </is>
      </c>
      <c r="B1670" s="1" t="n">
        <v>45062</v>
      </c>
      <c r="C1670" s="1" t="n">
        <v>45192</v>
      </c>
      <c r="D1670" t="inlineStr">
        <is>
          <t>VÄSTERBOTTENS LÄN</t>
        </is>
      </c>
      <c r="E1670" t="inlineStr">
        <is>
          <t>SKELLEFTEÅ</t>
        </is>
      </c>
      <c r="G1670" t="n">
        <v>0.9</v>
      </c>
      <c r="H1670" t="n">
        <v>0</v>
      </c>
      <c r="I1670" t="n">
        <v>0</v>
      </c>
      <c r="J1670" t="n">
        <v>0</v>
      </c>
      <c r="K1670" t="n">
        <v>0</v>
      </c>
      <c r="L1670" t="n">
        <v>0</v>
      </c>
      <c r="M1670" t="n">
        <v>0</v>
      </c>
      <c r="N1670" t="n">
        <v>0</v>
      </c>
      <c r="O1670" t="n">
        <v>0</v>
      </c>
      <c r="P1670" t="n">
        <v>0</v>
      </c>
      <c r="Q1670" t="n">
        <v>0</v>
      </c>
      <c r="R1670" s="2" t="inlineStr"/>
    </row>
    <row r="1671" ht="15" customHeight="1">
      <c r="A1671" t="inlineStr">
        <is>
          <t>A 21565-2023</t>
        </is>
      </c>
      <c r="B1671" s="1" t="n">
        <v>45062</v>
      </c>
      <c r="C1671" s="1" t="n">
        <v>45192</v>
      </c>
      <c r="D1671" t="inlineStr">
        <is>
          <t>VÄSTERBOTTENS LÄN</t>
        </is>
      </c>
      <c r="E1671" t="inlineStr">
        <is>
          <t>SKELLEFTEÅ</t>
        </is>
      </c>
      <c r="G1671" t="n">
        <v>5.3</v>
      </c>
      <c r="H1671" t="n">
        <v>0</v>
      </c>
      <c r="I1671" t="n">
        <v>0</v>
      </c>
      <c r="J1671" t="n">
        <v>0</v>
      </c>
      <c r="K1671" t="n">
        <v>0</v>
      </c>
      <c r="L1671" t="n">
        <v>0</v>
      </c>
      <c r="M1671" t="n">
        <v>0</v>
      </c>
      <c r="N1671" t="n">
        <v>0</v>
      </c>
      <c r="O1671" t="n">
        <v>0</v>
      </c>
      <c r="P1671" t="n">
        <v>0</v>
      </c>
      <c r="Q1671" t="n">
        <v>0</v>
      </c>
      <c r="R1671" s="2" t="inlineStr"/>
    </row>
    <row r="1672" ht="15" customHeight="1">
      <c r="A1672" t="inlineStr">
        <is>
          <t>A 22341-2023</t>
        </is>
      </c>
      <c r="B1672" s="1" t="n">
        <v>45068</v>
      </c>
      <c r="C1672" s="1" t="n">
        <v>45192</v>
      </c>
      <c r="D1672" t="inlineStr">
        <is>
          <t>VÄSTERBOTTENS LÄN</t>
        </is>
      </c>
      <c r="E1672" t="inlineStr">
        <is>
          <t>SKELLEFTEÅ</t>
        </is>
      </c>
      <c r="G1672" t="n">
        <v>2.3</v>
      </c>
      <c r="H1672" t="n">
        <v>0</v>
      </c>
      <c r="I1672" t="n">
        <v>0</v>
      </c>
      <c r="J1672" t="n">
        <v>0</v>
      </c>
      <c r="K1672" t="n">
        <v>0</v>
      </c>
      <c r="L1672" t="n">
        <v>0</v>
      </c>
      <c r="M1672" t="n">
        <v>0</v>
      </c>
      <c r="N1672" t="n">
        <v>0</v>
      </c>
      <c r="O1672" t="n">
        <v>0</v>
      </c>
      <c r="P1672" t="n">
        <v>0</v>
      </c>
      <c r="Q1672" t="n">
        <v>0</v>
      </c>
      <c r="R1672" s="2" t="inlineStr"/>
    </row>
    <row r="1673" ht="15" customHeight="1">
      <c r="A1673" t="inlineStr">
        <is>
          <t>A 22351-2023</t>
        </is>
      </c>
      <c r="B1673" s="1" t="n">
        <v>45068</v>
      </c>
      <c r="C1673" s="1" t="n">
        <v>45192</v>
      </c>
      <c r="D1673" t="inlineStr">
        <is>
          <t>VÄSTERBOTTENS LÄN</t>
        </is>
      </c>
      <c r="E1673" t="inlineStr">
        <is>
          <t>SKELLEFTEÅ</t>
        </is>
      </c>
      <c r="G1673" t="n">
        <v>2.8</v>
      </c>
      <c r="H1673" t="n">
        <v>0</v>
      </c>
      <c r="I1673" t="n">
        <v>0</v>
      </c>
      <c r="J1673" t="n">
        <v>0</v>
      </c>
      <c r="K1673" t="n">
        <v>0</v>
      </c>
      <c r="L1673" t="n">
        <v>0</v>
      </c>
      <c r="M1673" t="n">
        <v>0</v>
      </c>
      <c r="N1673" t="n">
        <v>0</v>
      </c>
      <c r="O1673" t="n">
        <v>0</v>
      </c>
      <c r="P1673" t="n">
        <v>0</v>
      </c>
      <c r="Q1673" t="n">
        <v>0</v>
      </c>
      <c r="R1673" s="2" t="inlineStr"/>
    </row>
    <row r="1674" ht="15" customHeight="1">
      <c r="A1674" t="inlineStr">
        <is>
          <t>A 22334-2023</t>
        </is>
      </c>
      <c r="B1674" s="1" t="n">
        <v>45068</v>
      </c>
      <c r="C1674" s="1" t="n">
        <v>45192</v>
      </c>
      <c r="D1674" t="inlineStr">
        <is>
          <t>VÄSTERBOTTENS LÄN</t>
        </is>
      </c>
      <c r="E1674" t="inlineStr">
        <is>
          <t>SKELLEFTEÅ</t>
        </is>
      </c>
      <c r="G1674" t="n">
        <v>1.6</v>
      </c>
      <c r="H1674" t="n">
        <v>0</v>
      </c>
      <c r="I1674" t="n">
        <v>0</v>
      </c>
      <c r="J1674" t="n">
        <v>0</v>
      </c>
      <c r="K1674" t="n">
        <v>0</v>
      </c>
      <c r="L1674" t="n">
        <v>0</v>
      </c>
      <c r="M1674" t="n">
        <v>0</v>
      </c>
      <c r="N1674" t="n">
        <v>0</v>
      </c>
      <c r="O1674" t="n">
        <v>0</v>
      </c>
      <c r="P1674" t="n">
        <v>0</v>
      </c>
      <c r="Q1674" t="n">
        <v>0</v>
      </c>
      <c r="R1674" s="2" t="inlineStr"/>
    </row>
    <row r="1675" ht="15" customHeight="1">
      <c r="A1675" t="inlineStr">
        <is>
          <t>A 22516-2023</t>
        </is>
      </c>
      <c r="B1675" s="1" t="n">
        <v>45069</v>
      </c>
      <c r="C1675" s="1" t="n">
        <v>45192</v>
      </c>
      <c r="D1675" t="inlineStr">
        <is>
          <t>VÄSTERBOTTENS LÄN</t>
        </is>
      </c>
      <c r="E1675" t="inlineStr">
        <is>
          <t>SKELLEFTEÅ</t>
        </is>
      </c>
      <c r="G1675" t="n">
        <v>2.7</v>
      </c>
      <c r="H1675" t="n">
        <v>0</v>
      </c>
      <c r="I1675" t="n">
        <v>0</v>
      </c>
      <c r="J1675" t="n">
        <v>0</v>
      </c>
      <c r="K1675" t="n">
        <v>0</v>
      </c>
      <c r="L1675" t="n">
        <v>0</v>
      </c>
      <c r="M1675" t="n">
        <v>0</v>
      </c>
      <c r="N1675" t="n">
        <v>0</v>
      </c>
      <c r="O1675" t="n">
        <v>0</v>
      </c>
      <c r="P1675" t="n">
        <v>0</v>
      </c>
      <c r="Q1675" t="n">
        <v>0</v>
      </c>
      <c r="R1675" s="2" t="inlineStr"/>
    </row>
    <row r="1676" ht="15" customHeight="1">
      <c r="A1676" t="inlineStr">
        <is>
          <t>A 22548-2023</t>
        </is>
      </c>
      <c r="B1676" s="1" t="n">
        <v>45069</v>
      </c>
      <c r="C1676" s="1" t="n">
        <v>45192</v>
      </c>
      <c r="D1676" t="inlineStr">
        <is>
          <t>VÄSTERBOTTENS LÄN</t>
        </is>
      </c>
      <c r="E1676" t="inlineStr">
        <is>
          <t>SKELLEFTEÅ</t>
        </is>
      </c>
      <c r="G1676" t="n">
        <v>1.4</v>
      </c>
      <c r="H1676" t="n">
        <v>0</v>
      </c>
      <c r="I1676" t="n">
        <v>0</v>
      </c>
      <c r="J1676" t="n">
        <v>0</v>
      </c>
      <c r="K1676" t="n">
        <v>0</v>
      </c>
      <c r="L1676" t="n">
        <v>0</v>
      </c>
      <c r="M1676" t="n">
        <v>0</v>
      </c>
      <c r="N1676" t="n">
        <v>0</v>
      </c>
      <c r="O1676" t="n">
        <v>0</v>
      </c>
      <c r="P1676" t="n">
        <v>0</v>
      </c>
      <c r="Q1676" t="n">
        <v>0</v>
      </c>
      <c r="R1676" s="2" t="inlineStr"/>
    </row>
    <row r="1677" ht="15" customHeight="1">
      <c r="A1677" t="inlineStr">
        <is>
          <t>A 22025-2023</t>
        </is>
      </c>
      <c r="B1677" s="1" t="n">
        <v>45069</v>
      </c>
      <c r="C1677" s="1" t="n">
        <v>45192</v>
      </c>
      <c r="D1677" t="inlineStr">
        <is>
          <t>VÄSTERBOTTENS LÄN</t>
        </is>
      </c>
      <c r="E1677" t="inlineStr">
        <is>
          <t>SKELLEFTEÅ</t>
        </is>
      </c>
      <c r="F1677" t="inlineStr">
        <is>
          <t>Kommuner</t>
        </is>
      </c>
      <c r="G1677" t="n">
        <v>11</v>
      </c>
      <c r="H1677" t="n">
        <v>0</v>
      </c>
      <c r="I1677" t="n">
        <v>0</v>
      </c>
      <c r="J1677" t="n">
        <v>0</v>
      </c>
      <c r="K1677" t="n">
        <v>0</v>
      </c>
      <c r="L1677" t="n">
        <v>0</v>
      </c>
      <c r="M1677" t="n">
        <v>0</v>
      </c>
      <c r="N1677" t="n">
        <v>0</v>
      </c>
      <c r="O1677" t="n">
        <v>0</v>
      </c>
      <c r="P1677" t="n">
        <v>0</v>
      </c>
      <c r="Q1677" t="n">
        <v>0</v>
      </c>
      <c r="R1677" s="2" t="inlineStr"/>
    </row>
    <row r="1678" ht="15" customHeight="1">
      <c r="A1678" t="inlineStr">
        <is>
          <t>A 22020-2023</t>
        </is>
      </c>
      <c r="B1678" s="1" t="n">
        <v>45069</v>
      </c>
      <c r="C1678" s="1" t="n">
        <v>45192</v>
      </c>
      <c r="D1678" t="inlineStr">
        <is>
          <t>VÄSTERBOTTENS LÄN</t>
        </is>
      </c>
      <c r="E1678" t="inlineStr">
        <is>
          <t>SKELLEFTEÅ</t>
        </is>
      </c>
      <c r="G1678" t="n">
        <v>4</v>
      </c>
      <c r="H1678" t="n">
        <v>0</v>
      </c>
      <c r="I1678" t="n">
        <v>0</v>
      </c>
      <c r="J1678" t="n">
        <v>0</v>
      </c>
      <c r="K1678" t="n">
        <v>0</v>
      </c>
      <c r="L1678" t="n">
        <v>0</v>
      </c>
      <c r="M1678" t="n">
        <v>0</v>
      </c>
      <c r="N1678" t="n">
        <v>0</v>
      </c>
      <c r="O1678" t="n">
        <v>0</v>
      </c>
      <c r="P1678" t="n">
        <v>0</v>
      </c>
      <c r="Q1678" t="n">
        <v>0</v>
      </c>
      <c r="R1678" s="2" t="inlineStr"/>
    </row>
    <row r="1679" ht="15" customHeight="1">
      <c r="A1679" t="inlineStr">
        <is>
          <t>A 22735-2023</t>
        </is>
      </c>
      <c r="B1679" s="1" t="n">
        <v>45071</v>
      </c>
      <c r="C1679" s="1" t="n">
        <v>45192</v>
      </c>
      <c r="D1679" t="inlineStr">
        <is>
          <t>VÄSTERBOTTENS LÄN</t>
        </is>
      </c>
      <c r="E1679" t="inlineStr">
        <is>
          <t>SKELLEFTEÅ</t>
        </is>
      </c>
      <c r="G1679" t="n">
        <v>3.9</v>
      </c>
      <c r="H1679" t="n">
        <v>0</v>
      </c>
      <c r="I1679" t="n">
        <v>0</v>
      </c>
      <c r="J1679" t="n">
        <v>0</v>
      </c>
      <c r="K1679" t="n">
        <v>0</v>
      </c>
      <c r="L1679" t="n">
        <v>0</v>
      </c>
      <c r="M1679" t="n">
        <v>0</v>
      </c>
      <c r="N1679" t="n">
        <v>0</v>
      </c>
      <c r="O1679" t="n">
        <v>0</v>
      </c>
      <c r="P1679" t="n">
        <v>0</v>
      </c>
      <c r="Q1679" t="n">
        <v>0</v>
      </c>
      <c r="R1679" s="2" t="inlineStr"/>
    </row>
    <row r="1680" ht="15" customHeight="1">
      <c r="A1680" t="inlineStr">
        <is>
          <t>A 22579-2023</t>
        </is>
      </c>
      <c r="B1680" s="1" t="n">
        <v>45071</v>
      </c>
      <c r="C1680" s="1" t="n">
        <v>45192</v>
      </c>
      <c r="D1680" t="inlineStr">
        <is>
          <t>VÄSTERBOTTENS LÄN</t>
        </is>
      </c>
      <c r="E1680" t="inlineStr">
        <is>
          <t>SKELLEFTEÅ</t>
        </is>
      </c>
      <c r="G1680" t="n">
        <v>1.9</v>
      </c>
      <c r="H1680" t="n">
        <v>0</v>
      </c>
      <c r="I1680" t="n">
        <v>0</v>
      </c>
      <c r="J1680" t="n">
        <v>0</v>
      </c>
      <c r="K1680" t="n">
        <v>0</v>
      </c>
      <c r="L1680" t="n">
        <v>0</v>
      </c>
      <c r="M1680" t="n">
        <v>0</v>
      </c>
      <c r="N1680" t="n">
        <v>0</v>
      </c>
      <c r="O1680" t="n">
        <v>0</v>
      </c>
      <c r="P1680" t="n">
        <v>0</v>
      </c>
      <c r="Q1680" t="n">
        <v>0</v>
      </c>
      <c r="R1680" s="2" t="inlineStr"/>
    </row>
    <row r="1681" ht="15" customHeight="1">
      <c r="A1681" t="inlineStr">
        <is>
          <t>A 23710-2023</t>
        </is>
      </c>
      <c r="B1681" s="1" t="n">
        <v>45075</v>
      </c>
      <c r="C1681" s="1" t="n">
        <v>45192</v>
      </c>
      <c r="D1681" t="inlineStr">
        <is>
          <t>VÄSTERBOTTENS LÄN</t>
        </is>
      </c>
      <c r="E1681" t="inlineStr">
        <is>
          <t>SKELLEFTEÅ</t>
        </is>
      </c>
      <c r="G1681" t="n">
        <v>1.5</v>
      </c>
      <c r="H1681" t="n">
        <v>0</v>
      </c>
      <c r="I1681" t="n">
        <v>0</v>
      </c>
      <c r="J1681" t="n">
        <v>0</v>
      </c>
      <c r="K1681" t="n">
        <v>0</v>
      </c>
      <c r="L1681" t="n">
        <v>0</v>
      </c>
      <c r="M1681" t="n">
        <v>0</v>
      </c>
      <c r="N1681" t="n">
        <v>0</v>
      </c>
      <c r="O1681" t="n">
        <v>0</v>
      </c>
      <c r="P1681" t="n">
        <v>0</v>
      </c>
      <c r="Q1681" t="n">
        <v>0</v>
      </c>
      <c r="R1681" s="2" t="inlineStr"/>
    </row>
    <row r="1682" ht="15" customHeight="1">
      <c r="A1682" t="inlineStr">
        <is>
          <t>A 23704-2023</t>
        </is>
      </c>
      <c r="B1682" s="1" t="n">
        <v>45075</v>
      </c>
      <c r="C1682" s="1" t="n">
        <v>45192</v>
      </c>
      <c r="D1682" t="inlineStr">
        <is>
          <t>VÄSTERBOTTENS LÄN</t>
        </is>
      </c>
      <c r="E1682" t="inlineStr">
        <is>
          <t>SKELLEFTEÅ</t>
        </is>
      </c>
      <c r="G1682" t="n">
        <v>0.5</v>
      </c>
      <c r="H1682" t="n">
        <v>0</v>
      </c>
      <c r="I1682" t="n">
        <v>0</v>
      </c>
      <c r="J1682" t="n">
        <v>0</v>
      </c>
      <c r="K1682" t="n">
        <v>0</v>
      </c>
      <c r="L1682" t="n">
        <v>0</v>
      </c>
      <c r="M1682" t="n">
        <v>0</v>
      </c>
      <c r="N1682" t="n">
        <v>0</v>
      </c>
      <c r="O1682" t="n">
        <v>0</v>
      </c>
      <c r="P1682" t="n">
        <v>0</v>
      </c>
      <c r="Q1682" t="n">
        <v>0</v>
      </c>
      <c r="R1682" s="2" t="inlineStr"/>
    </row>
    <row r="1683" ht="15" customHeight="1">
      <c r="A1683" t="inlineStr">
        <is>
          <t>A 23709-2023</t>
        </is>
      </c>
      <c r="B1683" s="1" t="n">
        <v>45075</v>
      </c>
      <c r="C1683" s="1" t="n">
        <v>45192</v>
      </c>
      <c r="D1683" t="inlineStr">
        <is>
          <t>VÄSTERBOTTENS LÄN</t>
        </is>
      </c>
      <c r="E1683" t="inlineStr">
        <is>
          <t>SKELLEFTEÅ</t>
        </is>
      </c>
      <c r="G1683" t="n">
        <v>1.2</v>
      </c>
      <c r="H1683" t="n">
        <v>0</v>
      </c>
      <c r="I1683" t="n">
        <v>0</v>
      </c>
      <c r="J1683" t="n">
        <v>0</v>
      </c>
      <c r="K1683" t="n">
        <v>0</v>
      </c>
      <c r="L1683" t="n">
        <v>0</v>
      </c>
      <c r="M1683" t="n">
        <v>0</v>
      </c>
      <c r="N1683" t="n">
        <v>0</v>
      </c>
      <c r="O1683" t="n">
        <v>0</v>
      </c>
      <c r="P1683" t="n">
        <v>0</v>
      </c>
      <c r="Q1683" t="n">
        <v>0</v>
      </c>
      <c r="R1683" s="2" t="inlineStr"/>
    </row>
    <row r="1684" ht="15" customHeight="1">
      <c r="A1684" t="inlineStr">
        <is>
          <t>A 23392-2023</t>
        </is>
      </c>
      <c r="B1684" s="1" t="n">
        <v>45076</v>
      </c>
      <c r="C1684" s="1" t="n">
        <v>45192</v>
      </c>
      <c r="D1684" t="inlineStr">
        <is>
          <t>VÄSTERBOTTENS LÄN</t>
        </is>
      </c>
      <c r="E1684" t="inlineStr">
        <is>
          <t>SKELLEFTEÅ</t>
        </is>
      </c>
      <c r="G1684" t="n">
        <v>11.1</v>
      </c>
      <c r="H1684" t="n">
        <v>0</v>
      </c>
      <c r="I1684" t="n">
        <v>0</v>
      </c>
      <c r="J1684" t="n">
        <v>0</v>
      </c>
      <c r="K1684" t="n">
        <v>0</v>
      </c>
      <c r="L1684" t="n">
        <v>0</v>
      </c>
      <c r="M1684" t="n">
        <v>0</v>
      </c>
      <c r="N1684" t="n">
        <v>0</v>
      </c>
      <c r="O1684" t="n">
        <v>0</v>
      </c>
      <c r="P1684" t="n">
        <v>0</v>
      </c>
      <c r="Q1684" t="n">
        <v>0</v>
      </c>
      <c r="R1684" s="2" t="inlineStr"/>
    </row>
    <row r="1685" ht="15" customHeight="1">
      <c r="A1685" t="inlineStr">
        <is>
          <t>A 24430-2023</t>
        </is>
      </c>
      <c r="B1685" s="1" t="n">
        <v>45076</v>
      </c>
      <c r="C1685" s="1" t="n">
        <v>45192</v>
      </c>
      <c r="D1685" t="inlineStr">
        <is>
          <t>VÄSTERBOTTENS LÄN</t>
        </is>
      </c>
      <c r="E1685" t="inlineStr">
        <is>
          <t>SKELLEFTEÅ</t>
        </is>
      </c>
      <c r="G1685" t="n">
        <v>1.4</v>
      </c>
      <c r="H1685" t="n">
        <v>0</v>
      </c>
      <c r="I1685" t="n">
        <v>0</v>
      </c>
      <c r="J1685" t="n">
        <v>0</v>
      </c>
      <c r="K1685" t="n">
        <v>0</v>
      </c>
      <c r="L1685" t="n">
        <v>0</v>
      </c>
      <c r="M1685" t="n">
        <v>0</v>
      </c>
      <c r="N1685" t="n">
        <v>0</v>
      </c>
      <c r="O1685" t="n">
        <v>0</v>
      </c>
      <c r="P1685" t="n">
        <v>0</v>
      </c>
      <c r="Q1685" t="n">
        <v>0</v>
      </c>
      <c r="R1685" s="2" t="inlineStr"/>
    </row>
    <row r="1686" ht="15" customHeight="1">
      <c r="A1686" t="inlineStr">
        <is>
          <t>A 23757-2023</t>
        </is>
      </c>
      <c r="B1686" s="1" t="n">
        <v>45077</v>
      </c>
      <c r="C1686" s="1" t="n">
        <v>45192</v>
      </c>
      <c r="D1686" t="inlineStr">
        <is>
          <t>VÄSTERBOTTENS LÄN</t>
        </is>
      </c>
      <c r="E1686" t="inlineStr">
        <is>
          <t>SKELLEFTEÅ</t>
        </is>
      </c>
      <c r="G1686" t="n">
        <v>1.3</v>
      </c>
      <c r="H1686" t="n">
        <v>0</v>
      </c>
      <c r="I1686" t="n">
        <v>0</v>
      </c>
      <c r="J1686" t="n">
        <v>0</v>
      </c>
      <c r="K1686" t="n">
        <v>0</v>
      </c>
      <c r="L1686" t="n">
        <v>0</v>
      </c>
      <c r="M1686" t="n">
        <v>0</v>
      </c>
      <c r="N1686" t="n">
        <v>0</v>
      </c>
      <c r="O1686" t="n">
        <v>0</v>
      </c>
      <c r="P1686" t="n">
        <v>0</v>
      </c>
      <c r="Q1686" t="n">
        <v>0</v>
      </c>
      <c r="R1686" s="2" t="inlineStr"/>
    </row>
    <row r="1687" ht="15" customHeight="1">
      <c r="A1687" t="inlineStr">
        <is>
          <t>A 23759-2023</t>
        </is>
      </c>
      <c r="B1687" s="1" t="n">
        <v>45077</v>
      </c>
      <c r="C1687" s="1" t="n">
        <v>45192</v>
      </c>
      <c r="D1687" t="inlineStr">
        <is>
          <t>VÄSTERBOTTENS LÄN</t>
        </is>
      </c>
      <c r="E1687" t="inlineStr">
        <is>
          <t>SKELLEFTEÅ</t>
        </is>
      </c>
      <c r="G1687" t="n">
        <v>2.3</v>
      </c>
      <c r="H1687" t="n">
        <v>0</v>
      </c>
      <c r="I1687" t="n">
        <v>0</v>
      </c>
      <c r="J1687" t="n">
        <v>0</v>
      </c>
      <c r="K1687" t="n">
        <v>0</v>
      </c>
      <c r="L1687" t="n">
        <v>0</v>
      </c>
      <c r="M1687" t="n">
        <v>0</v>
      </c>
      <c r="N1687" t="n">
        <v>0</v>
      </c>
      <c r="O1687" t="n">
        <v>0</v>
      </c>
      <c r="P1687" t="n">
        <v>0</v>
      </c>
      <c r="Q1687" t="n">
        <v>0</v>
      </c>
      <c r="R1687" s="2" t="inlineStr"/>
    </row>
    <row r="1688" ht="15" customHeight="1">
      <c r="A1688" t="inlineStr">
        <is>
          <t>A 23761-2023</t>
        </is>
      </c>
      <c r="B1688" s="1" t="n">
        <v>45077</v>
      </c>
      <c r="C1688" s="1" t="n">
        <v>45192</v>
      </c>
      <c r="D1688" t="inlineStr">
        <is>
          <t>VÄSTERBOTTENS LÄN</t>
        </is>
      </c>
      <c r="E1688" t="inlineStr">
        <is>
          <t>SKELLEFTEÅ</t>
        </is>
      </c>
      <c r="G1688" t="n">
        <v>0.8</v>
      </c>
      <c r="H1688" t="n">
        <v>0</v>
      </c>
      <c r="I1688" t="n">
        <v>0</v>
      </c>
      <c r="J1688" t="n">
        <v>0</v>
      </c>
      <c r="K1688" t="n">
        <v>0</v>
      </c>
      <c r="L1688" t="n">
        <v>0</v>
      </c>
      <c r="M1688" t="n">
        <v>0</v>
      </c>
      <c r="N1688" t="n">
        <v>0</v>
      </c>
      <c r="O1688" t="n">
        <v>0</v>
      </c>
      <c r="P1688" t="n">
        <v>0</v>
      </c>
      <c r="Q1688" t="n">
        <v>0</v>
      </c>
      <c r="R1688" s="2" t="inlineStr"/>
    </row>
    <row r="1689" ht="15" customHeight="1">
      <c r="A1689" t="inlineStr">
        <is>
          <t>A 23714-2023</t>
        </is>
      </c>
      <c r="B1689" s="1" t="n">
        <v>45077</v>
      </c>
      <c r="C1689" s="1" t="n">
        <v>45192</v>
      </c>
      <c r="D1689" t="inlineStr">
        <is>
          <t>VÄSTERBOTTENS LÄN</t>
        </is>
      </c>
      <c r="E1689" t="inlineStr">
        <is>
          <t>SKELLEFTEÅ</t>
        </is>
      </c>
      <c r="F1689" t="inlineStr">
        <is>
          <t>Holmen skog AB</t>
        </is>
      </c>
      <c r="G1689" t="n">
        <v>15.5</v>
      </c>
      <c r="H1689" t="n">
        <v>0</v>
      </c>
      <c r="I1689" t="n">
        <v>0</v>
      </c>
      <c r="J1689" t="n">
        <v>0</v>
      </c>
      <c r="K1689" t="n">
        <v>0</v>
      </c>
      <c r="L1689" t="n">
        <v>0</v>
      </c>
      <c r="M1689" t="n">
        <v>0</v>
      </c>
      <c r="N1689" t="n">
        <v>0</v>
      </c>
      <c r="O1689" t="n">
        <v>0</v>
      </c>
      <c r="P1689" t="n">
        <v>0</v>
      </c>
      <c r="Q1689" t="n">
        <v>0</v>
      </c>
      <c r="R1689" s="2" t="inlineStr"/>
    </row>
    <row r="1690" ht="15" customHeight="1">
      <c r="A1690" t="inlineStr">
        <is>
          <t>A 23750-2023</t>
        </is>
      </c>
      <c r="B1690" s="1" t="n">
        <v>45077</v>
      </c>
      <c r="C1690" s="1" t="n">
        <v>45192</v>
      </c>
      <c r="D1690" t="inlineStr">
        <is>
          <t>VÄSTERBOTTENS LÄN</t>
        </is>
      </c>
      <c r="E1690" t="inlineStr">
        <is>
          <t>SKELLEFTEÅ</t>
        </is>
      </c>
      <c r="G1690" t="n">
        <v>11.2</v>
      </c>
      <c r="H1690" t="n">
        <v>0</v>
      </c>
      <c r="I1690" t="n">
        <v>0</v>
      </c>
      <c r="J1690" t="n">
        <v>0</v>
      </c>
      <c r="K1690" t="n">
        <v>0</v>
      </c>
      <c r="L1690" t="n">
        <v>0</v>
      </c>
      <c r="M1690" t="n">
        <v>0</v>
      </c>
      <c r="N1690" t="n">
        <v>0</v>
      </c>
      <c r="O1690" t="n">
        <v>0</v>
      </c>
      <c r="P1690" t="n">
        <v>0</v>
      </c>
      <c r="Q1690" t="n">
        <v>0</v>
      </c>
      <c r="R1690" s="2" t="inlineStr"/>
    </row>
    <row r="1691" ht="15" customHeight="1">
      <c r="A1691" t="inlineStr">
        <is>
          <t>A 23760-2023</t>
        </is>
      </c>
      <c r="B1691" s="1" t="n">
        <v>45077</v>
      </c>
      <c r="C1691" s="1" t="n">
        <v>45192</v>
      </c>
      <c r="D1691" t="inlineStr">
        <is>
          <t>VÄSTERBOTTENS LÄN</t>
        </is>
      </c>
      <c r="E1691" t="inlineStr">
        <is>
          <t>SKELLEFTEÅ</t>
        </is>
      </c>
      <c r="G1691" t="n">
        <v>0.5</v>
      </c>
      <c r="H1691" t="n">
        <v>0</v>
      </c>
      <c r="I1691" t="n">
        <v>0</v>
      </c>
      <c r="J1691" t="n">
        <v>0</v>
      </c>
      <c r="K1691" t="n">
        <v>0</v>
      </c>
      <c r="L1691" t="n">
        <v>0</v>
      </c>
      <c r="M1691" t="n">
        <v>0</v>
      </c>
      <c r="N1691" t="n">
        <v>0</v>
      </c>
      <c r="O1691" t="n">
        <v>0</v>
      </c>
      <c r="P1691" t="n">
        <v>0</v>
      </c>
      <c r="Q1691" t="n">
        <v>0</v>
      </c>
      <c r="R1691" s="2" t="inlineStr"/>
    </row>
    <row r="1692" ht="15" customHeight="1">
      <c r="A1692" t="inlineStr">
        <is>
          <t>A 25245-2023</t>
        </is>
      </c>
      <c r="B1692" s="1" t="n">
        <v>45079</v>
      </c>
      <c r="C1692" s="1" t="n">
        <v>45192</v>
      </c>
      <c r="D1692" t="inlineStr">
        <is>
          <t>VÄSTERBOTTENS LÄN</t>
        </is>
      </c>
      <c r="E1692" t="inlineStr">
        <is>
          <t>SKELLEFTEÅ</t>
        </is>
      </c>
      <c r="G1692" t="n">
        <v>4.6</v>
      </c>
      <c r="H1692" t="n">
        <v>0</v>
      </c>
      <c r="I1692" t="n">
        <v>0</v>
      </c>
      <c r="J1692" t="n">
        <v>0</v>
      </c>
      <c r="K1692" t="n">
        <v>0</v>
      </c>
      <c r="L1692" t="n">
        <v>0</v>
      </c>
      <c r="M1692" t="n">
        <v>0</v>
      </c>
      <c r="N1692" t="n">
        <v>0</v>
      </c>
      <c r="O1692" t="n">
        <v>0</v>
      </c>
      <c r="P1692" t="n">
        <v>0</v>
      </c>
      <c r="Q1692" t="n">
        <v>0</v>
      </c>
      <c r="R1692" s="2" t="inlineStr"/>
    </row>
    <row r="1693" ht="15" customHeight="1">
      <c r="A1693" t="inlineStr">
        <is>
          <t>A 25237-2023</t>
        </is>
      </c>
      <c r="B1693" s="1" t="n">
        <v>45079</v>
      </c>
      <c r="C1693" s="1" t="n">
        <v>45192</v>
      </c>
      <c r="D1693" t="inlineStr">
        <is>
          <t>VÄSTERBOTTENS LÄN</t>
        </is>
      </c>
      <c r="E1693" t="inlineStr">
        <is>
          <t>SKELLEFTEÅ</t>
        </is>
      </c>
      <c r="G1693" t="n">
        <v>1.1</v>
      </c>
      <c r="H1693" t="n">
        <v>0</v>
      </c>
      <c r="I1693" t="n">
        <v>0</v>
      </c>
      <c r="J1693" t="n">
        <v>0</v>
      </c>
      <c r="K1693" t="n">
        <v>0</v>
      </c>
      <c r="L1693" t="n">
        <v>0</v>
      </c>
      <c r="M1693" t="n">
        <v>0</v>
      </c>
      <c r="N1693" t="n">
        <v>0</v>
      </c>
      <c r="O1693" t="n">
        <v>0</v>
      </c>
      <c r="P1693" t="n">
        <v>0</v>
      </c>
      <c r="Q1693" t="n">
        <v>0</v>
      </c>
      <c r="R1693" s="2" t="inlineStr"/>
    </row>
    <row r="1694" ht="15" customHeight="1">
      <c r="A1694" t="inlineStr">
        <is>
          <t>A 25256-2023</t>
        </is>
      </c>
      <c r="B1694" s="1" t="n">
        <v>45079</v>
      </c>
      <c r="C1694" s="1" t="n">
        <v>45192</v>
      </c>
      <c r="D1694" t="inlineStr">
        <is>
          <t>VÄSTERBOTTENS LÄN</t>
        </is>
      </c>
      <c r="E1694" t="inlineStr">
        <is>
          <t>SKELLEFTEÅ</t>
        </is>
      </c>
      <c r="G1694" t="n">
        <v>2.9</v>
      </c>
      <c r="H1694" t="n">
        <v>0</v>
      </c>
      <c r="I1694" t="n">
        <v>0</v>
      </c>
      <c r="J1694" t="n">
        <v>0</v>
      </c>
      <c r="K1694" t="n">
        <v>0</v>
      </c>
      <c r="L1694" t="n">
        <v>0</v>
      </c>
      <c r="M1694" t="n">
        <v>0</v>
      </c>
      <c r="N1694" t="n">
        <v>0</v>
      </c>
      <c r="O1694" t="n">
        <v>0</v>
      </c>
      <c r="P1694" t="n">
        <v>0</v>
      </c>
      <c r="Q1694" t="n">
        <v>0</v>
      </c>
      <c r="R1694" s="2" t="inlineStr"/>
    </row>
    <row r="1695" ht="15" customHeight="1">
      <c r="A1695" t="inlineStr">
        <is>
          <t>A 24320-2023</t>
        </is>
      </c>
      <c r="B1695" s="1" t="n">
        <v>45080</v>
      </c>
      <c r="C1695" s="1" t="n">
        <v>45192</v>
      </c>
      <c r="D1695" t="inlineStr">
        <is>
          <t>VÄSTERBOTTENS LÄN</t>
        </is>
      </c>
      <c r="E1695" t="inlineStr">
        <is>
          <t>SKELLEFTEÅ</t>
        </is>
      </c>
      <c r="F1695" t="inlineStr">
        <is>
          <t>Sveaskog</t>
        </is>
      </c>
      <c r="G1695" t="n">
        <v>27.5</v>
      </c>
      <c r="H1695" t="n">
        <v>0</v>
      </c>
      <c r="I1695" t="n">
        <v>0</v>
      </c>
      <c r="J1695" t="n">
        <v>0</v>
      </c>
      <c r="K1695" t="n">
        <v>0</v>
      </c>
      <c r="L1695" t="n">
        <v>0</v>
      </c>
      <c r="M1695" t="n">
        <v>0</v>
      </c>
      <c r="N1695" t="n">
        <v>0</v>
      </c>
      <c r="O1695" t="n">
        <v>0</v>
      </c>
      <c r="P1695" t="n">
        <v>0</v>
      </c>
      <c r="Q1695" t="n">
        <v>0</v>
      </c>
      <c r="R1695" s="2" t="inlineStr"/>
    </row>
    <row r="1696" ht="15" customHeight="1">
      <c r="A1696" t="inlineStr">
        <is>
          <t>A 24327-2023</t>
        </is>
      </c>
      <c r="B1696" s="1" t="n">
        <v>45080</v>
      </c>
      <c r="C1696" s="1" t="n">
        <v>45192</v>
      </c>
      <c r="D1696" t="inlineStr">
        <is>
          <t>VÄSTERBOTTENS LÄN</t>
        </is>
      </c>
      <c r="E1696" t="inlineStr">
        <is>
          <t>SKELLEFTEÅ</t>
        </is>
      </c>
      <c r="F1696" t="inlineStr">
        <is>
          <t>SCA</t>
        </is>
      </c>
      <c r="G1696" t="n">
        <v>5.5</v>
      </c>
      <c r="H1696" t="n">
        <v>0</v>
      </c>
      <c r="I1696" t="n">
        <v>0</v>
      </c>
      <c r="J1696" t="n">
        <v>0</v>
      </c>
      <c r="K1696" t="n">
        <v>0</v>
      </c>
      <c r="L1696" t="n">
        <v>0</v>
      </c>
      <c r="M1696" t="n">
        <v>0</v>
      </c>
      <c r="N1696" t="n">
        <v>0</v>
      </c>
      <c r="O1696" t="n">
        <v>0</v>
      </c>
      <c r="P1696" t="n">
        <v>0</v>
      </c>
      <c r="Q1696" t="n">
        <v>0</v>
      </c>
      <c r="R1696" s="2" t="inlineStr"/>
    </row>
    <row r="1697" ht="15" customHeight="1">
      <c r="A1697" t="inlineStr">
        <is>
          <t>A 25634-2023</t>
        </is>
      </c>
      <c r="B1697" s="1" t="n">
        <v>45084</v>
      </c>
      <c r="C1697" s="1" t="n">
        <v>45192</v>
      </c>
      <c r="D1697" t="inlineStr">
        <is>
          <t>VÄSTERBOTTENS LÄN</t>
        </is>
      </c>
      <c r="E1697" t="inlineStr">
        <is>
          <t>SKELLEFTEÅ</t>
        </is>
      </c>
      <c r="G1697" t="n">
        <v>0.2</v>
      </c>
      <c r="H1697" t="n">
        <v>0</v>
      </c>
      <c r="I1697" t="n">
        <v>0</v>
      </c>
      <c r="J1697" t="n">
        <v>0</v>
      </c>
      <c r="K1697" t="n">
        <v>0</v>
      </c>
      <c r="L1697" t="n">
        <v>0</v>
      </c>
      <c r="M1697" t="n">
        <v>0</v>
      </c>
      <c r="N1697" t="n">
        <v>0</v>
      </c>
      <c r="O1697" t="n">
        <v>0</v>
      </c>
      <c r="P1697" t="n">
        <v>0</v>
      </c>
      <c r="Q1697" t="n">
        <v>0</v>
      </c>
      <c r="R1697" s="2" t="inlineStr"/>
    </row>
    <row r="1698" ht="15" customHeight="1">
      <c r="A1698" t="inlineStr">
        <is>
          <t>A 25626-2023</t>
        </is>
      </c>
      <c r="B1698" s="1" t="n">
        <v>45084</v>
      </c>
      <c r="C1698" s="1" t="n">
        <v>45192</v>
      </c>
      <c r="D1698" t="inlineStr">
        <is>
          <t>VÄSTERBOTTENS LÄN</t>
        </is>
      </c>
      <c r="E1698" t="inlineStr">
        <is>
          <t>SKELLEFTEÅ</t>
        </is>
      </c>
      <c r="G1698" t="n">
        <v>0.6</v>
      </c>
      <c r="H1698" t="n">
        <v>0</v>
      </c>
      <c r="I1698" t="n">
        <v>0</v>
      </c>
      <c r="J1698" t="n">
        <v>0</v>
      </c>
      <c r="K1698" t="n">
        <v>0</v>
      </c>
      <c r="L1698" t="n">
        <v>0</v>
      </c>
      <c r="M1698" t="n">
        <v>0</v>
      </c>
      <c r="N1698" t="n">
        <v>0</v>
      </c>
      <c r="O1698" t="n">
        <v>0</v>
      </c>
      <c r="P1698" t="n">
        <v>0</v>
      </c>
      <c r="Q1698" t="n">
        <v>0</v>
      </c>
      <c r="R1698" s="2" t="inlineStr"/>
    </row>
    <row r="1699" ht="15" customHeight="1">
      <c r="A1699" t="inlineStr">
        <is>
          <t>A 25638-2023</t>
        </is>
      </c>
      <c r="B1699" s="1" t="n">
        <v>45084</v>
      </c>
      <c r="C1699" s="1" t="n">
        <v>45192</v>
      </c>
      <c r="D1699" t="inlineStr">
        <is>
          <t>VÄSTERBOTTENS LÄN</t>
        </is>
      </c>
      <c r="E1699" t="inlineStr">
        <is>
          <t>SKELLEFTEÅ</t>
        </is>
      </c>
      <c r="G1699" t="n">
        <v>1.2</v>
      </c>
      <c r="H1699" t="n">
        <v>0</v>
      </c>
      <c r="I1699" t="n">
        <v>0</v>
      </c>
      <c r="J1699" t="n">
        <v>0</v>
      </c>
      <c r="K1699" t="n">
        <v>0</v>
      </c>
      <c r="L1699" t="n">
        <v>0</v>
      </c>
      <c r="M1699" t="n">
        <v>0</v>
      </c>
      <c r="N1699" t="n">
        <v>0</v>
      </c>
      <c r="O1699" t="n">
        <v>0</v>
      </c>
      <c r="P1699" t="n">
        <v>0</v>
      </c>
      <c r="Q1699" t="n">
        <v>0</v>
      </c>
      <c r="R1699" s="2" t="inlineStr"/>
    </row>
    <row r="1700" ht="15" customHeight="1">
      <c r="A1700" t="inlineStr">
        <is>
          <t>A 24725-2023</t>
        </is>
      </c>
      <c r="B1700" s="1" t="n">
        <v>45084</v>
      </c>
      <c r="C1700" s="1" t="n">
        <v>45192</v>
      </c>
      <c r="D1700" t="inlineStr">
        <is>
          <t>VÄSTERBOTTENS LÄN</t>
        </is>
      </c>
      <c r="E1700" t="inlineStr">
        <is>
          <t>SKELLEFTEÅ</t>
        </is>
      </c>
      <c r="F1700" t="inlineStr">
        <is>
          <t>Holmen skog AB</t>
        </is>
      </c>
      <c r="G1700" t="n">
        <v>7</v>
      </c>
      <c r="H1700" t="n">
        <v>0</v>
      </c>
      <c r="I1700" t="n">
        <v>0</v>
      </c>
      <c r="J1700" t="n">
        <v>0</v>
      </c>
      <c r="K1700" t="n">
        <v>0</v>
      </c>
      <c r="L1700" t="n">
        <v>0</v>
      </c>
      <c r="M1700" t="n">
        <v>0</v>
      </c>
      <c r="N1700" t="n">
        <v>0</v>
      </c>
      <c r="O1700" t="n">
        <v>0</v>
      </c>
      <c r="P1700" t="n">
        <v>0</v>
      </c>
      <c r="Q1700" t="n">
        <v>0</v>
      </c>
      <c r="R1700" s="2" t="inlineStr"/>
    </row>
    <row r="1701" ht="15" customHeight="1">
      <c r="A1701" t="inlineStr">
        <is>
          <t>A 25632-2023</t>
        </is>
      </c>
      <c r="B1701" s="1" t="n">
        <v>45084</v>
      </c>
      <c r="C1701" s="1" t="n">
        <v>45192</v>
      </c>
      <c r="D1701" t="inlineStr">
        <is>
          <t>VÄSTERBOTTENS LÄN</t>
        </is>
      </c>
      <c r="E1701" t="inlineStr">
        <is>
          <t>SKELLEFTEÅ</t>
        </is>
      </c>
      <c r="G1701" t="n">
        <v>0.7</v>
      </c>
      <c r="H1701" t="n">
        <v>0</v>
      </c>
      <c r="I1701" t="n">
        <v>0</v>
      </c>
      <c r="J1701" t="n">
        <v>0</v>
      </c>
      <c r="K1701" t="n">
        <v>0</v>
      </c>
      <c r="L1701" t="n">
        <v>0</v>
      </c>
      <c r="M1701" t="n">
        <v>0</v>
      </c>
      <c r="N1701" t="n">
        <v>0</v>
      </c>
      <c r="O1701" t="n">
        <v>0</v>
      </c>
      <c r="P1701" t="n">
        <v>0</v>
      </c>
      <c r="Q1701" t="n">
        <v>0</v>
      </c>
      <c r="R1701" s="2" t="inlineStr"/>
    </row>
    <row r="1702" ht="15" customHeight="1">
      <c r="A1702" t="inlineStr">
        <is>
          <t>A 25019-2023</t>
        </is>
      </c>
      <c r="B1702" s="1" t="n">
        <v>45085</v>
      </c>
      <c r="C1702" s="1" t="n">
        <v>45192</v>
      </c>
      <c r="D1702" t="inlineStr">
        <is>
          <t>VÄSTERBOTTENS LÄN</t>
        </is>
      </c>
      <c r="E1702" t="inlineStr">
        <is>
          <t>SKELLEFTEÅ</t>
        </is>
      </c>
      <c r="F1702" t="inlineStr">
        <is>
          <t>Sveaskog</t>
        </is>
      </c>
      <c r="G1702" t="n">
        <v>11.6</v>
      </c>
      <c r="H1702" t="n">
        <v>0</v>
      </c>
      <c r="I1702" t="n">
        <v>0</v>
      </c>
      <c r="J1702" t="n">
        <v>0</v>
      </c>
      <c r="K1702" t="n">
        <v>0</v>
      </c>
      <c r="L1702" t="n">
        <v>0</v>
      </c>
      <c r="M1702" t="n">
        <v>0</v>
      </c>
      <c r="N1702" t="n">
        <v>0</v>
      </c>
      <c r="O1702" t="n">
        <v>0</v>
      </c>
      <c r="P1702" t="n">
        <v>0</v>
      </c>
      <c r="Q1702" t="n">
        <v>0</v>
      </c>
      <c r="R1702" s="2" t="inlineStr"/>
    </row>
    <row r="1703" ht="15" customHeight="1">
      <c r="A1703" t="inlineStr">
        <is>
          <t>A 24963-2023</t>
        </is>
      </c>
      <c r="B1703" s="1" t="n">
        <v>45085</v>
      </c>
      <c r="C1703" s="1" t="n">
        <v>45192</v>
      </c>
      <c r="D1703" t="inlineStr">
        <is>
          <t>VÄSTERBOTTENS LÄN</t>
        </is>
      </c>
      <c r="E1703" t="inlineStr">
        <is>
          <t>SKELLEFTEÅ</t>
        </is>
      </c>
      <c r="G1703" t="n">
        <v>0.4</v>
      </c>
      <c r="H1703" t="n">
        <v>0</v>
      </c>
      <c r="I1703" t="n">
        <v>0</v>
      </c>
      <c r="J1703" t="n">
        <v>0</v>
      </c>
      <c r="K1703" t="n">
        <v>0</v>
      </c>
      <c r="L1703" t="n">
        <v>0</v>
      </c>
      <c r="M1703" t="n">
        <v>0</v>
      </c>
      <c r="N1703" t="n">
        <v>0</v>
      </c>
      <c r="O1703" t="n">
        <v>0</v>
      </c>
      <c r="P1703" t="n">
        <v>0</v>
      </c>
      <c r="Q1703" t="n">
        <v>0</v>
      </c>
      <c r="R1703" s="2" t="inlineStr"/>
    </row>
    <row r="1704" ht="15" customHeight="1">
      <c r="A1704" t="inlineStr">
        <is>
          <t>A 26477-2023</t>
        </is>
      </c>
      <c r="B1704" s="1" t="n">
        <v>45089</v>
      </c>
      <c r="C1704" s="1" t="n">
        <v>45192</v>
      </c>
      <c r="D1704" t="inlineStr">
        <is>
          <t>VÄSTERBOTTENS LÄN</t>
        </is>
      </c>
      <c r="E1704" t="inlineStr">
        <is>
          <t>SKELLEFTEÅ</t>
        </is>
      </c>
      <c r="G1704" t="n">
        <v>0.9</v>
      </c>
      <c r="H1704" t="n">
        <v>0</v>
      </c>
      <c r="I1704" t="n">
        <v>0</v>
      </c>
      <c r="J1704" t="n">
        <v>0</v>
      </c>
      <c r="K1704" t="n">
        <v>0</v>
      </c>
      <c r="L1704" t="n">
        <v>0</v>
      </c>
      <c r="M1704" t="n">
        <v>0</v>
      </c>
      <c r="N1704" t="n">
        <v>0</v>
      </c>
      <c r="O1704" t="n">
        <v>0</v>
      </c>
      <c r="P1704" t="n">
        <v>0</v>
      </c>
      <c r="Q1704" t="n">
        <v>0</v>
      </c>
      <c r="R1704" s="2" t="inlineStr"/>
    </row>
    <row r="1705" ht="15" customHeight="1">
      <c r="A1705" t="inlineStr">
        <is>
          <t>A 26767-2023</t>
        </is>
      </c>
      <c r="B1705" s="1" t="n">
        <v>45090</v>
      </c>
      <c r="C1705" s="1" t="n">
        <v>45192</v>
      </c>
      <c r="D1705" t="inlineStr">
        <is>
          <t>VÄSTERBOTTENS LÄN</t>
        </is>
      </c>
      <c r="E1705" t="inlineStr">
        <is>
          <t>SKELLEFTEÅ</t>
        </is>
      </c>
      <c r="G1705" t="n">
        <v>1.2</v>
      </c>
      <c r="H1705" t="n">
        <v>0</v>
      </c>
      <c r="I1705" t="n">
        <v>0</v>
      </c>
      <c r="J1705" t="n">
        <v>0</v>
      </c>
      <c r="K1705" t="n">
        <v>0</v>
      </c>
      <c r="L1705" t="n">
        <v>0</v>
      </c>
      <c r="M1705" t="n">
        <v>0</v>
      </c>
      <c r="N1705" t="n">
        <v>0</v>
      </c>
      <c r="O1705" t="n">
        <v>0</v>
      </c>
      <c r="P1705" t="n">
        <v>0</v>
      </c>
      <c r="Q1705" t="n">
        <v>0</v>
      </c>
      <c r="R1705" s="2" t="inlineStr"/>
    </row>
    <row r="1706" ht="15" customHeight="1">
      <c r="A1706" t="inlineStr">
        <is>
          <t>A 26783-2023</t>
        </is>
      </c>
      <c r="B1706" s="1" t="n">
        <v>45090</v>
      </c>
      <c r="C1706" s="1" t="n">
        <v>45192</v>
      </c>
      <c r="D1706" t="inlineStr">
        <is>
          <t>VÄSTERBOTTENS LÄN</t>
        </is>
      </c>
      <c r="E1706" t="inlineStr">
        <is>
          <t>SKELLEFTEÅ</t>
        </is>
      </c>
      <c r="G1706" t="n">
        <v>1.1</v>
      </c>
      <c r="H1706" t="n">
        <v>0</v>
      </c>
      <c r="I1706" t="n">
        <v>0</v>
      </c>
      <c r="J1706" t="n">
        <v>0</v>
      </c>
      <c r="K1706" t="n">
        <v>0</v>
      </c>
      <c r="L1706" t="n">
        <v>0</v>
      </c>
      <c r="M1706" t="n">
        <v>0</v>
      </c>
      <c r="N1706" t="n">
        <v>0</v>
      </c>
      <c r="O1706" t="n">
        <v>0</v>
      </c>
      <c r="P1706" t="n">
        <v>0</v>
      </c>
      <c r="Q1706" t="n">
        <v>0</v>
      </c>
      <c r="R1706" s="2" t="inlineStr"/>
    </row>
    <row r="1707" ht="15" customHeight="1">
      <c r="A1707" t="inlineStr">
        <is>
          <t>A 26160-2023</t>
        </is>
      </c>
      <c r="B1707" s="1" t="n">
        <v>45091</v>
      </c>
      <c r="C1707" s="1" t="n">
        <v>45192</v>
      </c>
      <c r="D1707" t="inlineStr">
        <is>
          <t>VÄSTERBOTTENS LÄN</t>
        </is>
      </c>
      <c r="E1707" t="inlineStr">
        <is>
          <t>SKELLEFTEÅ</t>
        </is>
      </c>
      <c r="G1707" t="n">
        <v>0.7</v>
      </c>
      <c r="H1707" t="n">
        <v>0</v>
      </c>
      <c r="I1707" t="n">
        <v>0</v>
      </c>
      <c r="J1707" t="n">
        <v>0</v>
      </c>
      <c r="K1707" t="n">
        <v>0</v>
      </c>
      <c r="L1707" t="n">
        <v>0</v>
      </c>
      <c r="M1707" t="n">
        <v>0</v>
      </c>
      <c r="N1707" t="n">
        <v>0</v>
      </c>
      <c r="O1707" t="n">
        <v>0</v>
      </c>
      <c r="P1707" t="n">
        <v>0</v>
      </c>
      <c r="Q1707" t="n">
        <v>0</v>
      </c>
      <c r="R1707" s="2" t="inlineStr"/>
    </row>
    <row r="1708" ht="15" customHeight="1">
      <c r="A1708" t="inlineStr">
        <is>
          <t>A 26095-2023</t>
        </is>
      </c>
      <c r="B1708" s="1" t="n">
        <v>45091</v>
      </c>
      <c r="C1708" s="1" t="n">
        <v>45192</v>
      </c>
      <c r="D1708" t="inlineStr">
        <is>
          <t>VÄSTERBOTTENS LÄN</t>
        </is>
      </c>
      <c r="E1708" t="inlineStr">
        <is>
          <t>SKELLEFTEÅ</t>
        </is>
      </c>
      <c r="G1708" t="n">
        <v>3.5</v>
      </c>
      <c r="H1708" t="n">
        <v>0</v>
      </c>
      <c r="I1708" t="n">
        <v>0</v>
      </c>
      <c r="J1708" t="n">
        <v>0</v>
      </c>
      <c r="K1708" t="n">
        <v>0</v>
      </c>
      <c r="L1708" t="n">
        <v>0</v>
      </c>
      <c r="M1708" t="n">
        <v>0</v>
      </c>
      <c r="N1708" t="n">
        <v>0</v>
      </c>
      <c r="O1708" t="n">
        <v>0</v>
      </c>
      <c r="P1708" t="n">
        <v>0</v>
      </c>
      <c r="Q1708" t="n">
        <v>0</v>
      </c>
      <c r="R1708" s="2" t="inlineStr"/>
    </row>
    <row r="1709" ht="15" customHeight="1">
      <c r="A1709" t="inlineStr">
        <is>
          <t>A 26955-2023</t>
        </is>
      </c>
      <c r="B1709" s="1" t="n">
        <v>45091</v>
      </c>
      <c r="C1709" s="1" t="n">
        <v>45192</v>
      </c>
      <c r="D1709" t="inlineStr">
        <is>
          <t>VÄSTERBOTTENS LÄN</t>
        </is>
      </c>
      <c r="E1709" t="inlineStr">
        <is>
          <t>SKELLEFTEÅ</t>
        </is>
      </c>
      <c r="G1709" t="n">
        <v>0.7</v>
      </c>
      <c r="H1709" t="n">
        <v>0</v>
      </c>
      <c r="I1709" t="n">
        <v>0</v>
      </c>
      <c r="J1709" t="n">
        <v>0</v>
      </c>
      <c r="K1709" t="n">
        <v>0</v>
      </c>
      <c r="L1709" t="n">
        <v>0</v>
      </c>
      <c r="M1709" t="n">
        <v>0</v>
      </c>
      <c r="N1709" t="n">
        <v>0</v>
      </c>
      <c r="O1709" t="n">
        <v>0</v>
      </c>
      <c r="P1709" t="n">
        <v>0</v>
      </c>
      <c r="Q1709" t="n">
        <v>0</v>
      </c>
      <c r="R1709" s="2" t="inlineStr"/>
    </row>
    <row r="1710" ht="15" customHeight="1">
      <c r="A1710" t="inlineStr">
        <is>
          <t>A 26978-2023</t>
        </is>
      </c>
      <c r="B1710" s="1" t="n">
        <v>45091</v>
      </c>
      <c r="C1710" s="1" t="n">
        <v>45192</v>
      </c>
      <c r="D1710" t="inlineStr">
        <is>
          <t>VÄSTERBOTTENS LÄN</t>
        </is>
      </c>
      <c r="E1710" t="inlineStr">
        <is>
          <t>SKELLEFTEÅ</t>
        </is>
      </c>
      <c r="G1710" t="n">
        <v>9.199999999999999</v>
      </c>
      <c r="H1710" t="n">
        <v>0</v>
      </c>
      <c r="I1710" t="n">
        <v>0</v>
      </c>
      <c r="J1710" t="n">
        <v>0</v>
      </c>
      <c r="K1710" t="n">
        <v>0</v>
      </c>
      <c r="L1710" t="n">
        <v>0</v>
      </c>
      <c r="M1710" t="n">
        <v>0</v>
      </c>
      <c r="N1710" t="n">
        <v>0</v>
      </c>
      <c r="O1710" t="n">
        <v>0</v>
      </c>
      <c r="P1710" t="n">
        <v>0</v>
      </c>
      <c r="Q1710" t="n">
        <v>0</v>
      </c>
      <c r="R1710" s="2" t="inlineStr"/>
    </row>
    <row r="1711" ht="15" customHeight="1">
      <c r="A1711" t="inlineStr">
        <is>
          <t>A 26632-2023</t>
        </is>
      </c>
      <c r="B1711" s="1" t="n">
        <v>45092</v>
      </c>
      <c r="C1711" s="1" t="n">
        <v>45192</v>
      </c>
      <c r="D1711" t="inlineStr">
        <is>
          <t>VÄSTERBOTTENS LÄN</t>
        </is>
      </c>
      <c r="E1711" t="inlineStr">
        <is>
          <t>SKELLEFTEÅ</t>
        </is>
      </c>
      <c r="G1711" t="n">
        <v>2</v>
      </c>
      <c r="H1711" t="n">
        <v>0</v>
      </c>
      <c r="I1711" t="n">
        <v>0</v>
      </c>
      <c r="J1711" t="n">
        <v>0</v>
      </c>
      <c r="K1711" t="n">
        <v>0</v>
      </c>
      <c r="L1711" t="n">
        <v>0</v>
      </c>
      <c r="M1711" t="n">
        <v>0</v>
      </c>
      <c r="N1711" t="n">
        <v>0</v>
      </c>
      <c r="O1711" t="n">
        <v>0</v>
      </c>
      <c r="P1711" t="n">
        <v>0</v>
      </c>
      <c r="Q1711" t="n">
        <v>0</v>
      </c>
      <c r="R1711" s="2" t="inlineStr"/>
    </row>
    <row r="1712" ht="15" customHeight="1">
      <c r="A1712" t="inlineStr">
        <is>
          <t>A 26720-2023</t>
        </is>
      </c>
      <c r="B1712" s="1" t="n">
        <v>45093</v>
      </c>
      <c r="C1712" s="1" t="n">
        <v>45192</v>
      </c>
      <c r="D1712" t="inlineStr">
        <is>
          <t>VÄSTERBOTTENS LÄN</t>
        </is>
      </c>
      <c r="E1712" t="inlineStr">
        <is>
          <t>SKELLEFTEÅ</t>
        </is>
      </c>
      <c r="F1712" t="inlineStr">
        <is>
          <t>Kyrkan</t>
        </is>
      </c>
      <c r="G1712" t="n">
        <v>25.4</v>
      </c>
      <c r="H1712" t="n">
        <v>0</v>
      </c>
      <c r="I1712" t="n">
        <v>0</v>
      </c>
      <c r="J1712" t="n">
        <v>0</v>
      </c>
      <c r="K1712" t="n">
        <v>0</v>
      </c>
      <c r="L1712" t="n">
        <v>0</v>
      </c>
      <c r="M1712" t="n">
        <v>0</v>
      </c>
      <c r="N1712" t="n">
        <v>0</v>
      </c>
      <c r="O1712" t="n">
        <v>0</v>
      </c>
      <c r="P1712" t="n">
        <v>0</v>
      </c>
      <c r="Q1712" t="n">
        <v>0</v>
      </c>
      <c r="R1712" s="2" t="inlineStr"/>
    </row>
    <row r="1713" ht="15" customHeight="1">
      <c r="A1713" t="inlineStr">
        <is>
          <t>A 27785-2023</t>
        </is>
      </c>
      <c r="B1713" s="1" t="n">
        <v>45093</v>
      </c>
      <c r="C1713" s="1" t="n">
        <v>45192</v>
      </c>
      <c r="D1713" t="inlineStr">
        <is>
          <t>VÄSTERBOTTENS LÄN</t>
        </is>
      </c>
      <c r="E1713" t="inlineStr">
        <is>
          <t>SKELLEFTEÅ</t>
        </is>
      </c>
      <c r="G1713" t="n">
        <v>18.5</v>
      </c>
      <c r="H1713" t="n">
        <v>0</v>
      </c>
      <c r="I1713" t="n">
        <v>0</v>
      </c>
      <c r="J1713" t="n">
        <v>0</v>
      </c>
      <c r="K1713" t="n">
        <v>0</v>
      </c>
      <c r="L1713" t="n">
        <v>0</v>
      </c>
      <c r="M1713" t="n">
        <v>0</v>
      </c>
      <c r="N1713" t="n">
        <v>0</v>
      </c>
      <c r="O1713" t="n">
        <v>0</v>
      </c>
      <c r="P1713" t="n">
        <v>0</v>
      </c>
      <c r="Q1713" t="n">
        <v>0</v>
      </c>
      <c r="R1713" s="2" t="inlineStr"/>
    </row>
    <row r="1714" ht="15" customHeight="1">
      <c r="A1714" t="inlineStr">
        <is>
          <t>A 26686-2023</t>
        </is>
      </c>
      <c r="B1714" s="1" t="n">
        <v>45093</v>
      </c>
      <c r="C1714" s="1" t="n">
        <v>45192</v>
      </c>
      <c r="D1714" t="inlineStr">
        <is>
          <t>VÄSTERBOTTENS LÄN</t>
        </is>
      </c>
      <c r="E1714" t="inlineStr">
        <is>
          <t>SKELLEFTEÅ</t>
        </is>
      </c>
      <c r="G1714" t="n">
        <v>8.6</v>
      </c>
      <c r="H1714" t="n">
        <v>0</v>
      </c>
      <c r="I1714" t="n">
        <v>0</v>
      </c>
      <c r="J1714" t="n">
        <v>0</v>
      </c>
      <c r="K1714" t="n">
        <v>0</v>
      </c>
      <c r="L1714" t="n">
        <v>0</v>
      </c>
      <c r="M1714" t="n">
        <v>0</v>
      </c>
      <c r="N1714" t="n">
        <v>0</v>
      </c>
      <c r="O1714" t="n">
        <v>0</v>
      </c>
      <c r="P1714" t="n">
        <v>0</v>
      </c>
      <c r="Q1714" t="n">
        <v>0</v>
      </c>
      <c r="R1714" s="2" t="inlineStr"/>
    </row>
    <row r="1715" ht="15" customHeight="1">
      <c r="A1715" t="inlineStr">
        <is>
          <t>A 26690-2023</t>
        </is>
      </c>
      <c r="B1715" s="1" t="n">
        <v>45093</v>
      </c>
      <c r="C1715" s="1" t="n">
        <v>45192</v>
      </c>
      <c r="D1715" t="inlineStr">
        <is>
          <t>VÄSTERBOTTENS LÄN</t>
        </is>
      </c>
      <c r="E1715" t="inlineStr">
        <is>
          <t>SKELLEFTEÅ</t>
        </is>
      </c>
      <c r="F1715" t="inlineStr">
        <is>
          <t>Kyrkan</t>
        </is>
      </c>
      <c r="G1715" t="n">
        <v>7.5</v>
      </c>
      <c r="H1715" t="n">
        <v>0</v>
      </c>
      <c r="I1715" t="n">
        <v>0</v>
      </c>
      <c r="J1715" t="n">
        <v>0</v>
      </c>
      <c r="K1715" t="n">
        <v>0</v>
      </c>
      <c r="L1715" t="n">
        <v>0</v>
      </c>
      <c r="M1715" t="n">
        <v>0</v>
      </c>
      <c r="N1715" t="n">
        <v>0</v>
      </c>
      <c r="O1715" t="n">
        <v>0</v>
      </c>
      <c r="P1715" t="n">
        <v>0</v>
      </c>
      <c r="Q1715" t="n">
        <v>0</v>
      </c>
      <c r="R1715" s="2" t="inlineStr"/>
    </row>
    <row r="1716" ht="15" customHeight="1">
      <c r="A1716" t="inlineStr">
        <is>
          <t>A 28113-2023</t>
        </is>
      </c>
      <c r="B1716" s="1" t="n">
        <v>45096</v>
      </c>
      <c r="C1716" s="1" t="n">
        <v>45192</v>
      </c>
      <c r="D1716" t="inlineStr">
        <is>
          <t>VÄSTERBOTTENS LÄN</t>
        </is>
      </c>
      <c r="E1716" t="inlineStr">
        <is>
          <t>SKELLEFTEÅ</t>
        </is>
      </c>
      <c r="G1716" t="n">
        <v>4.4</v>
      </c>
      <c r="H1716" t="n">
        <v>0</v>
      </c>
      <c r="I1716" t="n">
        <v>0</v>
      </c>
      <c r="J1716" t="n">
        <v>0</v>
      </c>
      <c r="K1716" t="n">
        <v>0</v>
      </c>
      <c r="L1716" t="n">
        <v>0</v>
      </c>
      <c r="M1716" t="n">
        <v>0</v>
      </c>
      <c r="N1716" t="n">
        <v>0</v>
      </c>
      <c r="O1716" t="n">
        <v>0</v>
      </c>
      <c r="P1716" t="n">
        <v>0</v>
      </c>
      <c r="Q1716" t="n">
        <v>0</v>
      </c>
      <c r="R1716" s="2" t="inlineStr"/>
    </row>
    <row r="1717" ht="15" customHeight="1">
      <c r="A1717" t="inlineStr">
        <is>
          <t>A 28158-2023</t>
        </is>
      </c>
      <c r="B1717" s="1" t="n">
        <v>45096</v>
      </c>
      <c r="C1717" s="1" t="n">
        <v>45192</v>
      </c>
      <c r="D1717" t="inlineStr">
        <is>
          <t>VÄSTERBOTTENS LÄN</t>
        </is>
      </c>
      <c r="E1717" t="inlineStr">
        <is>
          <t>SKELLEFTEÅ</t>
        </is>
      </c>
      <c r="G1717" t="n">
        <v>2.3</v>
      </c>
      <c r="H1717" t="n">
        <v>0</v>
      </c>
      <c r="I1717" t="n">
        <v>0</v>
      </c>
      <c r="J1717" t="n">
        <v>0</v>
      </c>
      <c r="K1717" t="n">
        <v>0</v>
      </c>
      <c r="L1717" t="n">
        <v>0</v>
      </c>
      <c r="M1717" t="n">
        <v>0</v>
      </c>
      <c r="N1717" t="n">
        <v>0</v>
      </c>
      <c r="O1717" t="n">
        <v>0</v>
      </c>
      <c r="P1717" t="n">
        <v>0</v>
      </c>
      <c r="Q1717" t="n">
        <v>0</v>
      </c>
      <c r="R1717" s="2" t="inlineStr"/>
    </row>
    <row r="1718" ht="15" customHeight="1">
      <c r="A1718" t="inlineStr">
        <is>
          <t>A 28171-2023</t>
        </is>
      </c>
      <c r="B1718" s="1" t="n">
        <v>45096</v>
      </c>
      <c r="C1718" s="1" t="n">
        <v>45192</v>
      </c>
      <c r="D1718" t="inlineStr">
        <is>
          <t>VÄSTERBOTTENS LÄN</t>
        </is>
      </c>
      <c r="E1718" t="inlineStr">
        <is>
          <t>SKELLEFTEÅ</t>
        </is>
      </c>
      <c r="G1718" t="n">
        <v>1.1</v>
      </c>
      <c r="H1718" t="n">
        <v>0</v>
      </c>
      <c r="I1718" t="n">
        <v>0</v>
      </c>
      <c r="J1718" t="n">
        <v>0</v>
      </c>
      <c r="K1718" t="n">
        <v>0</v>
      </c>
      <c r="L1718" t="n">
        <v>0</v>
      </c>
      <c r="M1718" t="n">
        <v>0</v>
      </c>
      <c r="N1718" t="n">
        <v>0</v>
      </c>
      <c r="O1718" t="n">
        <v>0</v>
      </c>
      <c r="P1718" t="n">
        <v>0</v>
      </c>
      <c r="Q1718" t="n">
        <v>0</v>
      </c>
      <c r="R1718" s="2" t="inlineStr"/>
    </row>
    <row r="1719" ht="15" customHeight="1">
      <c r="A1719" t="inlineStr">
        <is>
          <t>A 28203-2023</t>
        </is>
      </c>
      <c r="B1719" s="1" t="n">
        <v>45096</v>
      </c>
      <c r="C1719" s="1" t="n">
        <v>45192</v>
      </c>
      <c r="D1719" t="inlineStr">
        <is>
          <t>VÄSTERBOTTENS LÄN</t>
        </is>
      </c>
      <c r="E1719" t="inlineStr">
        <is>
          <t>SKELLEFTEÅ</t>
        </is>
      </c>
      <c r="G1719" t="n">
        <v>1.3</v>
      </c>
      <c r="H1719" t="n">
        <v>0</v>
      </c>
      <c r="I1719" t="n">
        <v>0</v>
      </c>
      <c r="J1719" t="n">
        <v>0</v>
      </c>
      <c r="K1719" t="n">
        <v>0</v>
      </c>
      <c r="L1719" t="n">
        <v>0</v>
      </c>
      <c r="M1719" t="n">
        <v>0</v>
      </c>
      <c r="N1719" t="n">
        <v>0</v>
      </c>
      <c r="O1719" t="n">
        <v>0</v>
      </c>
      <c r="P1719" t="n">
        <v>0</v>
      </c>
      <c r="Q1719" t="n">
        <v>0</v>
      </c>
      <c r="R1719" s="2" t="inlineStr"/>
    </row>
    <row r="1720" ht="15" customHeight="1">
      <c r="A1720" t="inlineStr">
        <is>
          <t>A 28153-2023</t>
        </is>
      </c>
      <c r="B1720" s="1" t="n">
        <v>45096</v>
      </c>
      <c r="C1720" s="1" t="n">
        <v>45192</v>
      </c>
      <c r="D1720" t="inlineStr">
        <is>
          <t>VÄSTERBOTTENS LÄN</t>
        </is>
      </c>
      <c r="E1720" t="inlineStr">
        <is>
          <t>SKELLEFTEÅ</t>
        </is>
      </c>
      <c r="G1720" t="n">
        <v>1.3</v>
      </c>
      <c r="H1720" t="n">
        <v>0</v>
      </c>
      <c r="I1720" t="n">
        <v>0</v>
      </c>
      <c r="J1720" t="n">
        <v>0</v>
      </c>
      <c r="K1720" t="n">
        <v>0</v>
      </c>
      <c r="L1720" t="n">
        <v>0</v>
      </c>
      <c r="M1720" t="n">
        <v>0</v>
      </c>
      <c r="N1720" t="n">
        <v>0</v>
      </c>
      <c r="O1720" t="n">
        <v>0</v>
      </c>
      <c r="P1720" t="n">
        <v>0</v>
      </c>
      <c r="Q1720" t="n">
        <v>0</v>
      </c>
      <c r="R1720" s="2" t="inlineStr"/>
    </row>
    <row r="1721" ht="15" customHeight="1">
      <c r="A1721" t="inlineStr">
        <is>
          <t>A 28166-2023</t>
        </is>
      </c>
      <c r="B1721" s="1" t="n">
        <v>45096</v>
      </c>
      <c r="C1721" s="1" t="n">
        <v>45192</v>
      </c>
      <c r="D1721" t="inlineStr">
        <is>
          <t>VÄSTERBOTTENS LÄN</t>
        </is>
      </c>
      <c r="E1721" t="inlineStr">
        <is>
          <t>SKELLEFTEÅ</t>
        </is>
      </c>
      <c r="G1721" t="n">
        <v>2.4</v>
      </c>
      <c r="H1721" t="n">
        <v>0</v>
      </c>
      <c r="I1721" t="n">
        <v>0</v>
      </c>
      <c r="J1721" t="n">
        <v>0</v>
      </c>
      <c r="K1721" t="n">
        <v>0</v>
      </c>
      <c r="L1721" t="n">
        <v>0</v>
      </c>
      <c r="M1721" t="n">
        <v>0</v>
      </c>
      <c r="N1721" t="n">
        <v>0</v>
      </c>
      <c r="O1721" t="n">
        <v>0</v>
      </c>
      <c r="P1721" t="n">
        <v>0</v>
      </c>
      <c r="Q1721" t="n">
        <v>0</v>
      </c>
      <c r="R1721" s="2" t="inlineStr"/>
    </row>
    <row r="1722" ht="15" customHeight="1">
      <c r="A1722" t="inlineStr">
        <is>
          <t>A 28192-2023</t>
        </is>
      </c>
      <c r="B1722" s="1" t="n">
        <v>45096</v>
      </c>
      <c r="C1722" s="1" t="n">
        <v>45192</v>
      </c>
      <c r="D1722" t="inlineStr">
        <is>
          <t>VÄSTERBOTTENS LÄN</t>
        </is>
      </c>
      <c r="E1722" t="inlineStr">
        <is>
          <t>SKELLEFTEÅ</t>
        </is>
      </c>
      <c r="G1722" t="n">
        <v>0.7</v>
      </c>
      <c r="H1722" t="n">
        <v>0</v>
      </c>
      <c r="I1722" t="n">
        <v>0</v>
      </c>
      <c r="J1722" t="n">
        <v>0</v>
      </c>
      <c r="K1722" t="n">
        <v>0</v>
      </c>
      <c r="L1722" t="n">
        <v>0</v>
      </c>
      <c r="M1722" t="n">
        <v>0</v>
      </c>
      <c r="N1722" t="n">
        <v>0</v>
      </c>
      <c r="O1722" t="n">
        <v>0</v>
      </c>
      <c r="P1722" t="n">
        <v>0</v>
      </c>
      <c r="Q1722" t="n">
        <v>0</v>
      </c>
      <c r="R1722" s="2" t="inlineStr"/>
    </row>
    <row r="1723" ht="15" customHeight="1">
      <c r="A1723" t="inlineStr">
        <is>
          <t>A 27322-2023</t>
        </is>
      </c>
      <c r="B1723" s="1" t="n">
        <v>45096</v>
      </c>
      <c r="C1723" s="1" t="n">
        <v>45192</v>
      </c>
      <c r="D1723" t="inlineStr">
        <is>
          <t>VÄSTERBOTTENS LÄN</t>
        </is>
      </c>
      <c r="E1723" t="inlineStr">
        <is>
          <t>SKELLEFTEÅ</t>
        </is>
      </c>
      <c r="G1723" t="n">
        <v>0.9</v>
      </c>
      <c r="H1723" t="n">
        <v>0</v>
      </c>
      <c r="I1723" t="n">
        <v>0</v>
      </c>
      <c r="J1723" t="n">
        <v>0</v>
      </c>
      <c r="K1723" t="n">
        <v>0</v>
      </c>
      <c r="L1723" t="n">
        <v>0</v>
      </c>
      <c r="M1723" t="n">
        <v>0</v>
      </c>
      <c r="N1723" t="n">
        <v>0</v>
      </c>
      <c r="O1723" t="n">
        <v>0</v>
      </c>
      <c r="P1723" t="n">
        <v>0</v>
      </c>
      <c r="Q1723" t="n">
        <v>0</v>
      </c>
      <c r="R1723" s="2" t="inlineStr"/>
    </row>
    <row r="1724" ht="15" customHeight="1">
      <c r="A1724" t="inlineStr">
        <is>
          <t>A 27333-2023</t>
        </is>
      </c>
      <c r="B1724" s="1" t="n">
        <v>45096</v>
      </c>
      <c r="C1724" s="1" t="n">
        <v>45192</v>
      </c>
      <c r="D1724" t="inlineStr">
        <is>
          <t>VÄSTERBOTTENS LÄN</t>
        </is>
      </c>
      <c r="E1724" t="inlineStr">
        <is>
          <t>SKELLEFTEÅ</t>
        </is>
      </c>
      <c r="G1724" t="n">
        <v>12</v>
      </c>
      <c r="H1724" t="n">
        <v>0</v>
      </c>
      <c r="I1724" t="n">
        <v>0</v>
      </c>
      <c r="J1724" t="n">
        <v>0</v>
      </c>
      <c r="K1724" t="n">
        <v>0</v>
      </c>
      <c r="L1724" t="n">
        <v>0</v>
      </c>
      <c r="M1724" t="n">
        <v>0</v>
      </c>
      <c r="N1724" t="n">
        <v>0</v>
      </c>
      <c r="O1724" t="n">
        <v>0</v>
      </c>
      <c r="P1724" t="n">
        <v>0</v>
      </c>
      <c r="Q1724" t="n">
        <v>0</v>
      </c>
      <c r="R1724" s="2" t="inlineStr"/>
    </row>
    <row r="1725" ht="15" customHeight="1">
      <c r="A1725" t="inlineStr">
        <is>
          <t>A 28175-2023</t>
        </is>
      </c>
      <c r="B1725" s="1" t="n">
        <v>45096</v>
      </c>
      <c r="C1725" s="1" t="n">
        <v>45192</v>
      </c>
      <c r="D1725" t="inlineStr">
        <is>
          <t>VÄSTERBOTTENS LÄN</t>
        </is>
      </c>
      <c r="E1725" t="inlineStr">
        <is>
          <t>SKELLEFTEÅ</t>
        </is>
      </c>
      <c r="G1725" t="n">
        <v>3.7</v>
      </c>
      <c r="H1725" t="n">
        <v>0</v>
      </c>
      <c r="I1725" t="n">
        <v>0</v>
      </c>
      <c r="J1725" t="n">
        <v>0</v>
      </c>
      <c r="K1725" t="n">
        <v>0</v>
      </c>
      <c r="L1725" t="n">
        <v>0</v>
      </c>
      <c r="M1725" t="n">
        <v>0</v>
      </c>
      <c r="N1725" t="n">
        <v>0</v>
      </c>
      <c r="O1725" t="n">
        <v>0</v>
      </c>
      <c r="P1725" t="n">
        <v>0</v>
      </c>
      <c r="Q1725" t="n">
        <v>0</v>
      </c>
      <c r="R1725" s="2" t="inlineStr"/>
    </row>
    <row r="1726" ht="15" customHeight="1">
      <c r="A1726" t="inlineStr">
        <is>
          <t>A 27323-2023</t>
        </is>
      </c>
      <c r="B1726" s="1" t="n">
        <v>45096</v>
      </c>
      <c r="C1726" s="1" t="n">
        <v>45192</v>
      </c>
      <c r="D1726" t="inlineStr">
        <is>
          <t>VÄSTERBOTTENS LÄN</t>
        </is>
      </c>
      <c r="E1726" t="inlineStr">
        <is>
          <t>SKELLEFTEÅ</t>
        </is>
      </c>
      <c r="G1726" t="n">
        <v>5.3</v>
      </c>
      <c r="H1726" t="n">
        <v>0</v>
      </c>
      <c r="I1726" t="n">
        <v>0</v>
      </c>
      <c r="J1726" t="n">
        <v>0</v>
      </c>
      <c r="K1726" t="n">
        <v>0</v>
      </c>
      <c r="L1726" t="n">
        <v>0</v>
      </c>
      <c r="M1726" t="n">
        <v>0</v>
      </c>
      <c r="N1726" t="n">
        <v>0</v>
      </c>
      <c r="O1726" t="n">
        <v>0</v>
      </c>
      <c r="P1726" t="n">
        <v>0</v>
      </c>
      <c r="Q1726" t="n">
        <v>0</v>
      </c>
      <c r="R1726" s="2" t="inlineStr"/>
    </row>
    <row r="1727" ht="15" customHeight="1">
      <c r="A1727" t="inlineStr">
        <is>
          <t>A 28191-2023</t>
        </is>
      </c>
      <c r="B1727" s="1" t="n">
        <v>45096</v>
      </c>
      <c r="C1727" s="1" t="n">
        <v>45192</v>
      </c>
      <c r="D1727" t="inlineStr">
        <is>
          <t>VÄSTERBOTTENS LÄN</t>
        </is>
      </c>
      <c r="E1727" t="inlineStr">
        <is>
          <t>SKELLEFTEÅ</t>
        </is>
      </c>
      <c r="G1727" t="n">
        <v>1.9</v>
      </c>
      <c r="H1727" t="n">
        <v>0</v>
      </c>
      <c r="I1727" t="n">
        <v>0</v>
      </c>
      <c r="J1727" t="n">
        <v>0</v>
      </c>
      <c r="K1727" t="n">
        <v>0</v>
      </c>
      <c r="L1727" t="n">
        <v>0</v>
      </c>
      <c r="M1727" t="n">
        <v>0</v>
      </c>
      <c r="N1727" t="n">
        <v>0</v>
      </c>
      <c r="O1727" t="n">
        <v>0</v>
      </c>
      <c r="P1727" t="n">
        <v>0</v>
      </c>
      <c r="Q1727" t="n">
        <v>0</v>
      </c>
      <c r="R1727" s="2" t="inlineStr"/>
    </row>
    <row r="1728" ht="15" customHeight="1">
      <c r="A1728" t="inlineStr">
        <is>
          <t>A 27614-2023</t>
        </is>
      </c>
      <c r="B1728" s="1" t="n">
        <v>45097</v>
      </c>
      <c r="C1728" s="1" t="n">
        <v>45192</v>
      </c>
      <c r="D1728" t="inlineStr">
        <is>
          <t>VÄSTERBOTTENS LÄN</t>
        </is>
      </c>
      <c r="E1728" t="inlineStr">
        <is>
          <t>SKELLEFTEÅ</t>
        </is>
      </c>
      <c r="F1728" t="inlineStr">
        <is>
          <t>Holmen skog AB</t>
        </is>
      </c>
      <c r="G1728" t="n">
        <v>4.2</v>
      </c>
      <c r="H1728" t="n">
        <v>0</v>
      </c>
      <c r="I1728" t="n">
        <v>0</v>
      </c>
      <c r="J1728" t="n">
        <v>0</v>
      </c>
      <c r="K1728" t="n">
        <v>0</v>
      </c>
      <c r="L1728" t="n">
        <v>0</v>
      </c>
      <c r="M1728" t="n">
        <v>0</v>
      </c>
      <c r="N1728" t="n">
        <v>0</v>
      </c>
      <c r="O1728" t="n">
        <v>0</v>
      </c>
      <c r="P1728" t="n">
        <v>0</v>
      </c>
      <c r="Q1728" t="n">
        <v>0</v>
      </c>
      <c r="R1728" s="2" t="inlineStr"/>
    </row>
    <row r="1729" ht="15" customHeight="1">
      <c r="A1729" t="inlineStr">
        <is>
          <t>A 27508-2023</t>
        </is>
      </c>
      <c r="B1729" s="1" t="n">
        <v>45097</v>
      </c>
      <c r="C1729" s="1" t="n">
        <v>45192</v>
      </c>
      <c r="D1729" t="inlineStr">
        <is>
          <t>VÄSTERBOTTENS LÄN</t>
        </is>
      </c>
      <c r="E1729" t="inlineStr">
        <is>
          <t>SKELLEFTEÅ</t>
        </is>
      </c>
      <c r="G1729" t="n">
        <v>1.5</v>
      </c>
      <c r="H1729" t="n">
        <v>0</v>
      </c>
      <c r="I1729" t="n">
        <v>0</v>
      </c>
      <c r="J1729" t="n">
        <v>0</v>
      </c>
      <c r="K1729" t="n">
        <v>0</v>
      </c>
      <c r="L1729" t="n">
        <v>0</v>
      </c>
      <c r="M1729" t="n">
        <v>0</v>
      </c>
      <c r="N1729" t="n">
        <v>0</v>
      </c>
      <c r="O1729" t="n">
        <v>0</v>
      </c>
      <c r="P1729" t="n">
        <v>0</v>
      </c>
      <c r="Q1729" t="n">
        <v>0</v>
      </c>
      <c r="R1729" s="2" t="inlineStr"/>
    </row>
    <row r="1730" ht="15" customHeight="1">
      <c r="A1730" t="inlineStr">
        <is>
          <t>A 27504-2023</t>
        </is>
      </c>
      <c r="B1730" s="1" t="n">
        <v>45097</v>
      </c>
      <c r="C1730" s="1" t="n">
        <v>45192</v>
      </c>
      <c r="D1730" t="inlineStr">
        <is>
          <t>VÄSTERBOTTENS LÄN</t>
        </is>
      </c>
      <c r="E1730" t="inlineStr">
        <is>
          <t>SKELLEFTEÅ</t>
        </is>
      </c>
      <c r="G1730" t="n">
        <v>4.2</v>
      </c>
      <c r="H1730" t="n">
        <v>0</v>
      </c>
      <c r="I1730" t="n">
        <v>0</v>
      </c>
      <c r="J1730" t="n">
        <v>0</v>
      </c>
      <c r="K1730" t="n">
        <v>0</v>
      </c>
      <c r="L1730" t="n">
        <v>0</v>
      </c>
      <c r="M1730" t="n">
        <v>0</v>
      </c>
      <c r="N1730" t="n">
        <v>0</v>
      </c>
      <c r="O1730" t="n">
        <v>0</v>
      </c>
      <c r="P1730" t="n">
        <v>0</v>
      </c>
      <c r="Q1730" t="n">
        <v>0</v>
      </c>
      <c r="R1730" s="2" t="inlineStr"/>
    </row>
    <row r="1731" ht="15" customHeight="1">
      <c r="A1731" t="inlineStr">
        <is>
          <t>A 27807-2023</t>
        </is>
      </c>
      <c r="B1731" s="1" t="n">
        <v>45098</v>
      </c>
      <c r="C1731" s="1" t="n">
        <v>45192</v>
      </c>
      <c r="D1731" t="inlineStr">
        <is>
          <t>VÄSTERBOTTENS LÄN</t>
        </is>
      </c>
      <c r="E1731" t="inlineStr">
        <is>
          <t>SKELLEFTEÅ</t>
        </is>
      </c>
      <c r="F1731" t="inlineStr">
        <is>
          <t>Holmen skog AB</t>
        </is>
      </c>
      <c r="G1731" t="n">
        <v>16</v>
      </c>
      <c r="H1731" t="n">
        <v>0</v>
      </c>
      <c r="I1731" t="n">
        <v>0</v>
      </c>
      <c r="J1731" t="n">
        <v>0</v>
      </c>
      <c r="K1731" t="n">
        <v>0</v>
      </c>
      <c r="L1731" t="n">
        <v>0</v>
      </c>
      <c r="M1731" t="n">
        <v>0</v>
      </c>
      <c r="N1731" t="n">
        <v>0</v>
      </c>
      <c r="O1731" t="n">
        <v>0</v>
      </c>
      <c r="P1731" t="n">
        <v>0</v>
      </c>
      <c r="Q1731" t="n">
        <v>0</v>
      </c>
      <c r="R1731" s="2" t="inlineStr"/>
    </row>
    <row r="1732" ht="15" customHeight="1">
      <c r="A1732" t="inlineStr">
        <is>
          <t>A 29601-2023</t>
        </is>
      </c>
      <c r="B1732" s="1" t="n">
        <v>45098</v>
      </c>
      <c r="C1732" s="1" t="n">
        <v>45192</v>
      </c>
      <c r="D1732" t="inlineStr">
        <is>
          <t>VÄSTERBOTTENS LÄN</t>
        </is>
      </c>
      <c r="E1732" t="inlineStr">
        <is>
          <t>SKELLEFTEÅ</t>
        </is>
      </c>
      <c r="G1732" t="n">
        <v>2.4</v>
      </c>
      <c r="H1732" t="n">
        <v>0</v>
      </c>
      <c r="I1732" t="n">
        <v>0</v>
      </c>
      <c r="J1732" t="n">
        <v>0</v>
      </c>
      <c r="K1732" t="n">
        <v>0</v>
      </c>
      <c r="L1732" t="n">
        <v>0</v>
      </c>
      <c r="M1732" t="n">
        <v>0</v>
      </c>
      <c r="N1732" t="n">
        <v>0</v>
      </c>
      <c r="O1732" t="n">
        <v>0</v>
      </c>
      <c r="P1732" t="n">
        <v>0</v>
      </c>
      <c r="Q1732" t="n">
        <v>0</v>
      </c>
      <c r="R1732" s="2" t="inlineStr"/>
    </row>
    <row r="1733" ht="15" customHeight="1">
      <c r="A1733" t="inlineStr">
        <is>
          <t>A 27766-2023</t>
        </is>
      </c>
      <c r="B1733" s="1" t="n">
        <v>45098</v>
      </c>
      <c r="C1733" s="1" t="n">
        <v>45192</v>
      </c>
      <c r="D1733" t="inlineStr">
        <is>
          <t>VÄSTERBOTTENS LÄN</t>
        </is>
      </c>
      <c r="E1733" t="inlineStr">
        <is>
          <t>SKELLEFTEÅ</t>
        </is>
      </c>
      <c r="F1733" t="inlineStr">
        <is>
          <t>Holmen skog AB</t>
        </is>
      </c>
      <c r="G1733" t="n">
        <v>10.3</v>
      </c>
      <c r="H1733" t="n">
        <v>0</v>
      </c>
      <c r="I1733" t="n">
        <v>0</v>
      </c>
      <c r="J1733" t="n">
        <v>0</v>
      </c>
      <c r="K1733" t="n">
        <v>0</v>
      </c>
      <c r="L1733" t="n">
        <v>0</v>
      </c>
      <c r="M1733" t="n">
        <v>0</v>
      </c>
      <c r="N1733" t="n">
        <v>0</v>
      </c>
      <c r="O1733" t="n">
        <v>0</v>
      </c>
      <c r="P1733" t="n">
        <v>0</v>
      </c>
      <c r="Q1733" t="n">
        <v>0</v>
      </c>
      <c r="R1733" s="2" t="inlineStr"/>
    </row>
    <row r="1734" ht="15" customHeight="1">
      <c r="A1734" t="inlineStr">
        <is>
          <t>A 27900-2023</t>
        </is>
      </c>
      <c r="B1734" s="1" t="n">
        <v>45098</v>
      </c>
      <c r="C1734" s="1" t="n">
        <v>45192</v>
      </c>
      <c r="D1734" t="inlineStr">
        <is>
          <t>VÄSTERBOTTENS LÄN</t>
        </is>
      </c>
      <c r="E1734" t="inlineStr">
        <is>
          <t>SKELLEFTEÅ</t>
        </is>
      </c>
      <c r="F1734" t="inlineStr">
        <is>
          <t>Holmen skog AB</t>
        </is>
      </c>
      <c r="G1734" t="n">
        <v>3.7</v>
      </c>
      <c r="H1734" t="n">
        <v>0</v>
      </c>
      <c r="I1734" t="n">
        <v>0</v>
      </c>
      <c r="J1734" t="n">
        <v>0</v>
      </c>
      <c r="K1734" t="n">
        <v>0</v>
      </c>
      <c r="L1734" t="n">
        <v>0</v>
      </c>
      <c r="M1734" t="n">
        <v>0</v>
      </c>
      <c r="N1734" t="n">
        <v>0</v>
      </c>
      <c r="O1734" t="n">
        <v>0</v>
      </c>
      <c r="P1734" t="n">
        <v>0</v>
      </c>
      <c r="Q1734" t="n">
        <v>0</v>
      </c>
      <c r="R1734" s="2" t="inlineStr"/>
    </row>
    <row r="1735" ht="15" customHeight="1">
      <c r="A1735" t="inlineStr">
        <is>
          <t>A 30437-2023</t>
        </is>
      </c>
      <c r="B1735" s="1" t="n">
        <v>45099</v>
      </c>
      <c r="C1735" s="1" t="n">
        <v>45192</v>
      </c>
      <c r="D1735" t="inlineStr">
        <is>
          <t>VÄSTERBOTTENS LÄN</t>
        </is>
      </c>
      <c r="E1735" t="inlineStr">
        <is>
          <t>SKELLEFTEÅ</t>
        </is>
      </c>
      <c r="G1735" t="n">
        <v>1.1</v>
      </c>
      <c r="H1735" t="n">
        <v>0</v>
      </c>
      <c r="I1735" t="n">
        <v>0</v>
      </c>
      <c r="J1735" t="n">
        <v>0</v>
      </c>
      <c r="K1735" t="n">
        <v>0</v>
      </c>
      <c r="L1735" t="n">
        <v>0</v>
      </c>
      <c r="M1735" t="n">
        <v>0</v>
      </c>
      <c r="N1735" t="n">
        <v>0</v>
      </c>
      <c r="O1735" t="n">
        <v>0</v>
      </c>
      <c r="P1735" t="n">
        <v>0</v>
      </c>
      <c r="Q1735" t="n">
        <v>0</v>
      </c>
      <c r="R1735" s="2" t="inlineStr"/>
    </row>
    <row r="1736" ht="15" customHeight="1">
      <c r="A1736" t="inlineStr">
        <is>
          <t>A 30378-2023</t>
        </is>
      </c>
      <c r="B1736" s="1" t="n">
        <v>45099</v>
      </c>
      <c r="C1736" s="1" t="n">
        <v>45192</v>
      </c>
      <c r="D1736" t="inlineStr">
        <is>
          <t>VÄSTERBOTTENS LÄN</t>
        </is>
      </c>
      <c r="E1736" t="inlineStr">
        <is>
          <t>SKELLEFTEÅ</t>
        </is>
      </c>
      <c r="G1736" t="n">
        <v>7.7</v>
      </c>
      <c r="H1736" t="n">
        <v>0</v>
      </c>
      <c r="I1736" t="n">
        <v>0</v>
      </c>
      <c r="J1736" t="n">
        <v>0</v>
      </c>
      <c r="K1736" t="n">
        <v>0</v>
      </c>
      <c r="L1736" t="n">
        <v>0</v>
      </c>
      <c r="M1736" t="n">
        <v>0</v>
      </c>
      <c r="N1736" t="n">
        <v>0</v>
      </c>
      <c r="O1736" t="n">
        <v>0</v>
      </c>
      <c r="P1736" t="n">
        <v>0</v>
      </c>
      <c r="Q1736" t="n">
        <v>0</v>
      </c>
      <c r="R1736" s="2" t="inlineStr"/>
    </row>
    <row r="1737" ht="15" customHeight="1">
      <c r="A1737" t="inlineStr">
        <is>
          <t>A 29921-2023</t>
        </is>
      </c>
      <c r="B1737" s="1" t="n">
        <v>45099</v>
      </c>
      <c r="C1737" s="1" t="n">
        <v>45192</v>
      </c>
      <c r="D1737" t="inlineStr">
        <is>
          <t>VÄSTERBOTTENS LÄN</t>
        </is>
      </c>
      <c r="E1737" t="inlineStr">
        <is>
          <t>SKELLEFTEÅ</t>
        </is>
      </c>
      <c r="G1737" t="n">
        <v>0.9</v>
      </c>
      <c r="H1737" t="n">
        <v>0</v>
      </c>
      <c r="I1737" t="n">
        <v>0</v>
      </c>
      <c r="J1737" t="n">
        <v>0</v>
      </c>
      <c r="K1737" t="n">
        <v>0</v>
      </c>
      <c r="L1737" t="n">
        <v>0</v>
      </c>
      <c r="M1737" t="n">
        <v>0</v>
      </c>
      <c r="N1737" t="n">
        <v>0</v>
      </c>
      <c r="O1737" t="n">
        <v>0</v>
      </c>
      <c r="P1737" t="n">
        <v>0</v>
      </c>
      <c r="Q1737" t="n">
        <v>0</v>
      </c>
      <c r="R1737" s="2" t="inlineStr"/>
    </row>
    <row r="1738" ht="15" customHeight="1">
      <c r="A1738" t="inlineStr">
        <is>
          <t>A 30097-2023</t>
        </is>
      </c>
      <c r="B1738" s="1" t="n">
        <v>45099</v>
      </c>
      <c r="C1738" s="1" t="n">
        <v>45192</v>
      </c>
      <c r="D1738" t="inlineStr">
        <is>
          <t>VÄSTERBOTTENS LÄN</t>
        </is>
      </c>
      <c r="E1738" t="inlineStr">
        <is>
          <t>SKELLEFTEÅ</t>
        </is>
      </c>
      <c r="G1738" t="n">
        <v>11</v>
      </c>
      <c r="H1738" t="n">
        <v>0</v>
      </c>
      <c r="I1738" t="n">
        <v>0</v>
      </c>
      <c r="J1738" t="n">
        <v>0</v>
      </c>
      <c r="K1738" t="n">
        <v>0</v>
      </c>
      <c r="L1738" t="n">
        <v>0</v>
      </c>
      <c r="M1738" t="n">
        <v>0</v>
      </c>
      <c r="N1738" t="n">
        <v>0</v>
      </c>
      <c r="O1738" t="n">
        <v>0</v>
      </c>
      <c r="P1738" t="n">
        <v>0</v>
      </c>
      <c r="Q1738" t="n">
        <v>0</v>
      </c>
      <c r="R1738" s="2" t="inlineStr"/>
    </row>
    <row r="1739" ht="15" customHeight="1">
      <c r="A1739" t="inlineStr">
        <is>
          <t>A 30103-2023</t>
        </is>
      </c>
      <c r="B1739" s="1" t="n">
        <v>45099</v>
      </c>
      <c r="C1739" s="1" t="n">
        <v>45192</v>
      </c>
      <c r="D1739" t="inlineStr">
        <is>
          <t>VÄSTERBOTTENS LÄN</t>
        </is>
      </c>
      <c r="E1739" t="inlineStr">
        <is>
          <t>SKELLEFTEÅ</t>
        </is>
      </c>
      <c r="G1739" t="n">
        <v>7.7</v>
      </c>
      <c r="H1739" t="n">
        <v>0</v>
      </c>
      <c r="I1739" t="n">
        <v>0</v>
      </c>
      <c r="J1739" t="n">
        <v>0</v>
      </c>
      <c r="K1739" t="n">
        <v>0</v>
      </c>
      <c r="L1739" t="n">
        <v>0</v>
      </c>
      <c r="M1739" t="n">
        <v>0</v>
      </c>
      <c r="N1739" t="n">
        <v>0</v>
      </c>
      <c r="O1739" t="n">
        <v>0</v>
      </c>
      <c r="P1739" t="n">
        <v>0</v>
      </c>
      <c r="Q1739" t="n">
        <v>0</v>
      </c>
      <c r="R1739" s="2" t="inlineStr"/>
    </row>
    <row r="1740" ht="15" customHeight="1">
      <c r="A1740" t="inlineStr">
        <is>
          <t>A 28710-2023</t>
        </is>
      </c>
      <c r="B1740" s="1" t="n">
        <v>45103</v>
      </c>
      <c r="C1740" s="1" t="n">
        <v>45192</v>
      </c>
      <c r="D1740" t="inlineStr">
        <is>
          <t>VÄSTERBOTTENS LÄN</t>
        </is>
      </c>
      <c r="E1740" t="inlineStr">
        <is>
          <t>SKELLEFTEÅ</t>
        </is>
      </c>
      <c r="F1740" t="inlineStr">
        <is>
          <t>Sveaskog</t>
        </is>
      </c>
      <c r="G1740" t="n">
        <v>9.6</v>
      </c>
      <c r="H1740" t="n">
        <v>0</v>
      </c>
      <c r="I1740" t="n">
        <v>0</v>
      </c>
      <c r="J1740" t="n">
        <v>0</v>
      </c>
      <c r="K1740" t="n">
        <v>0</v>
      </c>
      <c r="L1740" t="n">
        <v>0</v>
      </c>
      <c r="M1740" t="n">
        <v>0</v>
      </c>
      <c r="N1740" t="n">
        <v>0</v>
      </c>
      <c r="O1740" t="n">
        <v>0</v>
      </c>
      <c r="P1740" t="n">
        <v>0</v>
      </c>
      <c r="Q1740" t="n">
        <v>0</v>
      </c>
      <c r="R1740" s="2" t="inlineStr"/>
    </row>
    <row r="1741" ht="15" customHeight="1">
      <c r="A1741" t="inlineStr">
        <is>
          <t>A 31006-2023</t>
        </is>
      </c>
      <c r="B1741" s="1" t="n">
        <v>45103</v>
      </c>
      <c r="C1741" s="1" t="n">
        <v>45192</v>
      </c>
      <c r="D1741" t="inlineStr">
        <is>
          <t>VÄSTERBOTTENS LÄN</t>
        </is>
      </c>
      <c r="E1741" t="inlineStr">
        <is>
          <t>SKELLEFTEÅ</t>
        </is>
      </c>
      <c r="G1741" t="n">
        <v>1.7</v>
      </c>
      <c r="H1741" t="n">
        <v>0</v>
      </c>
      <c r="I1741" t="n">
        <v>0</v>
      </c>
      <c r="J1741" t="n">
        <v>0</v>
      </c>
      <c r="K1741" t="n">
        <v>0</v>
      </c>
      <c r="L1741" t="n">
        <v>0</v>
      </c>
      <c r="M1741" t="n">
        <v>0</v>
      </c>
      <c r="N1741" t="n">
        <v>0</v>
      </c>
      <c r="O1741" t="n">
        <v>0</v>
      </c>
      <c r="P1741" t="n">
        <v>0</v>
      </c>
      <c r="Q1741" t="n">
        <v>0</v>
      </c>
      <c r="R1741" s="2" t="inlineStr"/>
    </row>
    <row r="1742" ht="15" customHeight="1">
      <c r="A1742" t="inlineStr">
        <is>
          <t>A 31558-2023</t>
        </is>
      </c>
      <c r="B1742" s="1" t="n">
        <v>45104</v>
      </c>
      <c r="C1742" s="1" t="n">
        <v>45192</v>
      </c>
      <c r="D1742" t="inlineStr">
        <is>
          <t>VÄSTERBOTTENS LÄN</t>
        </is>
      </c>
      <c r="E1742" t="inlineStr">
        <is>
          <t>SKELLEFTEÅ</t>
        </is>
      </c>
      <c r="G1742" t="n">
        <v>6.2</v>
      </c>
      <c r="H1742" t="n">
        <v>0</v>
      </c>
      <c r="I1742" t="n">
        <v>0</v>
      </c>
      <c r="J1742" t="n">
        <v>0</v>
      </c>
      <c r="K1742" t="n">
        <v>0</v>
      </c>
      <c r="L1742" t="n">
        <v>0</v>
      </c>
      <c r="M1742" t="n">
        <v>0</v>
      </c>
      <c r="N1742" t="n">
        <v>0</v>
      </c>
      <c r="O1742" t="n">
        <v>0</v>
      </c>
      <c r="P1742" t="n">
        <v>0</v>
      </c>
      <c r="Q1742" t="n">
        <v>0</v>
      </c>
      <c r="R1742" s="2" t="inlineStr"/>
    </row>
    <row r="1743" ht="15" customHeight="1">
      <c r="A1743" t="inlineStr">
        <is>
          <t>A 31555-2023</t>
        </is>
      </c>
      <c r="B1743" s="1" t="n">
        <v>45104</v>
      </c>
      <c r="C1743" s="1" t="n">
        <v>45192</v>
      </c>
      <c r="D1743" t="inlineStr">
        <is>
          <t>VÄSTERBOTTENS LÄN</t>
        </is>
      </c>
      <c r="E1743" t="inlineStr">
        <is>
          <t>SKELLEFTEÅ</t>
        </is>
      </c>
      <c r="G1743" t="n">
        <v>0.7</v>
      </c>
      <c r="H1743" t="n">
        <v>0</v>
      </c>
      <c r="I1743" t="n">
        <v>0</v>
      </c>
      <c r="J1743" t="n">
        <v>0</v>
      </c>
      <c r="K1743" t="n">
        <v>0</v>
      </c>
      <c r="L1743" t="n">
        <v>0</v>
      </c>
      <c r="M1743" t="n">
        <v>0</v>
      </c>
      <c r="N1743" t="n">
        <v>0</v>
      </c>
      <c r="O1743" t="n">
        <v>0</v>
      </c>
      <c r="P1743" t="n">
        <v>0</v>
      </c>
      <c r="Q1743" t="n">
        <v>0</v>
      </c>
      <c r="R1743" s="2" t="inlineStr"/>
    </row>
    <row r="1744" ht="15" customHeight="1">
      <c r="A1744" t="inlineStr">
        <is>
          <t>A 29152-2023</t>
        </is>
      </c>
      <c r="B1744" s="1" t="n">
        <v>45105</v>
      </c>
      <c r="C1744" s="1" t="n">
        <v>45192</v>
      </c>
      <c r="D1744" t="inlineStr">
        <is>
          <t>VÄSTERBOTTENS LÄN</t>
        </is>
      </c>
      <c r="E1744" t="inlineStr">
        <is>
          <t>SKELLEFTEÅ</t>
        </is>
      </c>
      <c r="F1744" t="inlineStr">
        <is>
          <t>Holmen skog AB</t>
        </is>
      </c>
      <c r="G1744" t="n">
        <v>18.5</v>
      </c>
      <c r="H1744" t="n">
        <v>0</v>
      </c>
      <c r="I1744" t="n">
        <v>0</v>
      </c>
      <c r="J1744" t="n">
        <v>0</v>
      </c>
      <c r="K1744" t="n">
        <v>0</v>
      </c>
      <c r="L1744" t="n">
        <v>0</v>
      </c>
      <c r="M1744" t="n">
        <v>0</v>
      </c>
      <c r="N1744" t="n">
        <v>0</v>
      </c>
      <c r="O1744" t="n">
        <v>0</v>
      </c>
      <c r="P1744" t="n">
        <v>0</v>
      </c>
      <c r="Q1744" t="n">
        <v>0</v>
      </c>
      <c r="R1744" s="2" t="inlineStr"/>
    </row>
    <row r="1745" ht="15" customHeight="1">
      <c r="A1745" t="inlineStr">
        <is>
          <t>A 29355-2023</t>
        </is>
      </c>
      <c r="B1745" s="1" t="n">
        <v>45106</v>
      </c>
      <c r="C1745" s="1" t="n">
        <v>45192</v>
      </c>
      <c r="D1745" t="inlineStr">
        <is>
          <t>VÄSTERBOTTENS LÄN</t>
        </is>
      </c>
      <c r="E1745" t="inlineStr">
        <is>
          <t>SKELLEFTEÅ</t>
        </is>
      </c>
      <c r="G1745" t="n">
        <v>2.3</v>
      </c>
      <c r="H1745" t="n">
        <v>0</v>
      </c>
      <c r="I1745" t="n">
        <v>0</v>
      </c>
      <c r="J1745" t="n">
        <v>0</v>
      </c>
      <c r="K1745" t="n">
        <v>0</v>
      </c>
      <c r="L1745" t="n">
        <v>0</v>
      </c>
      <c r="M1745" t="n">
        <v>0</v>
      </c>
      <c r="N1745" t="n">
        <v>0</v>
      </c>
      <c r="O1745" t="n">
        <v>0</v>
      </c>
      <c r="P1745" t="n">
        <v>0</v>
      </c>
      <c r="Q1745" t="n">
        <v>0</v>
      </c>
      <c r="R1745" s="2" t="inlineStr"/>
    </row>
    <row r="1746" ht="15" customHeight="1">
      <c r="A1746" t="inlineStr">
        <is>
          <t>A 31760-2023</t>
        </is>
      </c>
      <c r="B1746" s="1" t="n">
        <v>45106</v>
      </c>
      <c r="C1746" s="1" t="n">
        <v>45192</v>
      </c>
      <c r="D1746" t="inlineStr">
        <is>
          <t>VÄSTERBOTTENS LÄN</t>
        </is>
      </c>
      <c r="E1746" t="inlineStr">
        <is>
          <t>SKELLEFTEÅ</t>
        </is>
      </c>
      <c r="G1746" t="n">
        <v>0.5</v>
      </c>
      <c r="H1746" t="n">
        <v>0</v>
      </c>
      <c r="I1746" t="n">
        <v>0</v>
      </c>
      <c r="J1746" t="n">
        <v>0</v>
      </c>
      <c r="K1746" t="n">
        <v>0</v>
      </c>
      <c r="L1746" t="n">
        <v>0</v>
      </c>
      <c r="M1746" t="n">
        <v>0</v>
      </c>
      <c r="N1746" t="n">
        <v>0</v>
      </c>
      <c r="O1746" t="n">
        <v>0</v>
      </c>
      <c r="P1746" t="n">
        <v>0</v>
      </c>
      <c r="Q1746" t="n">
        <v>0</v>
      </c>
      <c r="R1746" s="2" t="inlineStr"/>
    </row>
    <row r="1747" ht="15" customHeight="1">
      <c r="A1747" t="inlineStr">
        <is>
          <t>A 29932-2023</t>
        </is>
      </c>
      <c r="B1747" s="1" t="n">
        <v>45107</v>
      </c>
      <c r="C1747" s="1" t="n">
        <v>45192</v>
      </c>
      <c r="D1747" t="inlineStr">
        <is>
          <t>VÄSTERBOTTENS LÄN</t>
        </is>
      </c>
      <c r="E1747" t="inlineStr">
        <is>
          <t>SKELLEFTEÅ</t>
        </is>
      </c>
      <c r="G1747" t="n">
        <v>0.6</v>
      </c>
      <c r="H1747" t="n">
        <v>0</v>
      </c>
      <c r="I1747" t="n">
        <v>0</v>
      </c>
      <c r="J1747" t="n">
        <v>0</v>
      </c>
      <c r="K1747" t="n">
        <v>0</v>
      </c>
      <c r="L1747" t="n">
        <v>0</v>
      </c>
      <c r="M1747" t="n">
        <v>0</v>
      </c>
      <c r="N1747" t="n">
        <v>0</v>
      </c>
      <c r="O1747" t="n">
        <v>0</v>
      </c>
      <c r="P1747" t="n">
        <v>0</v>
      </c>
      <c r="Q1747" t="n">
        <v>0</v>
      </c>
      <c r="R1747" s="2" t="inlineStr"/>
    </row>
    <row r="1748" ht="15" customHeight="1">
      <c r="A1748" t="inlineStr">
        <is>
          <t>A 29891-2023</t>
        </is>
      </c>
      <c r="B1748" s="1" t="n">
        <v>45107</v>
      </c>
      <c r="C1748" s="1" t="n">
        <v>45192</v>
      </c>
      <c r="D1748" t="inlineStr">
        <is>
          <t>VÄSTERBOTTENS LÄN</t>
        </is>
      </c>
      <c r="E1748" t="inlineStr">
        <is>
          <t>SKELLEFTEÅ</t>
        </is>
      </c>
      <c r="G1748" t="n">
        <v>3</v>
      </c>
      <c r="H1748" t="n">
        <v>0</v>
      </c>
      <c r="I1748" t="n">
        <v>0</v>
      </c>
      <c r="J1748" t="n">
        <v>0</v>
      </c>
      <c r="K1748" t="n">
        <v>0</v>
      </c>
      <c r="L1748" t="n">
        <v>0</v>
      </c>
      <c r="M1748" t="n">
        <v>0</v>
      </c>
      <c r="N1748" t="n">
        <v>0</v>
      </c>
      <c r="O1748" t="n">
        <v>0</v>
      </c>
      <c r="P1748" t="n">
        <v>0</v>
      </c>
      <c r="Q1748" t="n">
        <v>0</v>
      </c>
      <c r="R1748" s="2" t="inlineStr"/>
    </row>
    <row r="1749" ht="15" customHeight="1">
      <c r="A1749" t="inlineStr">
        <is>
          <t>A 29967-2023</t>
        </is>
      </c>
      <c r="B1749" s="1" t="n">
        <v>45108</v>
      </c>
      <c r="C1749" s="1" t="n">
        <v>45192</v>
      </c>
      <c r="D1749" t="inlineStr">
        <is>
          <t>VÄSTERBOTTENS LÄN</t>
        </is>
      </c>
      <c r="E1749" t="inlineStr">
        <is>
          <t>SKELLEFTEÅ</t>
        </is>
      </c>
      <c r="F1749" t="inlineStr">
        <is>
          <t>Holmen skog AB</t>
        </is>
      </c>
      <c r="G1749" t="n">
        <v>7.7</v>
      </c>
      <c r="H1749" t="n">
        <v>0</v>
      </c>
      <c r="I1749" t="n">
        <v>0</v>
      </c>
      <c r="J1749" t="n">
        <v>0</v>
      </c>
      <c r="K1749" t="n">
        <v>0</v>
      </c>
      <c r="L1749" t="n">
        <v>0</v>
      </c>
      <c r="M1749" t="n">
        <v>0</v>
      </c>
      <c r="N1749" t="n">
        <v>0</v>
      </c>
      <c r="O1749" t="n">
        <v>0</v>
      </c>
      <c r="P1749" t="n">
        <v>0</v>
      </c>
      <c r="Q1749" t="n">
        <v>0</v>
      </c>
      <c r="R1749" s="2" t="inlineStr"/>
    </row>
    <row r="1750" ht="15" customHeight="1">
      <c r="A1750" t="inlineStr">
        <is>
          <t>A 30212-2023</t>
        </is>
      </c>
      <c r="B1750" s="1" t="n">
        <v>45110</v>
      </c>
      <c r="C1750" s="1" t="n">
        <v>45192</v>
      </c>
      <c r="D1750" t="inlineStr">
        <is>
          <t>VÄSTERBOTTENS LÄN</t>
        </is>
      </c>
      <c r="E1750" t="inlineStr">
        <is>
          <t>SKELLEFTEÅ</t>
        </is>
      </c>
      <c r="G1750" t="n">
        <v>2.2</v>
      </c>
      <c r="H1750" t="n">
        <v>0</v>
      </c>
      <c r="I1750" t="n">
        <v>0</v>
      </c>
      <c r="J1750" t="n">
        <v>0</v>
      </c>
      <c r="K1750" t="n">
        <v>0</v>
      </c>
      <c r="L1750" t="n">
        <v>0</v>
      </c>
      <c r="M1750" t="n">
        <v>0</v>
      </c>
      <c r="N1750" t="n">
        <v>0</v>
      </c>
      <c r="O1750" t="n">
        <v>0</v>
      </c>
      <c r="P1750" t="n">
        <v>0</v>
      </c>
      <c r="Q1750" t="n">
        <v>0</v>
      </c>
      <c r="R1750" s="2" t="inlineStr"/>
    </row>
    <row r="1751" ht="15" customHeight="1">
      <c r="A1751" t="inlineStr">
        <is>
          <t>A 30369-2023</t>
        </is>
      </c>
      <c r="B1751" s="1" t="n">
        <v>45111</v>
      </c>
      <c r="C1751" s="1" t="n">
        <v>45192</v>
      </c>
      <c r="D1751" t="inlineStr">
        <is>
          <t>VÄSTERBOTTENS LÄN</t>
        </is>
      </c>
      <c r="E1751" t="inlineStr">
        <is>
          <t>SKELLEFTEÅ</t>
        </is>
      </c>
      <c r="F1751" t="inlineStr">
        <is>
          <t>Holmen skog AB</t>
        </is>
      </c>
      <c r="G1751" t="n">
        <v>8</v>
      </c>
      <c r="H1751" t="n">
        <v>0</v>
      </c>
      <c r="I1751" t="n">
        <v>0</v>
      </c>
      <c r="J1751" t="n">
        <v>0</v>
      </c>
      <c r="K1751" t="n">
        <v>0</v>
      </c>
      <c r="L1751" t="n">
        <v>0</v>
      </c>
      <c r="M1751" t="n">
        <v>0</v>
      </c>
      <c r="N1751" t="n">
        <v>0</v>
      </c>
      <c r="O1751" t="n">
        <v>0</v>
      </c>
      <c r="P1751" t="n">
        <v>0</v>
      </c>
      <c r="Q1751" t="n">
        <v>0</v>
      </c>
      <c r="R1751" s="2" t="inlineStr"/>
    </row>
    <row r="1752" ht="15" customHeight="1">
      <c r="A1752" t="inlineStr">
        <is>
          <t>A 30329-2023</t>
        </is>
      </c>
      <c r="B1752" s="1" t="n">
        <v>45111</v>
      </c>
      <c r="C1752" s="1" t="n">
        <v>45192</v>
      </c>
      <c r="D1752" t="inlineStr">
        <is>
          <t>VÄSTERBOTTENS LÄN</t>
        </is>
      </c>
      <c r="E1752" t="inlineStr">
        <is>
          <t>SKELLEFTEÅ</t>
        </is>
      </c>
      <c r="G1752" t="n">
        <v>11.1</v>
      </c>
      <c r="H1752" t="n">
        <v>0</v>
      </c>
      <c r="I1752" t="n">
        <v>0</v>
      </c>
      <c r="J1752" t="n">
        <v>0</v>
      </c>
      <c r="K1752" t="n">
        <v>0</v>
      </c>
      <c r="L1752" t="n">
        <v>0</v>
      </c>
      <c r="M1752" t="n">
        <v>0</v>
      </c>
      <c r="N1752" t="n">
        <v>0</v>
      </c>
      <c r="O1752" t="n">
        <v>0</v>
      </c>
      <c r="P1752" t="n">
        <v>0</v>
      </c>
      <c r="Q1752" t="n">
        <v>0</v>
      </c>
      <c r="R1752" s="2" t="inlineStr"/>
    </row>
    <row r="1753" ht="15" customHeight="1">
      <c r="A1753" t="inlineStr">
        <is>
          <t>A 30786-2023</t>
        </is>
      </c>
      <c r="B1753" s="1" t="n">
        <v>45112</v>
      </c>
      <c r="C1753" s="1" t="n">
        <v>45192</v>
      </c>
      <c r="D1753" t="inlineStr">
        <is>
          <t>VÄSTERBOTTENS LÄN</t>
        </is>
      </c>
      <c r="E1753" t="inlineStr">
        <is>
          <t>SKELLEFTEÅ</t>
        </is>
      </c>
      <c r="G1753" t="n">
        <v>1.7</v>
      </c>
      <c r="H1753" t="n">
        <v>0</v>
      </c>
      <c r="I1753" t="n">
        <v>0</v>
      </c>
      <c r="J1753" t="n">
        <v>0</v>
      </c>
      <c r="K1753" t="n">
        <v>0</v>
      </c>
      <c r="L1753" t="n">
        <v>0</v>
      </c>
      <c r="M1753" t="n">
        <v>0</v>
      </c>
      <c r="N1753" t="n">
        <v>0</v>
      </c>
      <c r="O1753" t="n">
        <v>0</v>
      </c>
      <c r="P1753" t="n">
        <v>0</v>
      </c>
      <c r="Q1753" t="n">
        <v>0</v>
      </c>
      <c r="R1753" s="2" t="inlineStr"/>
    </row>
    <row r="1754" ht="15" customHeight="1">
      <c r="A1754" t="inlineStr">
        <is>
          <t>A 32817-2023</t>
        </is>
      </c>
      <c r="B1754" s="1" t="n">
        <v>45112</v>
      </c>
      <c r="C1754" s="1" t="n">
        <v>45192</v>
      </c>
      <c r="D1754" t="inlineStr">
        <is>
          <t>VÄSTERBOTTENS LÄN</t>
        </is>
      </c>
      <c r="E1754" t="inlineStr">
        <is>
          <t>SKELLEFTEÅ</t>
        </is>
      </c>
      <c r="G1754" t="n">
        <v>2</v>
      </c>
      <c r="H1754" t="n">
        <v>0</v>
      </c>
      <c r="I1754" t="n">
        <v>0</v>
      </c>
      <c r="J1754" t="n">
        <v>0</v>
      </c>
      <c r="K1754" t="n">
        <v>0</v>
      </c>
      <c r="L1754" t="n">
        <v>0</v>
      </c>
      <c r="M1754" t="n">
        <v>0</v>
      </c>
      <c r="N1754" t="n">
        <v>0</v>
      </c>
      <c r="O1754" t="n">
        <v>0</v>
      </c>
      <c r="P1754" t="n">
        <v>0</v>
      </c>
      <c r="Q1754" t="n">
        <v>0</v>
      </c>
      <c r="R1754" s="2" t="inlineStr"/>
    </row>
    <row r="1755" ht="15" customHeight="1">
      <c r="A1755" t="inlineStr">
        <is>
          <t>A 30686-2023</t>
        </is>
      </c>
      <c r="B1755" s="1" t="n">
        <v>45112</v>
      </c>
      <c r="C1755" s="1" t="n">
        <v>45192</v>
      </c>
      <c r="D1755" t="inlineStr">
        <is>
          <t>VÄSTERBOTTENS LÄN</t>
        </is>
      </c>
      <c r="E1755" t="inlineStr">
        <is>
          <t>SKELLEFTEÅ</t>
        </is>
      </c>
      <c r="G1755" t="n">
        <v>1.7</v>
      </c>
      <c r="H1755" t="n">
        <v>0</v>
      </c>
      <c r="I1755" t="n">
        <v>0</v>
      </c>
      <c r="J1755" t="n">
        <v>0</v>
      </c>
      <c r="K1755" t="n">
        <v>0</v>
      </c>
      <c r="L1755" t="n">
        <v>0</v>
      </c>
      <c r="M1755" t="n">
        <v>0</v>
      </c>
      <c r="N1755" t="n">
        <v>0</v>
      </c>
      <c r="O1755" t="n">
        <v>0</v>
      </c>
      <c r="P1755" t="n">
        <v>0</v>
      </c>
      <c r="Q1755" t="n">
        <v>0</v>
      </c>
      <c r="R1755" s="2" t="inlineStr"/>
    </row>
    <row r="1756" ht="15" customHeight="1">
      <c r="A1756" t="inlineStr">
        <is>
          <t>A 32820-2023</t>
        </is>
      </c>
      <c r="B1756" s="1" t="n">
        <v>45112</v>
      </c>
      <c r="C1756" s="1" t="n">
        <v>45192</v>
      </c>
      <c r="D1756" t="inlineStr">
        <is>
          <t>VÄSTERBOTTENS LÄN</t>
        </is>
      </c>
      <c r="E1756" t="inlineStr">
        <is>
          <t>SKELLEFTEÅ</t>
        </is>
      </c>
      <c r="G1756" t="n">
        <v>1.1</v>
      </c>
      <c r="H1756" t="n">
        <v>0</v>
      </c>
      <c r="I1756" t="n">
        <v>0</v>
      </c>
      <c r="J1756" t="n">
        <v>0</v>
      </c>
      <c r="K1756" t="n">
        <v>0</v>
      </c>
      <c r="L1756" t="n">
        <v>0</v>
      </c>
      <c r="M1756" t="n">
        <v>0</v>
      </c>
      <c r="N1756" t="n">
        <v>0</v>
      </c>
      <c r="O1756" t="n">
        <v>0</v>
      </c>
      <c r="P1756" t="n">
        <v>0</v>
      </c>
      <c r="Q1756" t="n">
        <v>0</v>
      </c>
      <c r="R1756" s="2" t="inlineStr"/>
    </row>
    <row r="1757" ht="15" customHeight="1">
      <c r="A1757" t="inlineStr">
        <is>
          <t>A 32969-2023</t>
        </is>
      </c>
      <c r="B1757" s="1" t="n">
        <v>45113</v>
      </c>
      <c r="C1757" s="1" t="n">
        <v>45192</v>
      </c>
      <c r="D1757" t="inlineStr">
        <is>
          <t>VÄSTERBOTTENS LÄN</t>
        </is>
      </c>
      <c r="E1757" t="inlineStr">
        <is>
          <t>SKELLEFTEÅ</t>
        </is>
      </c>
      <c r="G1757" t="n">
        <v>3.9</v>
      </c>
      <c r="H1757" t="n">
        <v>0</v>
      </c>
      <c r="I1757" t="n">
        <v>0</v>
      </c>
      <c r="J1757" t="n">
        <v>0</v>
      </c>
      <c r="K1757" t="n">
        <v>0</v>
      </c>
      <c r="L1757" t="n">
        <v>0</v>
      </c>
      <c r="M1757" t="n">
        <v>0</v>
      </c>
      <c r="N1757" t="n">
        <v>0</v>
      </c>
      <c r="O1757" t="n">
        <v>0</v>
      </c>
      <c r="P1757" t="n">
        <v>0</v>
      </c>
      <c r="Q1757" t="n">
        <v>0</v>
      </c>
      <c r="R1757" s="2" t="inlineStr"/>
    </row>
    <row r="1758" ht="15" customHeight="1">
      <c r="A1758" t="inlineStr">
        <is>
          <t>A 31027-2023</t>
        </is>
      </c>
      <c r="B1758" s="1" t="n">
        <v>45113</v>
      </c>
      <c r="C1758" s="1" t="n">
        <v>45192</v>
      </c>
      <c r="D1758" t="inlineStr">
        <is>
          <t>VÄSTERBOTTENS LÄN</t>
        </is>
      </c>
      <c r="E1758" t="inlineStr">
        <is>
          <t>SKELLEFTEÅ</t>
        </is>
      </c>
      <c r="G1758" t="n">
        <v>4.6</v>
      </c>
      <c r="H1758" t="n">
        <v>0</v>
      </c>
      <c r="I1758" t="n">
        <v>0</v>
      </c>
      <c r="J1758" t="n">
        <v>0</v>
      </c>
      <c r="K1758" t="n">
        <v>0</v>
      </c>
      <c r="L1758" t="n">
        <v>0</v>
      </c>
      <c r="M1758" t="n">
        <v>0</v>
      </c>
      <c r="N1758" t="n">
        <v>0</v>
      </c>
      <c r="O1758" t="n">
        <v>0</v>
      </c>
      <c r="P1758" t="n">
        <v>0</v>
      </c>
      <c r="Q1758" t="n">
        <v>0</v>
      </c>
      <c r="R1758" s="2" t="inlineStr"/>
    </row>
    <row r="1759" ht="15" customHeight="1">
      <c r="A1759" t="inlineStr">
        <is>
          <t>A 31035-2023</t>
        </is>
      </c>
      <c r="B1759" s="1" t="n">
        <v>45113</v>
      </c>
      <c r="C1759" s="1" t="n">
        <v>45192</v>
      </c>
      <c r="D1759" t="inlineStr">
        <is>
          <t>VÄSTERBOTTENS LÄN</t>
        </is>
      </c>
      <c r="E1759" t="inlineStr">
        <is>
          <t>SKELLEFTEÅ</t>
        </is>
      </c>
      <c r="G1759" t="n">
        <v>1.4</v>
      </c>
      <c r="H1759" t="n">
        <v>0</v>
      </c>
      <c r="I1759" t="n">
        <v>0</v>
      </c>
      <c r="J1759" t="n">
        <v>0</v>
      </c>
      <c r="K1759" t="n">
        <v>0</v>
      </c>
      <c r="L1759" t="n">
        <v>0</v>
      </c>
      <c r="M1759" t="n">
        <v>0</v>
      </c>
      <c r="N1759" t="n">
        <v>0</v>
      </c>
      <c r="O1759" t="n">
        <v>0</v>
      </c>
      <c r="P1759" t="n">
        <v>0</v>
      </c>
      <c r="Q1759" t="n">
        <v>0</v>
      </c>
      <c r="R1759" s="2" t="inlineStr"/>
    </row>
    <row r="1760" ht="15" customHeight="1">
      <c r="A1760" t="inlineStr">
        <is>
          <t>A 33289-2023</t>
        </is>
      </c>
      <c r="B1760" s="1" t="n">
        <v>45116</v>
      </c>
      <c r="C1760" s="1" t="n">
        <v>45192</v>
      </c>
      <c r="D1760" t="inlineStr">
        <is>
          <t>VÄSTERBOTTENS LÄN</t>
        </is>
      </c>
      <c r="E1760" t="inlineStr">
        <is>
          <t>SKELLEFTEÅ</t>
        </is>
      </c>
      <c r="G1760" t="n">
        <v>4.5</v>
      </c>
      <c r="H1760" t="n">
        <v>0</v>
      </c>
      <c r="I1760" t="n">
        <v>0</v>
      </c>
      <c r="J1760" t="n">
        <v>0</v>
      </c>
      <c r="K1760" t="n">
        <v>0</v>
      </c>
      <c r="L1760" t="n">
        <v>0</v>
      </c>
      <c r="M1760" t="n">
        <v>0</v>
      </c>
      <c r="N1760" t="n">
        <v>0</v>
      </c>
      <c r="O1760" t="n">
        <v>0</v>
      </c>
      <c r="P1760" t="n">
        <v>0</v>
      </c>
      <c r="Q1760" t="n">
        <v>0</v>
      </c>
      <c r="R1760" s="2" t="inlineStr"/>
    </row>
    <row r="1761" ht="15" customHeight="1">
      <c r="A1761" t="inlineStr">
        <is>
          <t>A 32206-2023</t>
        </is>
      </c>
      <c r="B1761" s="1" t="n">
        <v>45119</v>
      </c>
      <c r="C1761" s="1" t="n">
        <v>45192</v>
      </c>
      <c r="D1761" t="inlineStr">
        <is>
          <t>VÄSTERBOTTENS LÄN</t>
        </is>
      </c>
      <c r="E1761" t="inlineStr">
        <is>
          <t>SKELLEFTEÅ</t>
        </is>
      </c>
      <c r="G1761" t="n">
        <v>4.4</v>
      </c>
      <c r="H1761" t="n">
        <v>0</v>
      </c>
      <c r="I1761" t="n">
        <v>0</v>
      </c>
      <c r="J1761" t="n">
        <v>0</v>
      </c>
      <c r="K1761" t="n">
        <v>0</v>
      </c>
      <c r="L1761" t="n">
        <v>0</v>
      </c>
      <c r="M1761" t="n">
        <v>0</v>
      </c>
      <c r="N1761" t="n">
        <v>0</v>
      </c>
      <c r="O1761" t="n">
        <v>0</v>
      </c>
      <c r="P1761" t="n">
        <v>0</v>
      </c>
      <c r="Q1761" t="n">
        <v>0</v>
      </c>
      <c r="R1761" s="2" t="inlineStr"/>
    </row>
    <row r="1762" ht="15" customHeight="1">
      <c r="A1762" t="inlineStr">
        <is>
          <t>A 32205-2023</t>
        </is>
      </c>
      <c r="B1762" s="1" t="n">
        <v>45119</v>
      </c>
      <c r="C1762" s="1" t="n">
        <v>45192</v>
      </c>
      <c r="D1762" t="inlineStr">
        <is>
          <t>VÄSTERBOTTENS LÄN</t>
        </is>
      </c>
      <c r="E1762" t="inlineStr">
        <is>
          <t>SKELLEFTEÅ</t>
        </is>
      </c>
      <c r="G1762" t="n">
        <v>10.8</v>
      </c>
      <c r="H1762" t="n">
        <v>0</v>
      </c>
      <c r="I1762" t="n">
        <v>0</v>
      </c>
      <c r="J1762" t="n">
        <v>0</v>
      </c>
      <c r="K1762" t="n">
        <v>0</v>
      </c>
      <c r="L1762" t="n">
        <v>0</v>
      </c>
      <c r="M1762" t="n">
        <v>0</v>
      </c>
      <c r="N1762" t="n">
        <v>0</v>
      </c>
      <c r="O1762" t="n">
        <v>0</v>
      </c>
      <c r="P1762" t="n">
        <v>0</v>
      </c>
      <c r="Q1762" t="n">
        <v>0</v>
      </c>
      <c r="R1762" s="2" t="inlineStr"/>
    </row>
    <row r="1763" ht="15" customHeight="1">
      <c r="A1763" t="inlineStr">
        <is>
          <t>A 33778-2023</t>
        </is>
      </c>
      <c r="B1763" s="1" t="n">
        <v>45120</v>
      </c>
      <c r="C1763" s="1" t="n">
        <v>45192</v>
      </c>
      <c r="D1763" t="inlineStr">
        <is>
          <t>VÄSTERBOTTENS LÄN</t>
        </is>
      </c>
      <c r="E1763" t="inlineStr">
        <is>
          <t>SKELLEFTEÅ</t>
        </is>
      </c>
      <c r="G1763" t="n">
        <v>5.9</v>
      </c>
      <c r="H1763" t="n">
        <v>0</v>
      </c>
      <c r="I1763" t="n">
        <v>0</v>
      </c>
      <c r="J1763" t="n">
        <v>0</v>
      </c>
      <c r="K1763" t="n">
        <v>0</v>
      </c>
      <c r="L1763" t="n">
        <v>0</v>
      </c>
      <c r="M1763" t="n">
        <v>0</v>
      </c>
      <c r="N1763" t="n">
        <v>0</v>
      </c>
      <c r="O1763" t="n">
        <v>0</v>
      </c>
      <c r="P1763" t="n">
        <v>0</v>
      </c>
      <c r="Q1763" t="n">
        <v>0</v>
      </c>
      <c r="R1763" s="2" t="inlineStr"/>
    </row>
    <row r="1764" ht="15" customHeight="1">
      <c r="A1764" t="inlineStr">
        <is>
          <t>A 32556-2023</t>
        </is>
      </c>
      <c r="B1764" s="1" t="n">
        <v>45121</v>
      </c>
      <c r="C1764" s="1" t="n">
        <v>45192</v>
      </c>
      <c r="D1764" t="inlineStr">
        <is>
          <t>VÄSTERBOTTENS LÄN</t>
        </is>
      </c>
      <c r="E1764" t="inlineStr">
        <is>
          <t>SKELLEFTEÅ</t>
        </is>
      </c>
      <c r="F1764" t="inlineStr">
        <is>
          <t>Holmen skog AB</t>
        </is>
      </c>
      <c r="G1764" t="n">
        <v>2.9</v>
      </c>
      <c r="H1764" t="n">
        <v>0</v>
      </c>
      <c r="I1764" t="n">
        <v>0</v>
      </c>
      <c r="J1764" t="n">
        <v>0</v>
      </c>
      <c r="K1764" t="n">
        <v>0</v>
      </c>
      <c r="L1764" t="n">
        <v>0</v>
      </c>
      <c r="M1764" t="n">
        <v>0</v>
      </c>
      <c r="N1764" t="n">
        <v>0</v>
      </c>
      <c r="O1764" t="n">
        <v>0</v>
      </c>
      <c r="P1764" t="n">
        <v>0</v>
      </c>
      <c r="Q1764" t="n">
        <v>0</v>
      </c>
      <c r="R1764" s="2" t="inlineStr"/>
    </row>
    <row r="1765" ht="15" customHeight="1">
      <c r="A1765" t="inlineStr">
        <is>
          <t>A 32747-2023</t>
        </is>
      </c>
      <c r="B1765" s="1" t="n">
        <v>45122</v>
      </c>
      <c r="C1765" s="1" t="n">
        <v>45192</v>
      </c>
      <c r="D1765" t="inlineStr">
        <is>
          <t>VÄSTERBOTTENS LÄN</t>
        </is>
      </c>
      <c r="E1765" t="inlineStr">
        <is>
          <t>SKELLEFTEÅ</t>
        </is>
      </c>
      <c r="F1765" t="inlineStr">
        <is>
          <t>Holmen skog AB</t>
        </is>
      </c>
      <c r="G1765" t="n">
        <v>2.8</v>
      </c>
      <c r="H1765" t="n">
        <v>0</v>
      </c>
      <c r="I1765" t="n">
        <v>0</v>
      </c>
      <c r="J1765" t="n">
        <v>0</v>
      </c>
      <c r="K1765" t="n">
        <v>0</v>
      </c>
      <c r="L1765" t="n">
        <v>0</v>
      </c>
      <c r="M1765" t="n">
        <v>0</v>
      </c>
      <c r="N1765" t="n">
        <v>0</v>
      </c>
      <c r="O1765" t="n">
        <v>0</v>
      </c>
      <c r="P1765" t="n">
        <v>0</v>
      </c>
      <c r="Q1765" t="n">
        <v>0</v>
      </c>
      <c r="R1765" s="2" t="inlineStr"/>
    </row>
    <row r="1766" ht="15" customHeight="1">
      <c r="A1766" t="inlineStr">
        <is>
          <t>A 32746-2023</t>
        </is>
      </c>
      <c r="B1766" s="1" t="n">
        <v>45122</v>
      </c>
      <c r="C1766" s="1" t="n">
        <v>45192</v>
      </c>
      <c r="D1766" t="inlineStr">
        <is>
          <t>VÄSTERBOTTENS LÄN</t>
        </is>
      </c>
      <c r="E1766" t="inlineStr">
        <is>
          <t>SKELLEFTEÅ</t>
        </is>
      </c>
      <c r="F1766" t="inlineStr">
        <is>
          <t>Holmen skog AB</t>
        </is>
      </c>
      <c r="G1766" t="n">
        <v>6.1</v>
      </c>
      <c r="H1766" t="n">
        <v>0</v>
      </c>
      <c r="I1766" t="n">
        <v>0</v>
      </c>
      <c r="J1766" t="n">
        <v>0</v>
      </c>
      <c r="K1766" t="n">
        <v>0</v>
      </c>
      <c r="L1766" t="n">
        <v>0</v>
      </c>
      <c r="M1766" t="n">
        <v>0</v>
      </c>
      <c r="N1766" t="n">
        <v>0</v>
      </c>
      <c r="O1766" t="n">
        <v>0</v>
      </c>
      <c r="P1766" t="n">
        <v>0</v>
      </c>
      <c r="Q1766" t="n">
        <v>0</v>
      </c>
      <c r="R1766" s="2" t="inlineStr"/>
    </row>
    <row r="1767" ht="15" customHeight="1">
      <c r="A1767" t="inlineStr">
        <is>
          <t>A 33911-2023</t>
        </is>
      </c>
      <c r="B1767" s="1" t="n">
        <v>45123</v>
      </c>
      <c r="C1767" s="1" t="n">
        <v>45192</v>
      </c>
      <c r="D1767" t="inlineStr">
        <is>
          <t>VÄSTERBOTTENS LÄN</t>
        </is>
      </c>
      <c r="E1767" t="inlineStr">
        <is>
          <t>SKELLEFTEÅ</t>
        </is>
      </c>
      <c r="G1767" t="n">
        <v>1</v>
      </c>
      <c r="H1767" t="n">
        <v>0</v>
      </c>
      <c r="I1767" t="n">
        <v>0</v>
      </c>
      <c r="J1767" t="n">
        <v>0</v>
      </c>
      <c r="K1767" t="n">
        <v>0</v>
      </c>
      <c r="L1767" t="n">
        <v>0</v>
      </c>
      <c r="M1767" t="n">
        <v>0</v>
      </c>
      <c r="N1767" t="n">
        <v>0</v>
      </c>
      <c r="O1767" t="n">
        <v>0</v>
      </c>
      <c r="P1767" t="n">
        <v>0</v>
      </c>
      <c r="Q1767" t="n">
        <v>0</v>
      </c>
      <c r="R1767" s="2" t="inlineStr"/>
    </row>
    <row r="1768" ht="15" customHeight="1">
      <c r="A1768" t="inlineStr">
        <is>
          <t>A 33843-2023</t>
        </is>
      </c>
      <c r="B1768" s="1" t="n">
        <v>45133</v>
      </c>
      <c r="C1768" s="1" t="n">
        <v>45192</v>
      </c>
      <c r="D1768" t="inlineStr">
        <is>
          <t>VÄSTERBOTTENS LÄN</t>
        </is>
      </c>
      <c r="E1768" t="inlineStr">
        <is>
          <t>SKELLEFTEÅ</t>
        </is>
      </c>
      <c r="F1768" t="inlineStr">
        <is>
          <t>Holmen skog AB</t>
        </is>
      </c>
      <c r="G1768" t="n">
        <v>4.3</v>
      </c>
      <c r="H1768" t="n">
        <v>0</v>
      </c>
      <c r="I1768" t="n">
        <v>0</v>
      </c>
      <c r="J1768" t="n">
        <v>0</v>
      </c>
      <c r="K1768" t="n">
        <v>0</v>
      </c>
      <c r="L1768" t="n">
        <v>0</v>
      </c>
      <c r="M1768" t="n">
        <v>0</v>
      </c>
      <c r="N1768" t="n">
        <v>0</v>
      </c>
      <c r="O1768" t="n">
        <v>0</v>
      </c>
      <c r="P1768" t="n">
        <v>0</v>
      </c>
      <c r="Q1768" t="n">
        <v>0</v>
      </c>
      <c r="R1768" s="2" t="inlineStr"/>
    </row>
    <row r="1769" ht="15" customHeight="1">
      <c r="A1769" t="inlineStr">
        <is>
          <t>A 34025-2023</t>
        </is>
      </c>
      <c r="B1769" s="1" t="n">
        <v>45135</v>
      </c>
      <c r="C1769" s="1" t="n">
        <v>45192</v>
      </c>
      <c r="D1769" t="inlineStr">
        <is>
          <t>VÄSTERBOTTENS LÄN</t>
        </is>
      </c>
      <c r="E1769" t="inlineStr">
        <is>
          <t>SKELLEFTEÅ</t>
        </is>
      </c>
      <c r="G1769" t="n">
        <v>4</v>
      </c>
      <c r="H1769" t="n">
        <v>0</v>
      </c>
      <c r="I1769" t="n">
        <v>0</v>
      </c>
      <c r="J1769" t="n">
        <v>0</v>
      </c>
      <c r="K1769" t="n">
        <v>0</v>
      </c>
      <c r="L1769" t="n">
        <v>0</v>
      </c>
      <c r="M1769" t="n">
        <v>0</v>
      </c>
      <c r="N1769" t="n">
        <v>0</v>
      </c>
      <c r="O1769" t="n">
        <v>0</v>
      </c>
      <c r="P1769" t="n">
        <v>0</v>
      </c>
      <c r="Q1769" t="n">
        <v>0</v>
      </c>
      <c r="R1769" s="2" t="inlineStr"/>
    </row>
    <row r="1770" ht="15" customHeight="1">
      <c r="A1770" t="inlineStr">
        <is>
          <t>A 34195-2023</t>
        </is>
      </c>
      <c r="B1770" s="1" t="n">
        <v>45135</v>
      </c>
      <c r="C1770" s="1" t="n">
        <v>45192</v>
      </c>
      <c r="D1770" t="inlineStr">
        <is>
          <t>VÄSTERBOTTENS LÄN</t>
        </is>
      </c>
      <c r="E1770" t="inlineStr">
        <is>
          <t>SKELLEFTEÅ</t>
        </is>
      </c>
      <c r="G1770" t="n">
        <v>6.3</v>
      </c>
      <c r="H1770" t="n">
        <v>0</v>
      </c>
      <c r="I1770" t="n">
        <v>0</v>
      </c>
      <c r="J1770" t="n">
        <v>0</v>
      </c>
      <c r="K1770" t="n">
        <v>0</v>
      </c>
      <c r="L1770" t="n">
        <v>0</v>
      </c>
      <c r="M1770" t="n">
        <v>0</v>
      </c>
      <c r="N1770" t="n">
        <v>0</v>
      </c>
      <c r="O1770" t="n">
        <v>0</v>
      </c>
      <c r="P1770" t="n">
        <v>0</v>
      </c>
      <c r="Q1770" t="n">
        <v>0</v>
      </c>
      <c r="R1770" s="2" t="inlineStr"/>
    </row>
    <row r="1771" ht="15" customHeight="1">
      <c r="A1771" t="inlineStr">
        <is>
          <t>A 35068-2023</t>
        </is>
      </c>
      <c r="B1771" s="1" t="n">
        <v>45142</v>
      </c>
      <c r="C1771" s="1" t="n">
        <v>45192</v>
      </c>
      <c r="D1771" t="inlineStr">
        <is>
          <t>VÄSTERBOTTENS LÄN</t>
        </is>
      </c>
      <c r="E1771" t="inlineStr">
        <is>
          <t>SKELLEFTEÅ</t>
        </is>
      </c>
      <c r="G1771" t="n">
        <v>11.5</v>
      </c>
      <c r="H1771" t="n">
        <v>0</v>
      </c>
      <c r="I1771" t="n">
        <v>0</v>
      </c>
      <c r="J1771" t="n">
        <v>0</v>
      </c>
      <c r="K1771" t="n">
        <v>0</v>
      </c>
      <c r="L1771" t="n">
        <v>0</v>
      </c>
      <c r="M1771" t="n">
        <v>0</v>
      </c>
      <c r="N1771" t="n">
        <v>0</v>
      </c>
      <c r="O1771" t="n">
        <v>0</v>
      </c>
      <c r="P1771" t="n">
        <v>0</v>
      </c>
      <c r="Q1771" t="n">
        <v>0</v>
      </c>
      <c r="R1771" s="2" t="inlineStr"/>
    </row>
    <row r="1772" ht="15" customHeight="1">
      <c r="A1772" t="inlineStr">
        <is>
          <t>A 35070-2023</t>
        </is>
      </c>
      <c r="B1772" s="1" t="n">
        <v>45142</v>
      </c>
      <c r="C1772" s="1" t="n">
        <v>45192</v>
      </c>
      <c r="D1772" t="inlineStr">
        <is>
          <t>VÄSTERBOTTENS LÄN</t>
        </is>
      </c>
      <c r="E1772" t="inlineStr">
        <is>
          <t>SKELLEFTEÅ</t>
        </is>
      </c>
      <c r="G1772" t="n">
        <v>7.8</v>
      </c>
      <c r="H1772" t="n">
        <v>0</v>
      </c>
      <c r="I1772" t="n">
        <v>0</v>
      </c>
      <c r="J1772" t="n">
        <v>0</v>
      </c>
      <c r="K1772" t="n">
        <v>0</v>
      </c>
      <c r="L1772" t="n">
        <v>0</v>
      </c>
      <c r="M1772" t="n">
        <v>0</v>
      </c>
      <c r="N1772" t="n">
        <v>0</v>
      </c>
      <c r="O1772" t="n">
        <v>0</v>
      </c>
      <c r="P1772" t="n">
        <v>0</v>
      </c>
      <c r="Q1772" t="n">
        <v>0</v>
      </c>
      <c r="R1772" s="2" t="inlineStr"/>
    </row>
    <row r="1773" ht="15" customHeight="1">
      <c r="A1773" t="inlineStr">
        <is>
          <t>A 34986-2023</t>
        </is>
      </c>
      <c r="B1773" s="1" t="n">
        <v>45142</v>
      </c>
      <c r="C1773" s="1" t="n">
        <v>45192</v>
      </c>
      <c r="D1773" t="inlineStr">
        <is>
          <t>VÄSTERBOTTENS LÄN</t>
        </is>
      </c>
      <c r="E1773" t="inlineStr">
        <is>
          <t>SKELLEFTEÅ</t>
        </is>
      </c>
      <c r="G1773" t="n">
        <v>2.6</v>
      </c>
      <c r="H1773" t="n">
        <v>0</v>
      </c>
      <c r="I1773" t="n">
        <v>0</v>
      </c>
      <c r="J1773" t="n">
        <v>0</v>
      </c>
      <c r="K1773" t="n">
        <v>0</v>
      </c>
      <c r="L1773" t="n">
        <v>0</v>
      </c>
      <c r="M1773" t="n">
        <v>0</v>
      </c>
      <c r="N1773" t="n">
        <v>0</v>
      </c>
      <c r="O1773" t="n">
        <v>0</v>
      </c>
      <c r="P1773" t="n">
        <v>0</v>
      </c>
      <c r="Q1773" t="n">
        <v>0</v>
      </c>
      <c r="R1773" s="2" t="inlineStr"/>
    </row>
    <row r="1774" ht="15" customHeight="1">
      <c r="A1774" t="inlineStr">
        <is>
          <t>A 35331-2023</t>
        </is>
      </c>
      <c r="B1774" s="1" t="n">
        <v>45145</v>
      </c>
      <c r="C1774" s="1" t="n">
        <v>45192</v>
      </c>
      <c r="D1774" t="inlineStr">
        <is>
          <t>VÄSTERBOTTENS LÄN</t>
        </is>
      </c>
      <c r="E1774" t="inlineStr">
        <is>
          <t>SKELLEFTEÅ</t>
        </is>
      </c>
      <c r="G1774" t="n">
        <v>5</v>
      </c>
      <c r="H1774" t="n">
        <v>0</v>
      </c>
      <c r="I1774" t="n">
        <v>0</v>
      </c>
      <c r="J1774" t="n">
        <v>0</v>
      </c>
      <c r="K1774" t="n">
        <v>0</v>
      </c>
      <c r="L1774" t="n">
        <v>0</v>
      </c>
      <c r="M1774" t="n">
        <v>0</v>
      </c>
      <c r="N1774" t="n">
        <v>0</v>
      </c>
      <c r="O1774" t="n">
        <v>0</v>
      </c>
      <c r="P1774" t="n">
        <v>0</v>
      </c>
      <c r="Q1774" t="n">
        <v>0</v>
      </c>
      <c r="R1774" s="2" t="inlineStr"/>
    </row>
    <row r="1775" ht="15" customHeight="1">
      <c r="A1775" t="inlineStr">
        <is>
          <t>A 35031-2023</t>
        </is>
      </c>
      <c r="B1775" s="1" t="n">
        <v>45145</v>
      </c>
      <c r="C1775" s="1" t="n">
        <v>45192</v>
      </c>
      <c r="D1775" t="inlineStr">
        <is>
          <t>VÄSTERBOTTENS LÄN</t>
        </is>
      </c>
      <c r="E1775" t="inlineStr">
        <is>
          <t>SKELLEFTEÅ</t>
        </is>
      </c>
      <c r="F1775" t="inlineStr">
        <is>
          <t>Holmen skog AB</t>
        </is>
      </c>
      <c r="G1775" t="n">
        <v>7.8</v>
      </c>
      <c r="H1775" t="n">
        <v>0</v>
      </c>
      <c r="I1775" t="n">
        <v>0</v>
      </c>
      <c r="J1775" t="n">
        <v>0</v>
      </c>
      <c r="K1775" t="n">
        <v>0</v>
      </c>
      <c r="L1775" t="n">
        <v>0</v>
      </c>
      <c r="M1775" t="n">
        <v>0</v>
      </c>
      <c r="N1775" t="n">
        <v>0</v>
      </c>
      <c r="O1775" t="n">
        <v>0</v>
      </c>
      <c r="P1775" t="n">
        <v>0</v>
      </c>
      <c r="Q1775" t="n">
        <v>0</v>
      </c>
      <c r="R1775" s="2" t="inlineStr"/>
    </row>
    <row r="1776" ht="15" customHeight="1">
      <c r="A1776" t="inlineStr">
        <is>
          <t>A 35032-2023</t>
        </is>
      </c>
      <c r="B1776" s="1" t="n">
        <v>45145</v>
      </c>
      <c r="C1776" s="1" t="n">
        <v>45192</v>
      </c>
      <c r="D1776" t="inlineStr">
        <is>
          <t>VÄSTERBOTTENS LÄN</t>
        </is>
      </c>
      <c r="E1776" t="inlineStr">
        <is>
          <t>SKELLEFTEÅ</t>
        </is>
      </c>
      <c r="G1776" t="n">
        <v>0.8</v>
      </c>
      <c r="H1776" t="n">
        <v>0</v>
      </c>
      <c r="I1776" t="n">
        <v>0</v>
      </c>
      <c r="J1776" t="n">
        <v>0</v>
      </c>
      <c r="K1776" t="n">
        <v>0</v>
      </c>
      <c r="L1776" t="n">
        <v>0</v>
      </c>
      <c r="M1776" t="n">
        <v>0</v>
      </c>
      <c r="N1776" t="n">
        <v>0</v>
      </c>
      <c r="O1776" t="n">
        <v>0</v>
      </c>
      <c r="P1776" t="n">
        <v>0</v>
      </c>
      <c r="Q1776" t="n">
        <v>0</v>
      </c>
      <c r="R1776" s="2" t="inlineStr"/>
    </row>
    <row r="1777" ht="15" customHeight="1">
      <c r="A1777" t="inlineStr">
        <is>
          <t>A 35206-2023</t>
        </is>
      </c>
      <c r="B1777" s="1" t="n">
        <v>45145</v>
      </c>
      <c r="C1777" s="1" t="n">
        <v>45192</v>
      </c>
      <c r="D1777" t="inlineStr">
        <is>
          <t>VÄSTERBOTTENS LÄN</t>
        </is>
      </c>
      <c r="E1777" t="inlineStr">
        <is>
          <t>SKELLEFTEÅ</t>
        </is>
      </c>
      <c r="G1777" t="n">
        <v>9.699999999999999</v>
      </c>
      <c r="H1777" t="n">
        <v>0</v>
      </c>
      <c r="I1777" t="n">
        <v>0</v>
      </c>
      <c r="J1777" t="n">
        <v>0</v>
      </c>
      <c r="K1777" t="n">
        <v>0</v>
      </c>
      <c r="L1777" t="n">
        <v>0</v>
      </c>
      <c r="M1777" t="n">
        <v>0</v>
      </c>
      <c r="N1777" t="n">
        <v>0</v>
      </c>
      <c r="O1777" t="n">
        <v>0</v>
      </c>
      <c r="P1777" t="n">
        <v>0</v>
      </c>
      <c r="Q1777" t="n">
        <v>0</v>
      </c>
      <c r="R1777" s="2" t="inlineStr"/>
    </row>
    <row r="1778" ht="15" customHeight="1">
      <c r="A1778" t="inlineStr">
        <is>
          <t>A 35338-2023</t>
        </is>
      </c>
      <c r="B1778" s="1" t="n">
        <v>45145</v>
      </c>
      <c r="C1778" s="1" t="n">
        <v>45192</v>
      </c>
      <c r="D1778" t="inlineStr">
        <is>
          <t>VÄSTERBOTTENS LÄN</t>
        </is>
      </c>
      <c r="E1778" t="inlineStr">
        <is>
          <t>SKELLEFTEÅ</t>
        </is>
      </c>
      <c r="G1778" t="n">
        <v>4.1</v>
      </c>
      <c r="H1778" t="n">
        <v>0</v>
      </c>
      <c r="I1778" t="n">
        <v>0</v>
      </c>
      <c r="J1778" t="n">
        <v>0</v>
      </c>
      <c r="K1778" t="n">
        <v>0</v>
      </c>
      <c r="L1778" t="n">
        <v>0</v>
      </c>
      <c r="M1778" t="n">
        <v>0</v>
      </c>
      <c r="N1778" t="n">
        <v>0</v>
      </c>
      <c r="O1778" t="n">
        <v>0</v>
      </c>
      <c r="P1778" t="n">
        <v>0</v>
      </c>
      <c r="Q1778" t="n">
        <v>0</v>
      </c>
      <c r="R1778" s="2" t="inlineStr"/>
    </row>
    <row r="1779" ht="15" customHeight="1">
      <c r="A1779" t="inlineStr">
        <is>
          <t>A 35430-2023</t>
        </is>
      </c>
      <c r="B1779" s="1" t="n">
        <v>45146</v>
      </c>
      <c r="C1779" s="1" t="n">
        <v>45192</v>
      </c>
      <c r="D1779" t="inlineStr">
        <is>
          <t>VÄSTERBOTTENS LÄN</t>
        </is>
      </c>
      <c r="E1779" t="inlineStr">
        <is>
          <t>SKELLEFTEÅ</t>
        </is>
      </c>
      <c r="G1779" t="n">
        <v>4</v>
      </c>
      <c r="H1779" t="n">
        <v>0</v>
      </c>
      <c r="I1779" t="n">
        <v>0</v>
      </c>
      <c r="J1779" t="n">
        <v>0</v>
      </c>
      <c r="K1779" t="n">
        <v>0</v>
      </c>
      <c r="L1779" t="n">
        <v>0</v>
      </c>
      <c r="M1779" t="n">
        <v>0</v>
      </c>
      <c r="N1779" t="n">
        <v>0</v>
      </c>
      <c r="O1779" t="n">
        <v>0</v>
      </c>
      <c r="P1779" t="n">
        <v>0</v>
      </c>
      <c r="Q1779" t="n">
        <v>0</v>
      </c>
      <c r="R1779" s="2" t="inlineStr"/>
    </row>
    <row r="1780" ht="15" customHeight="1">
      <c r="A1780" t="inlineStr">
        <is>
          <t>A 35439-2023</t>
        </is>
      </c>
      <c r="B1780" s="1" t="n">
        <v>45146</v>
      </c>
      <c r="C1780" s="1" t="n">
        <v>45192</v>
      </c>
      <c r="D1780" t="inlineStr">
        <is>
          <t>VÄSTERBOTTENS LÄN</t>
        </is>
      </c>
      <c r="E1780" t="inlineStr">
        <is>
          <t>SKELLEFTEÅ</t>
        </is>
      </c>
      <c r="G1780" t="n">
        <v>1.8</v>
      </c>
      <c r="H1780" t="n">
        <v>0</v>
      </c>
      <c r="I1780" t="n">
        <v>0</v>
      </c>
      <c r="J1780" t="n">
        <v>0</v>
      </c>
      <c r="K1780" t="n">
        <v>0</v>
      </c>
      <c r="L1780" t="n">
        <v>0</v>
      </c>
      <c r="M1780" t="n">
        <v>0</v>
      </c>
      <c r="N1780" t="n">
        <v>0</v>
      </c>
      <c r="O1780" t="n">
        <v>0</v>
      </c>
      <c r="P1780" t="n">
        <v>0</v>
      </c>
      <c r="Q1780" t="n">
        <v>0</v>
      </c>
      <c r="R1780" s="2" t="inlineStr"/>
    </row>
    <row r="1781" ht="15" customHeight="1">
      <c r="A1781" t="inlineStr">
        <is>
          <t>A 35401-2023</t>
        </is>
      </c>
      <c r="B1781" s="1" t="n">
        <v>45146</v>
      </c>
      <c r="C1781" s="1" t="n">
        <v>45192</v>
      </c>
      <c r="D1781" t="inlineStr">
        <is>
          <t>VÄSTERBOTTENS LÄN</t>
        </is>
      </c>
      <c r="E1781" t="inlineStr">
        <is>
          <t>SKELLEFTEÅ</t>
        </is>
      </c>
      <c r="G1781" t="n">
        <v>0.6</v>
      </c>
      <c r="H1781" t="n">
        <v>0</v>
      </c>
      <c r="I1781" t="n">
        <v>0</v>
      </c>
      <c r="J1781" t="n">
        <v>0</v>
      </c>
      <c r="K1781" t="n">
        <v>0</v>
      </c>
      <c r="L1781" t="n">
        <v>0</v>
      </c>
      <c r="M1781" t="n">
        <v>0</v>
      </c>
      <c r="N1781" t="n">
        <v>0</v>
      </c>
      <c r="O1781" t="n">
        <v>0</v>
      </c>
      <c r="P1781" t="n">
        <v>0</v>
      </c>
      <c r="Q1781" t="n">
        <v>0</v>
      </c>
      <c r="R1781" s="2" t="inlineStr"/>
    </row>
    <row r="1782" ht="15" customHeight="1">
      <c r="A1782" t="inlineStr">
        <is>
          <t>A 35437-2023</t>
        </is>
      </c>
      <c r="B1782" s="1" t="n">
        <v>45146</v>
      </c>
      <c r="C1782" s="1" t="n">
        <v>45192</v>
      </c>
      <c r="D1782" t="inlineStr">
        <is>
          <t>VÄSTERBOTTENS LÄN</t>
        </is>
      </c>
      <c r="E1782" t="inlineStr">
        <is>
          <t>SKELLEFTEÅ</t>
        </is>
      </c>
      <c r="G1782" t="n">
        <v>0.8</v>
      </c>
      <c r="H1782" t="n">
        <v>0</v>
      </c>
      <c r="I1782" t="n">
        <v>0</v>
      </c>
      <c r="J1782" t="n">
        <v>0</v>
      </c>
      <c r="K1782" t="n">
        <v>0</v>
      </c>
      <c r="L1782" t="n">
        <v>0</v>
      </c>
      <c r="M1782" t="n">
        <v>0</v>
      </c>
      <c r="N1782" t="n">
        <v>0</v>
      </c>
      <c r="O1782" t="n">
        <v>0</v>
      </c>
      <c r="P1782" t="n">
        <v>0</v>
      </c>
      <c r="Q1782" t="n">
        <v>0</v>
      </c>
      <c r="R1782" s="2" t="inlineStr"/>
    </row>
    <row r="1783" ht="15" customHeight="1">
      <c r="A1783" t="inlineStr">
        <is>
          <t>A 35733-2023</t>
        </is>
      </c>
      <c r="B1783" s="1" t="n">
        <v>45147</v>
      </c>
      <c r="C1783" s="1" t="n">
        <v>45192</v>
      </c>
      <c r="D1783" t="inlineStr">
        <is>
          <t>VÄSTERBOTTENS LÄN</t>
        </is>
      </c>
      <c r="E1783" t="inlineStr">
        <is>
          <t>SKELLEFTEÅ</t>
        </is>
      </c>
      <c r="G1783" t="n">
        <v>1.2</v>
      </c>
      <c r="H1783" t="n">
        <v>0</v>
      </c>
      <c r="I1783" t="n">
        <v>0</v>
      </c>
      <c r="J1783" t="n">
        <v>0</v>
      </c>
      <c r="K1783" t="n">
        <v>0</v>
      </c>
      <c r="L1783" t="n">
        <v>0</v>
      </c>
      <c r="M1783" t="n">
        <v>0</v>
      </c>
      <c r="N1783" t="n">
        <v>0</v>
      </c>
      <c r="O1783" t="n">
        <v>0</v>
      </c>
      <c r="P1783" t="n">
        <v>0</v>
      </c>
      <c r="Q1783" t="n">
        <v>0</v>
      </c>
      <c r="R1783" s="2" t="inlineStr"/>
    </row>
    <row r="1784" ht="15" customHeight="1">
      <c r="A1784" t="inlineStr">
        <is>
          <t>A 35732-2023</t>
        </is>
      </c>
      <c r="B1784" s="1" t="n">
        <v>45147</v>
      </c>
      <c r="C1784" s="1" t="n">
        <v>45192</v>
      </c>
      <c r="D1784" t="inlineStr">
        <is>
          <t>VÄSTERBOTTENS LÄN</t>
        </is>
      </c>
      <c r="E1784" t="inlineStr">
        <is>
          <t>SKELLEFTEÅ</t>
        </is>
      </c>
      <c r="G1784" t="n">
        <v>1</v>
      </c>
      <c r="H1784" t="n">
        <v>0</v>
      </c>
      <c r="I1784" t="n">
        <v>0</v>
      </c>
      <c r="J1784" t="n">
        <v>0</v>
      </c>
      <c r="K1784" t="n">
        <v>0</v>
      </c>
      <c r="L1784" t="n">
        <v>0</v>
      </c>
      <c r="M1784" t="n">
        <v>0</v>
      </c>
      <c r="N1784" t="n">
        <v>0</v>
      </c>
      <c r="O1784" t="n">
        <v>0</v>
      </c>
      <c r="P1784" t="n">
        <v>0</v>
      </c>
      <c r="Q1784" t="n">
        <v>0</v>
      </c>
      <c r="R1784" s="2" t="inlineStr"/>
    </row>
    <row r="1785" ht="15" customHeight="1">
      <c r="A1785" t="inlineStr">
        <is>
          <t>A 35731-2023</t>
        </is>
      </c>
      <c r="B1785" s="1" t="n">
        <v>45147</v>
      </c>
      <c r="C1785" s="1" t="n">
        <v>45192</v>
      </c>
      <c r="D1785" t="inlineStr">
        <is>
          <t>VÄSTERBOTTENS LÄN</t>
        </is>
      </c>
      <c r="E1785" t="inlineStr">
        <is>
          <t>SKELLEFTEÅ</t>
        </is>
      </c>
      <c r="G1785" t="n">
        <v>1.6</v>
      </c>
      <c r="H1785" t="n">
        <v>0</v>
      </c>
      <c r="I1785" t="n">
        <v>0</v>
      </c>
      <c r="J1785" t="n">
        <v>0</v>
      </c>
      <c r="K1785" t="n">
        <v>0</v>
      </c>
      <c r="L1785" t="n">
        <v>0</v>
      </c>
      <c r="M1785" t="n">
        <v>0</v>
      </c>
      <c r="N1785" t="n">
        <v>0</v>
      </c>
      <c r="O1785" t="n">
        <v>0</v>
      </c>
      <c r="P1785" t="n">
        <v>0</v>
      </c>
      <c r="Q1785" t="n">
        <v>0</v>
      </c>
      <c r="R1785" s="2" t="inlineStr"/>
    </row>
    <row r="1786" ht="15" customHeight="1">
      <c r="A1786" t="inlineStr">
        <is>
          <t>A 35736-2023</t>
        </is>
      </c>
      <c r="B1786" s="1" t="n">
        <v>45147</v>
      </c>
      <c r="C1786" s="1" t="n">
        <v>45192</v>
      </c>
      <c r="D1786" t="inlineStr">
        <is>
          <t>VÄSTERBOTTENS LÄN</t>
        </is>
      </c>
      <c r="E1786" t="inlineStr">
        <is>
          <t>SKELLEFTEÅ</t>
        </is>
      </c>
      <c r="G1786" t="n">
        <v>5.3</v>
      </c>
      <c r="H1786" t="n">
        <v>0</v>
      </c>
      <c r="I1786" t="n">
        <v>0</v>
      </c>
      <c r="J1786" t="n">
        <v>0</v>
      </c>
      <c r="K1786" t="n">
        <v>0</v>
      </c>
      <c r="L1786" t="n">
        <v>0</v>
      </c>
      <c r="M1786" t="n">
        <v>0</v>
      </c>
      <c r="N1786" t="n">
        <v>0</v>
      </c>
      <c r="O1786" t="n">
        <v>0</v>
      </c>
      <c r="P1786" t="n">
        <v>0</v>
      </c>
      <c r="Q1786" t="n">
        <v>0</v>
      </c>
      <c r="R1786" s="2" t="inlineStr"/>
    </row>
    <row r="1787" ht="15" customHeight="1">
      <c r="A1787" t="inlineStr">
        <is>
          <t>A 35952-2023</t>
        </is>
      </c>
      <c r="B1787" s="1" t="n">
        <v>45148</v>
      </c>
      <c r="C1787" s="1" t="n">
        <v>45192</v>
      </c>
      <c r="D1787" t="inlineStr">
        <is>
          <t>VÄSTERBOTTENS LÄN</t>
        </is>
      </c>
      <c r="E1787" t="inlineStr">
        <is>
          <t>SKELLEFTEÅ</t>
        </is>
      </c>
      <c r="G1787" t="n">
        <v>2.1</v>
      </c>
      <c r="H1787" t="n">
        <v>0</v>
      </c>
      <c r="I1787" t="n">
        <v>0</v>
      </c>
      <c r="J1787" t="n">
        <v>0</v>
      </c>
      <c r="K1787" t="n">
        <v>0</v>
      </c>
      <c r="L1787" t="n">
        <v>0</v>
      </c>
      <c r="M1787" t="n">
        <v>0</v>
      </c>
      <c r="N1787" t="n">
        <v>0</v>
      </c>
      <c r="O1787" t="n">
        <v>0</v>
      </c>
      <c r="P1787" t="n">
        <v>0</v>
      </c>
      <c r="Q1787" t="n">
        <v>0</v>
      </c>
      <c r="R1787" s="2" t="inlineStr"/>
    </row>
    <row r="1788" ht="15" customHeight="1">
      <c r="A1788" t="inlineStr">
        <is>
          <t>A 36275-2023</t>
        </is>
      </c>
      <c r="B1788" s="1" t="n">
        <v>45152</v>
      </c>
      <c r="C1788" s="1" t="n">
        <v>45192</v>
      </c>
      <c r="D1788" t="inlineStr">
        <is>
          <t>VÄSTERBOTTENS LÄN</t>
        </is>
      </c>
      <c r="E1788" t="inlineStr">
        <is>
          <t>SKELLEFTEÅ</t>
        </is>
      </c>
      <c r="G1788" t="n">
        <v>5</v>
      </c>
      <c r="H1788" t="n">
        <v>0</v>
      </c>
      <c r="I1788" t="n">
        <v>0</v>
      </c>
      <c r="J1788" t="n">
        <v>0</v>
      </c>
      <c r="K1788" t="n">
        <v>0</v>
      </c>
      <c r="L1788" t="n">
        <v>0</v>
      </c>
      <c r="M1788" t="n">
        <v>0</v>
      </c>
      <c r="N1788" t="n">
        <v>0</v>
      </c>
      <c r="O1788" t="n">
        <v>0</v>
      </c>
      <c r="P1788" t="n">
        <v>0</v>
      </c>
      <c r="Q1788" t="n">
        <v>0</v>
      </c>
      <c r="R1788" s="2" t="inlineStr"/>
    </row>
    <row r="1789" ht="15" customHeight="1">
      <c r="A1789" t="inlineStr">
        <is>
          <t>A 36327-2023</t>
        </is>
      </c>
      <c r="B1789" s="1" t="n">
        <v>45152</v>
      </c>
      <c r="C1789" s="1" t="n">
        <v>45192</v>
      </c>
      <c r="D1789" t="inlineStr">
        <is>
          <t>VÄSTERBOTTENS LÄN</t>
        </is>
      </c>
      <c r="E1789" t="inlineStr">
        <is>
          <t>SKELLEFTEÅ</t>
        </is>
      </c>
      <c r="F1789" t="inlineStr">
        <is>
          <t>Holmen skog AB</t>
        </is>
      </c>
      <c r="G1789" t="n">
        <v>3.5</v>
      </c>
      <c r="H1789" t="n">
        <v>0</v>
      </c>
      <c r="I1789" t="n">
        <v>0</v>
      </c>
      <c r="J1789" t="n">
        <v>0</v>
      </c>
      <c r="K1789" t="n">
        <v>0</v>
      </c>
      <c r="L1789" t="n">
        <v>0</v>
      </c>
      <c r="M1789" t="n">
        <v>0</v>
      </c>
      <c r="N1789" t="n">
        <v>0</v>
      </c>
      <c r="O1789" t="n">
        <v>0</v>
      </c>
      <c r="P1789" t="n">
        <v>0</v>
      </c>
      <c r="Q1789" t="n">
        <v>0</v>
      </c>
      <c r="R1789" s="2" t="inlineStr"/>
    </row>
    <row r="1790" ht="15" customHeight="1">
      <c r="A1790" t="inlineStr">
        <is>
          <t>A 38134-2023</t>
        </is>
      </c>
      <c r="B1790" s="1" t="n">
        <v>45159</v>
      </c>
      <c r="C1790" s="1" t="n">
        <v>45192</v>
      </c>
      <c r="D1790" t="inlineStr">
        <is>
          <t>VÄSTERBOTTENS LÄN</t>
        </is>
      </c>
      <c r="E1790" t="inlineStr">
        <is>
          <t>SKELLEFTEÅ</t>
        </is>
      </c>
      <c r="G1790" t="n">
        <v>5</v>
      </c>
      <c r="H1790" t="n">
        <v>0</v>
      </c>
      <c r="I1790" t="n">
        <v>0</v>
      </c>
      <c r="J1790" t="n">
        <v>0</v>
      </c>
      <c r="K1790" t="n">
        <v>0</v>
      </c>
      <c r="L1790" t="n">
        <v>0</v>
      </c>
      <c r="M1790" t="n">
        <v>0</v>
      </c>
      <c r="N1790" t="n">
        <v>0</v>
      </c>
      <c r="O1790" t="n">
        <v>0</v>
      </c>
      <c r="P1790" t="n">
        <v>0</v>
      </c>
      <c r="Q1790" t="n">
        <v>0</v>
      </c>
      <c r="R1790" s="2" t="inlineStr"/>
    </row>
    <row r="1791" ht="15" customHeight="1">
      <c r="A1791" t="inlineStr">
        <is>
          <t>A 38140-2023</t>
        </is>
      </c>
      <c r="B1791" s="1" t="n">
        <v>45159</v>
      </c>
      <c r="C1791" s="1" t="n">
        <v>45192</v>
      </c>
      <c r="D1791" t="inlineStr">
        <is>
          <t>VÄSTERBOTTENS LÄN</t>
        </is>
      </c>
      <c r="E1791" t="inlineStr">
        <is>
          <t>SKELLEFTEÅ</t>
        </is>
      </c>
      <c r="G1791" t="n">
        <v>12.8</v>
      </c>
      <c r="H1791" t="n">
        <v>0</v>
      </c>
      <c r="I1791" t="n">
        <v>0</v>
      </c>
      <c r="J1791" t="n">
        <v>0</v>
      </c>
      <c r="K1791" t="n">
        <v>0</v>
      </c>
      <c r="L1791" t="n">
        <v>0</v>
      </c>
      <c r="M1791" t="n">
        <v>0</v>
      </c>
      <c r="N1791" t="n">
        <v>0</v>
      </c>
      <c r="O1791" t="n">
        <v>0</v>
      </c>
      <c r="P1791" t="n">
        <v>0</v>
      </c>
      <c r="Q1791" t="n">
        <v>0</v>
      </c>
      <c r="R1791" s="2" t="inlineStr"/>
    </row>
    <row r="1792" ht="15" customHeight="1">
      <c r="A1792" t="inlineStr">
        <is>
          <t>A 38253-2023</t>
        </is>
      </c>
      <c r="B1792" s="1" t="n">
        <v>45160</v>
      </c>
      <c r="C1792" s="1" t="n">
        <v>45192</v>
      </c>
      <c r="D1792" t="inlineStr">
        <is>
          <t>VÄSTERBOTTENS LÄN</t>
        </is>
      </c>
      <c r="E1792" t="inlineStr">
        <is>
          <t>SKELLEFTEÅ</t>
        </is>
      </c>
      <c r="G1792" t="n">
        <v>13</v>
      </c>
      <c r="H1792" t="n">
        <v>0</v>
      </c>
      <c r="I1792" t="n">
        <v>0</v>
      </c>
      <c r="J1792" t="n">
        <v>0</v>
      </c>
      <c r="K1792" t="n">
        <v>0</v>
      </c>
      <c r="L1792" t="n">
        <v>0</v>
      </c>
      <c r="M1792" t="n">
        <v>0</v>
      </c>
      <c r="N1792" t="n">
        <v>0</v>
      </c>
      <c r="O1792" t="n">
        <v>0</v>
      </c>
      <c r="P1792" t="n">
        <v>0</v>
      </c>
      <c r="Q1792" t="n">
        <v>0</v>
      </c>
      <c r="R1792" s="2" t="inlineStr"/>
    </row>
    <row r="1793" ht="15" customHeight="1">
      <c r="A1793" t="inlineStr">
        <is>
          <t>A 38314-2023</t>
        </is>
      </c>
      <c r="B1793" s="1" t="n">
        <v>45160</v>
      </c>
      <c r="C1793" s="1" t="n">
        <v>45192</v>
      </c>
      <c r="D1793" t="inlineStr">
        <is>
          <t>VÄSTERBOTTENS LÄN</t>
        </is>
      </c>
      <c r="E1793" t="inlineStr">
        <is>
          <t>SKELLEFTEÅ</t>
        </is>
      </c>
      <c r="G1793" t="n">
        <v>1.6</v>
      </c>
      <c r="H1793" t="n">
        <v>0</v>
      </c>
      <c r="I1793" t="n">
        <v>0</v>
      </c>
      <c r="J1793" t="n">
        <v>0</v>
      </c>
      <c r="K1793" t="n">
        <v>0</v>
      </c>
      <c r="L1793" t="n">
        <v>0</v>
      </c>
      <c r="M1793" t="n">
        <v>0</v>
      </c>
      <c r="N1793" t="n">
        <v>0</v>
      </c>
      <c r="O1793" t="n">
        <v>0</v>
      </c>
      <c r="P1793" t="n">
        <v>0</v>
      </c>
      <c r="Q1793" t="n">
        <v>0</v>
      </c>
      <c r="R1793" s="2" t="inlineStr"/>
    </row>
    <row r="1794" ht="15" customHeight="1">
      <c r="A1794" t="inlineStr">
        <is>
          <t>A 38311-2023</t>
        </is>
      </c>
      <c r="B1794" s="1" t="n">
        <v>45160</v>
      </c>
      <c r="C1794" s="1" t="n">
        <v>45192</v>
      </c>
      <c r="D1794" t="inlineStr">
        <is>
          <t>VÄSTERBOTTENS LÄN</t>
        </is>
      </c>
      <c r="E1794" t="inlineStr">
        <is>
          <t>SKELLEFTEÅ</t>
        </is>
      </c>
      <c r="G1794" t="n">
        <v>1</v>
      </c>
      <c r="H1794" t="n">
        <v>0</v>
      </c>
      <c r="I1794" t="n">
        <v>0</v>
      </c>
      <c r="J1794" t="n">
        <v>0</v>
      </c>
      <c r="K1794" t="n">
        <v>0</v>
      </c>
      <c r="L1794" t="n">
        <v>0</v>
      </c>
      <c r="M1794" t="n">
        <v>0</v>
      </c>
      <c r="N1794" t="n">
        <v>0</v>
      </c>
      <c r="O1794" t="n">
        <v>0</v>
      </c>
      <c r="P1794" t="n">
        <v>0</v>
      </c>
      <c r="Q1794" t="n">
        <v>0</v>
      </c>
      <c r="R1794" s="2" t="inlineStr"/>
    </row>
    <row r="1795" ht="15" customHeight="1">
      <c r="A1795" t="inlineStr">
        <is>
          <t>A 38717-2023</t>
        </is>
      </c>
      <c r="B1795" s="1" t="n">
        <v>45160</v>
      </c>
      <c r="C1795" s="1" t="n">
        <v>45192</v>
      </c>
      <c r="D1795" t="inlineStr">
        <is>
          <t>VÄSTERBOTTENS LÄN</t>
        </is>
      </c>
      <c r="E1795" t="inlineStr">
        <is>
          <t>SKELLEFTEÅ</t>
        </is>
      </c>
      <c r="G1795" t="n">
        <v>0.5</v>
      </c>
      <c r="H1795" t="n">
        <v>0</v>
      </c>
      <c r="I1795" t="n">
        <v>0</v>
      </c>
      <c r="J1795" t="n">
        <v>0</v>
      </c>
      <c r="K1795" t="n">
        <v>0</v>
      </c>
      <c r="L1795" t="n">
        <v>0</v>
      </c>
      <c r="M1795" t="n">
        <v>0</v>
      </c>
      <c r="N1795" t="n">
        <v>0</v>
      </c>
      <c r="O1795" t="n">
        <v>0</v>
      </c>
      <c r="P1795" t="n">
        <v>0</v>
      </c>
      <c r="Q1795" t="n">
        <v>0</v>
      </c>
      <c r="R1795" s="2" t="inlineStr"/>
    </row>
    <row r="1796" ht="15" customHeight="1">
      <c r="A1796" t="inlineStr">
        <is>
          <t>A 38309-2023</t>
        </is>
      </c>
      <c r="B1796" s="1" t="n">
        <v>45160</v>
      </c>
      <c r="C1796" s="1" t="n">
        <v>45192</v>
      </c>
      <c r="D1796" t="inlineStr">
        <is>
          <t>VÄSTERBOTTENS LÄN</t>
        </is>
      </c>
      <c r="E1796" t="inlineStr">
        <is>
          <t>SKELLEFTEÅ</t>
        </is>
      </c>
      <c r="G1796" t="n">
        <v>3.4</v>
      </c>
      <c r="H1796" t="n">
        <v>0</v>
      </c>
      <c r="I1796" t="n">
        <v>0</v>
      </c>
      <c r="J1796" t="n">
        <v>0</v>
      </c>
      <c r="K1796" t="n">
        <v>0</v>
      </c>
      <c r="L1796" t="n">
        <v>0</v>
      </c>
      <c r="M1796" t="n">
        <v>0</v>
      </c>
      <c r="N1796" t="n">
        <v>0</v>
      </c>
      <c r="O1796" t="n">
        <v>0</v>
      </c>
      <c r="P1796" t="n">
        <v>0</v>
      </c>
      <c r="Q1796" t="n">
        <v>0</v>
      </c>
      <c r="R1796" s="2" t="inlineStr"/>
    </row>
    <row r="1797" ht="15" customHeight="1">
      <c r="A1797" t="inlineStr">
        <is>
          <t>A 38574-2023</t>
        </is>
      </c>
      <c r="B1797" s="1" t="n">
        <v>45161</v>
      </c>
      <c r="C1797" s="1" t="n">
        <v>45192</v>
      </c>
      <c r="D1797" t="inlineStr">
        <is>
          <t>VÄSTERBOTTENS LÄN</t>
        </is>
      </c>
      <c r="E1797" t="inlineStr">
        <is>
          <t>SKELLEFTEÅ</t>
        </is>
      </c>
      <c r="G1797" t="n">
        <v>0.7</v>
      </c>
      <c r="H1797" t="n">
        <v>0</v>
      </c>
      <c r="I1797" t="n">
        <v>0</v>
      </c>
      <c r="J1797" t="n">
        <v>0</v>
      </c>
      <c r="K1797" t="n">
        <v>0</v>
      </c>
      <c r="L1797" t="n">
        <v>0</v>
      </c>
      <c r="M1797" t="n">
        <v>0</v>
      </c>
      <c r="N1797" t="n">
        <v>0</v>
      </c>
      <c r="O1797" t="n">
        <v>0</v>
      </c>
      <c r="P1797" t="n">
        <v>0</v>
      </c>
      <c r="Q1797" t="n">
        <v>0</v>
      </c>
      <c r="R1797" s="2" t="inlineStr"/>
    </row>
    <row r="1798" ht="15" customHeight="1">
      <c r="A1798" t="inlineStr">
        <is>
          <t>A 38809-2023</t>
        </is>
      </c>
      <c r="B1798" s="1" t="n">
        <v>45161</v>
      </c>
      <c r="C1798" s="1" t="n">
        <v>45192</v>
      </c>
      <c r="D1798" t="inlineStr">
        <is>
          <t>VÄSTERBOTTENS LÄN</t>
        </is>
      </c>
      <c r="E1798" t="inlineStr">
        <is>
          <t>SKELLEFTEÅ</t>
        </is>
      </c>
      <c r="G1798" t="n">
        <v>4</v>
      </c>
      <c r="H1798" t="n">
        <v>0</v>
      </c>
      <c r="I1798" t="n">
        <v>0</v>
      </c>
      <c r="J1798" t="n">
        <v>0</v>
      </c>
      <c r="K1798" t="n">
        <v>0</v>
      </c>
      <c r="L1798" t="n">
        <v>0</v>
      </c>
      <c r="M1798" t="n">
        <v>0</v>
      </c>
      <c r="N1798" t="n">
        <v>0</v>
      </c>
      <c r="O1798" t="n">
        <v>0</v>
      </c>
      <c r="P1798" t="n">
        <v>0</v>
      </c>
      <c r="Q1798" t="n">
        <v>0</v>
      </c>
      <c r="R1798" s="2" t="inlineStr"/>
    </row>
    <row r="1799" ht="15" customHeight="1">
      <c r="A1799" t="inlineStr">
        <is>
          <t>A 38356-2023</t>
        </is>
      </c>
      <c r="B1799" s="1" t="n">
        <v>45161</v>
      </c>
      <c r="C1799" s="1" t="n">
        <v>45192</v>
      </c>
      <c r="D1799" t="inlineStr">
        <is>
          <t>VÄSTERBOTTENS LÄN</t>
        </is>
      </c>
      <c r="E1799" t="inlineStr">
        <is>
          <t>SKELLEFTEÅ</t>
        </is>
      </c>
      <c r="G1799" t="n">
        <v>2.4</v>
      </c>
      <c r="H1799" t="n">
        <v>0</v>
      </c>
      <c r="I1799" t="n">
        <v>0</v>
      </c>
      <c r="J1799" t="n">
        <v>0</v>
      </c>
      <c r="K1799" t="n">
        <v>0</v>
      </c>
      <c r="L1799" t="n">
        <v>0</v>
      </c>
      <c r="M1799" t="n">
        <v>0</v>
      </c>
      <c r="N1799" t="n">
        <v>0</v>
      </c>
      <c r="O1799" t="n">
        <v>0</v>
      </c>
      <c r="P1799" t="n">
        <v>0</v>
      </c>
      <c r="Q1799" t="n">
        <v>0</v>
      </c>
      <c r="R1799" s="2" t="inlineStr"/>
    </row>
    <row r="1800" ht="15" customHeight="1">
      <c r="A1800" t="inlineStr">
        <is>
          <t>A 38805-2023</t>
        </is>
      </c>
      <c r="B1800" s="1" t="n">
        <v>45161</v>
      </c>
      <c r="C1800" s="1" t="n">
        <v>45192</v>
      </c>
      <c r="D1800" t="inlineStr">
        <is>
          <t>VÄSTERBOTTENS LÄN</t>
        </is>
      </c>
      <c r="E1800" t="inlineStr">
        <is>
          <t>SKELLEFTEÅ</t>
        </is>
      </c>
      <c r="G1800" t="n">
        <v>4.3</v>
      </c>
      <c r="H1800" t="n">
        <v>0</v>
      </c>
      <c r="I1800" t="n">
        <v>0</v>
      </c>
      <c r="J1800" t="n">
        <v>0</v>
      </c>
      <c r="K1800" t="n">
        <v>0</v>
      </c>
      <c r="L1800" t="n">
        <v>0</v>
      </c>
      <c r="M1800" t="n">
        <v>0</v>
      </c>
      <c r="N1800" t="n">
        <v>0</v>
      </c>
      <c r="O1800" t="n">
        <v>0</v>
      </c>
      <c r="P1800" t="n">
        <v>0</v>
      </c>
      <c r="Q1800" t="n">
        <v>0</v>
      </c>
      <c r="R1800" s="2" t="inlineStr"/>
    </row>
    <row r="1801" ht="15" customHeight="1">
      <c r="A1801" t="inlineStr">
        <is>
          <t>A 38818-2023</t>
        </is>
      </c>
      <c r="B1801" s="1" t="n">
        <v>45161</v>
      </c>
      <c r="C1801" s="1" t="n">
        <v>45192</v>
      </c>
      <c r="D1801" t="inlineStr">
        <is>
          <t>VÄSTERBOTTENS LÄN</t>
        </is>
      </c>
      <c r="E1801" t="inlineStr">
        <is>
          <t>SKELLEFTEÅ</t>
        </is>
      </c>
      <c r="G1801" t="n">
        <v>2.8</v>
      </c>
      <c r="H1801" t="n">
        <v>0</v>
      </c>
      <c r="I1801" t="n">
        <v>0</v>
      </c>
      <c r="J1801" t="n">
        <v>0</v>
      </c>
      <c r="K1801" t="n">
        <v>0</v>
      </c>
      <c r="L1801" t="n">
        <v>0</v>
      </c>
      <c r="M1801" t="n">
        <v>0</v>
      </c>
      <c r="N1801" t="n">
        <v>0</v>
      </c>
      <c r="O1801" t="n">
        <v>0</v>
      </c>
      <c r="P1801" t="n">
        <v>0</v>
      </c>
      <c r="Q1801" t="n">
        <v>0</v>
      </c>
      <c r="R1801" s="2" t="inlineStr"/>
    </row>
    <row r="1802" ht="15" customHeight="1">
      <c r="A1802" t="inlineStr">
        <is>
          <t>A 38826-2023</t>
        </is>
      </c>
      <c r="B1802" s="1" t="n">
        <v>45161</v>
      </c>
      <c r="C1802" s="1" t="n">
        <v>45192</v>
      </c>
      <c r="D1802" t="inlineStr">
        <is>
          <t>VÄSTERBOTTENS LÄN</t>
        </is>
      </c>
      <c r="E1802" t="inlineStr">
        <is>
          <t>SKELLEFTEÅ</t>
        </is>
      </c>
      <c r="G1802" t="n">
        <v>0.6</v>
      </c>
      <c r="H1802" t="n">
        <v>0</v>
      </c>
      <c r="I1802" t="n">
        <v>0</v>
      </c>
      <c r="J1802" t="n">
        <v>0</v>
      </c>
      <c r="K1802" t="n">
        <v>0</v>
      </c>
      <c r="L1802" t="n">
        <v>0</v>
      </c>
      <c r="M1802" t="n">
        <v>0</v>
      </c>
      <c r="N1802" t="n">
        <v>0</v>
      </c>
      <c r="O1802" t="n">
        <v>0</v>
      </c>
      <c r="P1802" t="n">
        <v>0</v>
      </c>
      <c r="Q1802" t="n">
        <v>0</v>
      </c>
      <c r="R1802" s="2" t="inlineStr"/>
    </row>
    <row r="1803" ht="15" customHeight="1">
      <c r="A1803" t="inlineStr">
        <is>
          <t>A 38577-2023</t>
        </is>
      </c>
      <c r="B1803" s="1" t="n">
        <v>45161</v>
      </c>
      <c r="C1803" s="1" t="n">
        <v>45192</v>
      </c>
      <c r="D1803" t="inlineStr">
        <is>
          <t>VÄSTERBOTTENS LÄN</t>
        </is>
      </c>
      <c r="E1803" t="inlineStr">
        <is>
          <t>SKELLEFTEÅ</t>
        </is>
      </c>
      <c r="G1803" t="n">
        <v>0.8</v>
      </c>
      <c r="H1803" t="n">
        <v>0</v>
      </c>
      <c r="I1803" t="n">
        <v>0</v>
      </c>
      <c r="J1803" t="n">
        <v>0</v>
      </c>
      <c r="K1803" t="n">
        <v>0</v>
      </c>
      <c r="L1803" t="n">
        <v>0</v>
      </c>
      <c r="M1803" t="n">
        <v>0</v>
      </c>
      <c r="N1803" t="n">
        <v>0</v>
      </c>
      <c r="O1803" t="n">
        <v>0</v>
      </c>
      <c r="P1803" t="n">
        <v>0</v>
      </c>
      <c r="Q1803" t="n">
        <v>0</v>
      </c>
      <c r="R1803" s="2" t="inlineStr"/>
    </row>
    <row r="1804" ht="15" customHeight="1">
      <c r="A1804" t="inlineStr">
        <is>
          <t>A 38811-2023</t>
        </is>
      </c>
      <c r="B1804" s="1" t="n">
        <v>45161</v>
      </c>
      <c r="C1804" s="1" t="n">
        <v>45192</v>
      </c>
      <c r="D1804" t="inlineStr">
        <is>
          <t>VÄSTERBOTTENS LÄN</t>
        </is>
      </c>
      <c r="E1804" t="inlineStr">
        <is>
          <t>SKELLEFTEÅ</t>
        </is>
      </c>
      <c r="G1804" t="n">
        <v>2.5</v>
      </c>
      <c r="H1804" t="n">
        <v>0</v>
      </c>
      <c r="I1804" t="n">
        <v>0</v>
      </c>
      <c r="J1804" t="n">
        <v>0</v>
      </c>
      <c r="K1804" t="n">
        <v>0</v>
      </c>
      <c r="L1804" t="n">
        <v>0</v>
      </c>
      <c r="M1804" t="n">
        <v>0</v>
      </c>
      <c r="N1804" t="n">
        <v>0</v>
      </c>
      <c r="O1804" t="n">
        <v>0</v>
      </c>
      <c r="P1804" t="n">
        <v>0</v>
      </c>
      <c r="Q1804" t="n">
        <v>0</v>
      </c>
      <c r="R1804" s="2" t="inlineStr"/>
    </row>
    <row r="1805" ht="15" customHeight="1">
      <c r="A1805" t="inlineStr">
        <is>
          <t>A 38445-2023</t>
        </is>
      </c>
      <c r="B1805" s="1" t="n">
        <v>45162</v>
      </c>
      <c r="C1805" s="1" t="n">
        <v>45192</v>
      </c>
      <c r="D1805" t="inlineStr">
        <is>
          <t>VÄSTERBOTTENS LÄN</t>
        </is>
      </c>
      <c r="E1805" t="inlineStr">
        <is>
          <t>SKELLEFTEÅ</t>
        </is>
      </c>
      <c r="G1805" t="n">
        <v>2</v>
      </c>
      <c r="H1805" t="n">
        <v>0</v>
      </c>
      <c r="I1805" t="n">
        <v>0</v>
      </c>
      <c r="J1805" t="n">
        <v>0</v>
      </c>
      <c r="K1805" t="n">
        <v>0</v>
      </c>
      <c r="L1805" t="n">
        <v>0</v>
      </c>
      <c r="M1805" t="n">
        <v>0</v>
      </c>
      <c r="N1805" t="n">
        <v>0</v>
      </c>
      <c r="O1805" t="n">
        <v>0</v>
      </c>
      <c r="P1805" t="n">
        <v>0</v>
      </c>
      <c r="Q1805" t="n">
        <v>0</v>
      </c>
      <c r="R1805" s="2" t="inlineStr"/>
    </row>
    <row r="1806" ht="15" customHeight="1">
      <c r="A1806" t="inlineStr">
        <is>
          <t>A 38450-2023</t>
        </is>
      </c>
      <c r="B1806" s="1" t="n">
        <v>45162</v>
      </c>
      <c r="C1806" s="1" t="n">
        <v>45192</v>
      </c>
      <c r="D1806" t="inlineStr">
        <is>
          <t>VÄSTERBOTTENS LÄN</t>
        </is>
      </c>
      <c r="E1806" t="inlineStr">
        <is>
          <t>SKELLEFTEÅ</t>
        </is>
      </c>
      <c r="G1806" t="n">
        <v>5.2</v>
      </c>
      <c r="H1806" t="n">
        <v>0</v>
      </c>
      <c r="I1806" t="n">
        <v>0</v>
      </c>
      <c r="J1806" t="n">
        <v>0</v>
      </c>
      <c r="K1806" t="n">
        <v>0</v>
      </c>
      <c r="L1806" t="n">
        <v>0</v>
      </c>
      <c r="M1806" t="n">
        <v>0</v>
      </c>
      <c r="N1806" t="n">
        <v>0</v>
      </c>
      <c r="O1806" t="n">
        <v>0</v>
      </c>
      <c r="P1806" t="n">
        <v>0</v>
      </c>
      <c r="Q1806" t="n">
        <v>0</v>
      </c>
      <c r="R1806" s="2" t="inlineStr"/>
    </row>
    <row r="1807" ht="15" customHeight="1">
      <c r="A1807" t="inlineStr">
        <is>
          <t>A 39420-2023</t>
        </is>
      </c>
      <c r="B1807" s="1" t="n">
        <v>45163</v>
      </c>
      <c r="C1807" s="1" t="n">
        <v>45192</v>
      </c>
      <c r="D1807" t="inlineStr">
        <is>
          <t>VÄSTERBOTTENS LÄN</t>
        </is>
      </c>
      <c r="E1807" t="inlineStr">
        <is>
          <t>SKELLEFTEÅ</t>
        </is>
      </c>
      <c r="G1807" t="n">
        <v>2</v>
      </c>
      <c r="H1807" t="n">
        <v>0</v>
      </c>
      <c r="I1807" t="n">
        <v>0</v>
      </c>
      <c r="J1807" t="n">
        <v>0</v>
      </c>
      <c r="K1807" t="n">
        <v>0</v>
      </c>
      <c r="L1807" t="n">
        <v>0</v>
      </c>
      <c r="M1807" t="n">
        <v>0</v>
      </c>
      <c r="N1807" t="n">
        <v>0</v>
      </c>
      <c r="O1807" t="n">
        <v>0</v>
      </c>
      <c r="P1807" t="n">
        <v>0</v>
      </c>
      <c r="Q1807" t="n">
        <v>0</v>
      </c>
      <c r="R1807" s="2" t="inlineStr"/>
    </row>
    <row r="1808" ht="15" customHeight="1">
      <c r="A1808" t="inlineStr">
        <is>
          <t>A 39412-2023</t>
        </is>
      </c>
      <c r="B1808" s="1" t="n">
        <v>45163</v>
      </c>
      <c r="C1808" s="1" t="n">
        <v>45192</v>
      </c>
      <c r="D1808" t="inlineStr">
        <is>
          <t>VÄSTERBOTTENS LÄN</t>
        </is>
      </c>
      <c r="E1808" t="inlineStr">
        <is>
          <t>SKELLEFTEÅ</t>
        </is>
      </c>
      <c r="G1808" t="n">
        <v>1.7</v>
      </c>
      <c r="H1808" t="n">
        <v>0</v>
      </c>
      <c r="I1808" t="n">
        <v>0</v>
      </c>
      <c r="J1808" t="n">
        <v>0</v>
      </c>
      <c r="K1808" t="n">
        <v>0</v>
      </c>
      <c r="L1808" t="n">
        <v>0</v>
      </c>
      <c r="M1808" t="n">
        <v>0</v>
      </c>
      <c r="N1808" t="n">
        <v>0</v>
      </c>
      <c r="O1808" t="n">
        <v>0</v>
      </c>
      <c r="P1808" t="n">
        <v>0</v>
      </c>
      <c r="Q1808" t="n">
        <v>0</v>
      </c>
      <c r="R1808" s="2" t="inlineStr"/>
    </row>
    <row r="1809" ht="15" customHeight="1">
      <c r="A1809" t="inlineStr">
        <is>
          <t>A 39695-2023</t>
        </is>
      </c>
      <c r="B1809" s="1" t="n">
        <v>45166</v>
      </c>
      <c r="C1809" s="1" t="n">
        <v>45192</v>
      </c>
      <c r="D1809" t="inlineStr">
        <is>
          <t>VÄSTERBOTTENS LÄN</t>
        </is>
      </c>
      <c r="E1809" t="inlineStr">
        <is>
          <t>SKELLEFTEÅ</t>
        </is>
      </c>
      <c r="G1809" t="n">
        <v>1.7</v>
      </c>
      <c r="H1809" t="n">
        <v>0</v>
      </c>
      <c r="I1809" t="n">
        <v>0</v>
      </c>
      <c r="J1809" t="n">
        <v>0</v>
      </c>
      <c r="K1809" t="n">
        <v>0</v>
      </c>
      <c r="L1809" t="n">
        <v>0</v>
      </c>
      <c r="M1809" t="n">
        <v>0</v>
      </c>
      <c r="N1809" t="n">
        <v>0</v>
      </c>
      <c r="O1809" t="n">
        <v>0</v>
      </c>
      <c r="P1809" t="n">
        <v>0</v>
      </c>
      <c r="Q1809" t="n">
        <v>0</v>
      </c>
      <c r="R1809" s="2" t="inlineStr"/>
    </row>
    <row r="1810" ht="15" customHeight="1">
      <c r="A1810" t="inlineStr">
        <is>
          <t>A 42421-2023</t>
        </is>
      </c>
      <c r="B1810" s="1" t="n">
        <v>45180</v>
      </c>
      <c r="C1810" s="1" t="n">
        <v>45192</v>
      </c>
      <c r="D1810" t="inlineStr">
        <is>
          <t>VÄSTERBOTTENS LÄN</t>
        </is>
      </c>
      <c r="E1810" t="inlineStr">
        <is>
          <t>SKELLEFTEÅ</t>
        </is>
      </c>
      <c r="G1810" t="n">
        <v>3.8</v>
      </c>
      <c r="H1810" t="n">
        <v>0</v>
      </c>
      <c r="I1810" t="n">
        <v>0</v>
      </c>
      <c r="J1810" t="n">
        <v>0</v>
      </c>
      <c r="K1810" t="n">
        <v>0</v>
      </c>
      <c r="L1810" t="n">
        <v>0</v>
      </c>
      <c r="M1810" t="n">
        <v>0</v>
      </c>
      <c r="N1810" t="n">
        <v>0</v>
      </c>
      <c r="O1810" t="n">
        <v>0</v>
      </c>
      <c r="P1810" t="n">
        <v>0</v>
      </c>
      <c r="Q1810" t="n">
        <v>0</v>
      </c>
      <c r="R1810" s="2" t="inlineStr"/>
    </row>
    <row r="1811">
      <c r="A1811" t="inlineStr">
        <is>
          <t>A 43751-2023</t>
        </is>
      </c>
      <c r="B1811" s="1" t="n">
        <v>45187</v>
      </c>
      <c r="C1811" s="1" t="n">
        <v>45192</v>
      </c>
      <c r="D1811" t="inlineStr">
        <is>
          <t>VÄSTERBOTTENS LÄN</t>
        </is>
      </c>
      <c r="E1811" t="inlineStr">
        <is>
          <t>SKELLEFTEÅ</t>
        </is>
      </c>
      <c r="G1811" t="n">
        <v>1.4</v>
      </c>
      <c r="H1811" t="n">
        <v>0</v>
      </c>
      <c r="I1811" t="n">
        <v>0</v>
      </c>
      <c r="J1811" t="n">
        <v>0</v>
      </c>
      <c r="K1811" t="n">
        <v>0</v>
      </c>
      <c r="L1811" t="n">
        <v>0</v>
      </c>
      <c r="M1811" t="n">
        <v>0</v>
      </c>
      <c r="N1811" t="n">
        <v>0</v>
      </c>
      <c r="O1811" t="n">
        <v>0</v>
      </c>
      <c r="P1811" t="n">
        <v>0</v>
      </c>
      <c r="Q1811" t="n">
        <v>0</v>
      </c>
      <c r="R181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2023-09-23T07:08:04Z</dcterms:created>
  <dcterms:modified xmlns:dcterms="http://purl.org/dc/terms/" xmlns:xsi="http://www.w3.org/2001/XMLSchema-instance" xsi:type="dcterms:W3CDTF">2023-09-23T07:08:05Z</dcterms:modified>
</cp:coreProperties>
</file>