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45216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45216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45216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45216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45216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45216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45216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45216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45216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45216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45216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45216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45216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45216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45216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45216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45216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45216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45216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45216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45216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45216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45216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45216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45216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45216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45216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45216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45216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45216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45216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45216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45216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45216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45216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45216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45216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45216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45216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45216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45216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45216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45216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45216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45216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45216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45216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45216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45216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45216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45216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45216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45216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45216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45216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45216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45216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45216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45216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45216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45216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45216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45216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45216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45216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45216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45216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45216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45216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45216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45216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45216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45216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45216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45216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45216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45216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45216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45216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45216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45216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45216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45216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45216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45216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45216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45216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45216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45216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45216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45216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45216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45216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45216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45216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45216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45216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45216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45216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45216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45216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45216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45216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45216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45216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45216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45216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45216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45216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45216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45216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45216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45216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45216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45216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45216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45216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45216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45216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45216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45216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45216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45216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45216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45216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45216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45216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45216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45216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45216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45216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45216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45216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45216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45216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45216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45216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45216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45216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45216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45216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45216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45216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45216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45216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45216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45216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45216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45216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45216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45216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45216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45216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45216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45216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45216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45216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45216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45216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45216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45216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45216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45216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45216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45216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45216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45216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45216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45216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45216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45216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45216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45216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45216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45216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45216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45216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45216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45216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45216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45216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45216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45216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45216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45216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45216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45216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45216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45216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36567-2018</t>
        </is>
      </c>
      <c r="B191" s="1" t="n">
        <v>43329</v>
      </c>
      <c r="C191" s="1" t="n">
        <v>45216</v>
      </c>
      <c r="D191" t="inlineStr">
        <is>
          <t>SÖDERMANLANDS LÄN</t>
        </is>
      </c>
      <c r="E191" t="inlineStr">
        <is>
          <t>GNESTA</t>
        </is>
      </c>
      <c r="G191" t="n">
        <v>1.1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HYPERLINK("https://klasma.github.io/Logging_0461/artfynd/A 36567-2018 artfynd.xlsx", "A 36567-2018")</f>
        <v/>
      </c>
      <c r="T191">
        <f>HYPERLINK("https://klasma.github.io/Logging_0461/kartor/A 36567-2018 karta.png", "A 36567-2018")</f>
        <v/>
      </c>
      <c r="V191">
        <f>HYPERLINK("https://klasma.github.io/Logging_0461/klagomål/A 36567-2018 FSC-klagomål.docx", "A 36567-2018")</f>
        <v/>
      </c>
      <c r="W191">
        <f>HYPERLINK("https://klasma.github.io/Logging_0461/klagomålsmail/A 36567-2018 FSC-klagomål mail.docx", "A 36567-2018")</f>
        <v/>
      </c>
      <c r="X191">
        <f>HYPERLINK("https://klasma.github.io/Logging_0461/tillsyn/A 36567-2018 tillsynsbegäran.docx", "A 36567-2018")</f>
        <v/>
      </c>
      <c r="Y191">
        <f>HYPERLINK("https://klasma.github.io/Logging_0461/tillsynsmail/A 36567-2018 tillsynsbegäran mail.docx", "A 36567-2018")</f>
        <v/>
      </c>
    </row>
    <row r="192" ht="15" customHeight="1">
      <c r="A192" t="inlineStr">
        <is>
          <t>A 45505-2018</t>
        </is>
      </c>
      <c r="B192" s="1" t="n">
        <v>43363</v>
      </c>
      <c r="C192" s="1" t="n">
        <v>45216</v>
      </c>
      <c r="D192" t="inlineStr">
        <is>
          <t>SÖDERMANLANDS LÄN</t>
        </is>
      </c>
      <c r="E192" t="inlineStr">
        <is>
          <t>FLEN</t>
        </is>
      </c>
      <c r="G192" t="n">
        <v>3.9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Blåsippa</t>
        </is>
      </c>
      <c r="S192">
        <f>HYPERLINK("https://klasma.github.io/Logging_0482/artfynd/A 45505-2018 artfynd.xlsx", "A 45505-2018")</f>
        <v/>
      </c>
      <c r="T192">
        <f>HYPERLINK("https://klasma.github.io/Logging_0482/kartor/A 45505-2018 karta.png", "A 45505-2018")</f>
        <v/>
      </c>
      <c r="V192">
        <f>HYPERLINK("https://klasma.github.io/Logging_0482/klagomål/A 45505-2018 FSC-klagomål.docx", "A 45505-2018")</f>
        <v/>
      </c>
      <c r="W192">
        <f>HYPERLINK("https://klasma.github.io/Logging_0482/klagomålsmail/A 45505-2018 FSC-klagomål mail.docx", "A 45505-2018")</f>
        <v/>
      </c>
      <c r="X192">
        <f>HYPERLINK("https://klasma.github.io/Logging_0482/tillsyn/A 45505-2018 tillsynsbegäran.docx", "A 45505-2018")</f>
        <v/>
      </c>
      <c r="Y192">
        <f>HYPERLINK("https://klasma.github.io/Logging_0482/tillsynsmail/A 45505-2018 tillsynsbegäran mail.docx", "A 45505-2018")</f>
        <v/>
      </c>
    </row>
    <row r="193" ht="15" customHeight="1">
      <c r="A193" t="inlineStr">
        <is>
          <t>A 48223-2018</t>
        </is>
      </c>
      <c r="B193" s="1" t="n">
        <v>43371</v>
      </c>
      <c r="C193" s="1" t="n">
        <v>45216</v>
      </c>
      <c r="D193" t="inlineStr">
        <is>
          <t>SÖDERMANLANDS LÄN</t>
        </is>
      </c>
      <c r="E193" t="inlineStr">
        <is>
          <t>NYKÖPING</t>
        </is>
      </c>
      <c r="G193" t="n">
        <v>13.4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Barkticka</t>
        </is>
      </c>
      <c r="S193">
        <f>HYPERLINK("https://klasma.github.io/Logging_0480/artfynd/A 48223-2018 artfynd.xlsx", "A 48223-2018")</f>
        <v/>
      </c>
      <c r="T193">
        <f>HYPERLINK("https://klasma.github.io/Logging_0480/kartor/A 48223-2018 karta.png", "A 48223-2018")</f>
        <v/>
      </c>
      <c r="V193">
        <f>HYPERLINK("https://klasma.github.io/Logging_0480/klagomål/A 48223-2018 FSC-klagomål.docx", "A 48223-2018")</f>
        <v/>
      </c>
      <c r="W193">
        <f>HYPERLINK("https://klasma.github.io/Logging_0480/klagomålsmail/A 48223-2018 FSC-klagomål mail.docx", "A 48223-2018")</f>
        <v/>
      </c>
      <c r="X193">
        <f>HYPERLINK("https://klasma.github.io/Logging_0480/tillsyn/A 48223-2018 tillsynsbegäran.docx", "A 48223-2018")</f>
        <v/>
      </c>
      <c r="Y193">
        <f>HYPERLINK("https://klasma.github.io/Logging_0480/tillsynsmail/A 48223-2018 tillsynsbegäran mail.docx", "A 48223-2018")</f>
        <v/>
      </c>
    </row>
    <row r="194" ht="15" customHeight="1">
      <c r="A194" t="inlineStr">
        <is>
          <t>A 58767-2018</t>
        </is>
      </c>
      <c r="B194" s="1" t="n">
        <v>43399</v>
      </c>
      <c r="C194" s="1" t="n">
        <v>45216</v>
      </c>
      <c r="D194" t="inlineStr">
        <is>
          <t>SÖDERMANLANDS LÄN</t>
        </is>
      </c>
      <c r="E194" t="inlineStr">
        <is>
          <t>NYKÖPING</t>
        </is>
      </c>
      <c r="G194" t="n">
        <v>5.4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Vanlig groda</t>
        </is>
      </c>
      <c r="S194">
        <f>HYPERLINK("https://klasma.github.io/Logging_0480/artfynd/A 58767-2018 artfynd.xlsx", "A 58767-2018")</f>
        <v/>
      </c>
      <c r="T194">
        <f>HYPERLINK("https://klasma.github.io/Logging_0480/kartor/A 58767-2018 karta.png", "A 58767-2018")</f>
        <v/>
      </c>
      <c r="V194">
        <f>HYPERLINK("https://klasma.github.io/Logging_0480/klagomål/A 58767-2018 FSC-klagomål.docx", "A 58767-2018")</f>
        <v/>
      </c>
      <c r="W194">
        <f>HYPERLINK("https://klasma.github.io/Logging_0480/klagomålsmail/A 58767-2018 FSC-klagomål mail.docx", "A 58767-2018")</f>
        <v/>
      </c>
      <c r="X194">
        <f>HYPERLINK("https://klasma.github.io/Logging_0480/tillsyn/A 58767-2018 tillsynsbegäran.docx", "A 58767-2018")</f>
        <v/>
      </c>
      <c r="Y194">
        <f>HYPERLINK("https://klasma.github.io/Logging_0480/tillsynsmail/A 58767-2018 tillsynsbegäran mail.docx", "A 58767-2018")</f>
        <v/>
      </c>
    </row>
    <row r="195" ht="15" customHeight="1">
      <c r="A195" t="inlineStr">
        <is>
          <t>A 67790-2018</t>
        </is>
      </c>
      <c r="B195" s="1" t="n">
        <v>43440</v>
      </c>
      <c r="C195" s="1" t="n">
        <v>45216</v>
      </c>
      <c r="D195" t="inlineStr">
        <is>
          <t>SÖDERMANLANDS LÄN</t>
        </is>
      </c>
      <c r="E195" t="inlineStr">
        <is>
          <t>NYKÖPING</t>
        </is>
      </c>
      <c r="G195" t="n">
        <v>6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Tallticka</t>
        </is>
      </c>
      <c r="S195">
        <f>HYPERLINK("https://klasma.github.io/Logging_0480/artfynd/A 67790-2018 artfynd.xlsx", "A 67790-2018")</f>
        <v/>
      </c>
      <c r="T195">
        <f>HYPERLINK("https://klasma.github.io/Logging_0480/kartor/A 67790-2018 karta.png", "A 67790-2018")</f>
        <v/>
      </c>
      <c r="V195">
        <f>HYPERLINK("https://klasma.github.io/Logging_0480/klagomål/A 67790-2018 FSC-klagomål.docx", "A 67790-2018")</f>
        <v/>
      </c>
      <c r="W195">
        <f>HYPERLINK("https://klasma.github.io/Logging_0480/klagomålsmail/A 67790-2018 FSC-klagomål mail.docx", "A 67790-2018")</f>
        <v/>
      </c>
      <c r="X195">
        <f>HYPERLINK("https://klasma.github.io/Logging_0480/tillsyn/A 67790-2018 tillsynsbegäran.docx", "A 67790-2018")</f>
        <v/>
      </c>
      <c r="Y195">
        <f>HYPERLINK("https://klasma.github.io/Logging_0480/tillsynsmail/A 67790-2018 tillsynsbegäran mail.docx", "A 67790-2018")</f>
        <v/>
      </c>
    </row>
    <row r="196" ht="15" customHeight="1">
      <c r="A196" t="inlineStr">
        <is>
          <t>A 68180-2018</t>
        </is>
      </c>
      <c r="B196" s="1" t="n">
        <v>43441</v>
      </c>
      <c r="C196" s="1" t="n">
        <v>45216</v>
      </c>
      <c r="D196" t="inlineStr">
        <is>
          <t>SÖDERMANLANDS LÄN</t>
        </is>
      </c>
      <c r="E196" t="inlineStr">
        <is>
          <t>NYKÖPING</t>
        </is>
      </c>
      <c r="G196" t="n">
        <v>12.8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Majviva</t>
        </is>
      </c>
      <c r="S196">
        <f>HYPERLINK("https://klasma.github.io/Logging_0480/artfynd/A 68180-2018 artfynd.xlsx", "A 68180-2018")</f>
        <v/>
      </c>
      <c r="T196">
        <f>HYPERLINK("https://klasma.github.io/Logging_0480/kartor/A 68180-2018 karta.png", "A 68180-2018")</f>
        <v/>
      </c>
      <c r="V196">
        <f>HYPERLINK("https://klasma.github.io/Logging_0480/klagomål/A 68180-2018 FSC-klagomål.docx", "A 68180-2018")</f>
        <v/>
      </c>
      <c r="W196">
        <f>HYPERLINK("https://klasma.github.io/Logging_0480/klagomålsmail/A 68180-2018 FSC-klagomål mail.docx", "A 68180-2018")</f>
        <v/>
      </c>
      <c r="X196">
        <f>HYPERLINK("https://klasma.github.io/Logging_0480/tillsyn/A 68180-2018 tillsynsbegäran.docx", "A 68180-2018")</f>
        <v/>
      </c>
      <c r="Y196">
        <f>HYPERLINK("https://klasma.github.io/Logging_0480/tillsynsmail/A 68180-2018 tillsynsbegäran mail.docx", "A 68180-2018")</f>
        <v/>
      </c>
    </row>
    <row r="197" ht="15" customHeight="1">
      <c r="A197" t="inlineStr">
        <is>
          <t>A 2055-2019</t>
        </is>
      </c>
      <c r="B197" s="1" t="n">
        <v>43462</v>
      </c>
      <c r="C197" s="1" t="n">
        <v>45216</v>
      </c>
      <c r="D197" t="inlineStr">
        <is>
          <t>SÖDERMANLANDS LÄN</t>
        </is>
      </c>
      <c r="E197" t="inlineStr">
        <is>
          <t>VINGÅKER</t>
        </is>
      </c>
      <c r="G197" t="n">
        <v>2.8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Backsvala</t>
        </is>
      </c>
      <c r="S197">
        <f>HYPERLINK("https://klasma.github.io/Logging_0428/artfynd/A 2055-2019 artfynd.xlsx", "A 2055-2019")</f>
        <v/>
      </c>
      <c r="T197">
        <f>HYPERLINK("https://klasma.github.io/Logging_0428/kartor/A 2055-2019 karta.png", "A 2055-2019")</f>
        <v/>
      </c>
      <c r="V197">
        <f>HYPERLINK("https://klasma.github.io/Logging_0428/klagomål/A 2055-2019 FSC-klagomål.docx", "A 2055-2019")</f>
        <v/>
      </c>
      <c r="W197">
        <f>HYPERLINK("https://klasma.github.io/Logging_0428/klagomålsmail/A 2055-2019 FSC-klagomål mail.docx", "A 2055-2019")</f>
        <v/>
      </c>
      <c r="X197">
        <f>HYPERLINK("https://klasma.github.io/Logging_0428/tillsyn/A 2055-2019 tillsynsbegäran.docx", "A 2055-2019")</f>
        <v/>
      </c>
      <c r="Y197">
        <f>HYPERLINK("https://klasma.github.io/Logging_0428/tillsynsmail/A 2055-2019 tillsynsbegäran mail.docx", "A 2055-2019")</f>
        <v/>
      </c>
    </row>
    <row r="198" ht="15" customHeight="1">
      <c r="A198" t="inlineStr">
        <is>
          <t>A 3499-2019</t>
        </is>
      </c>
      <c r="B198" s="1" t="n">
        <v>43474</v>
      </c>
      <c r="C198" s="1" t="n">
        <v>45216</v>
      </c>
      <c r="D198" t="inlineStr">
        <is>
          <t>SÖDERMANLANDS LÄN</t>
        </is>
      </c>
      <c r="E198" t="inlineStr">
        <is>
          <t>KATRINEHOLM</t>
        </is>
      </c>
      <c r="G198" t="n">
        <v>30.3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Storgröe</t>
        </is>
      </c>
      <c r="S198">
        <f>HYPERLINK("https://klasma.github.io/Logging_0483/artfynd/A 3499-2019 artfynd.xlsx", "A 3499-2019")</f>
        <v/>
      </c>
      <c r="T198">
        <f>HYPERLINK("https://klasma.github.io/Logging_0483/kartor/A 3499-2019 karta.png", "A 3499-2019")</f>
        <v/>
      </c>
      <c r="V198">
        <f>HYPERLINK("https://klasma.github.io/Logging_0483/klagomål/A 3499-2019 FSC-klagomål.docx", "A 3499-2019")</f>
        <v/>
      </c>
      <c r="W198">
        <f>HYPERLINK("https://klasma.github.io/Logging_0483/klagomålsmail/A 3499-2019 FSC-klagomål mail.docx", "A 3499-2019")</f>
        <v/>
      </c>
      <c r="X198">
        <f>HYPERLINK("https://klasma.github.io/Logging_0483/tillsyn/A 3499-2019 tillsynsbegäran.docx", "A 3499-2019")</f>
        <v/>
      </c>
      <c r="Y198">
        <f>HYPERLINK("https://klasma.github.io/Logging_0483/tillsynsmail/A 3499-2019 tillsynsbegäran mail.docx", "A 3499-2019")</f>
        <v/>
      </c>
    </row>
    <row r="199" ht="15" customHeight="1">
      <c r="A199" t="inlineStr">
        <is>
          <t>A 8638-2019</t>
        </is>
      </c>
      <c r="B199" s="1" t="n">
        <v>43503</v>
      </c>
      <c r="C199" s="1" t="n">
        <v>45216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Aktiebolag</t>
        </is>
      </c>
      <c r="G199" t="n">
        <v>22.5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Fjällig taggsvamp s.str.</t>
        </is>
      </c>
      <c r="S199">
        <f>HYPERLINK("https://klasma.github.io/Logging_0486/artfynd/A 8638-2019 artfynd.xlsx", "A 8638-2019")</f>
        <v/>
      </c>
      <c r="T199">
        <f>HYPERLINK("https://klasma.github.io/Logging_0486/kartor/A 8638-2019 karta.png", "A 8638-2019")</f>
        <v/>
      </c>
      <c r="V199">
        <f>HYPERLINK("https://klasma.github.io/Logging_0486/klagomål/A 8638-2019 FSC-klagomål.docx", "A 8638-2019")</f>
        <v/>
      </c>
      <c r="W199">
        <f>HYPERLINK("https://klasma.github.io/Logging_0486/klagomålsmail/A 8638-2019 FSC-klagomål mail.docx", "A 8638-2019")</f>
        <v/>
      </c>
      <c r="X199">
        <f>HYPERLINK("https://klasma.github.io/Logging_0486/tillsyn/A 8638-2019 tillsynsbegäran.docx", "A 8638-2019")</f>
        <v/>
      </c>
      <c r="Y199">
        <f>HYPERLINK("https://klasma.github.io/Logging_0486/tillsynsmail/A 8638-2019 tillsynsbegäran mail.docx", "A 8638-2019")</f>
        <v/>
      </c>
    </row>
    <row r="200" ht="15" customHeight="1">
      <c r="A200" t="inlineStr">
        <is>
          <t>A 9360-2019</t>
        </is>
      </c>
      <c r="B200" s="1" t="n">
        <v>43507</v>
      </c>
      <c r="C200" s="1" t="n">
        <v>45216</v>
      </c>
      <c r="D200" t="inlineStr">
        <is>
          <t>SÖDERMANLANDS LÄN</t>
        </is>
      </c>
      <c r="E200" t="inlineStr">
        <is>
          <t>ESKILSTUNA</t>
        </is>
      </c>
      <c r="G200" t="n">
        <v>2.7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HYPERLINK("https://klasma.github.io/Logging_0484/artfynd/A 9360-2019 artfynd.xlsx", "A 9360-2019")</f>
        <v/>
      </c>
      <c r="T200">
        <f>HYPERLINK("https://klasma.github.io/Logging_0484/kartor/A 9360-2019 karta.png", "A 9360-2019")</f>
        <v/>
      </c>
      <c r="V200">
        <f>HYPERLINK("https://klasma.github.io/Logging_0484/klagomål/A 9360-2019 FSC-klagomål.docx", "A 9360-2019")</f>
        <v/>
      </c>
      <c r="W200">
        <f>HYPERLINK("https://klasma.github.io/Logging_0484/klagomålsmail/A 9360-2019 FSC-klagomål mail.docx", "A 9360-2019")</f>
        <v/>
      </c>
      <c r="X200">
        <f>HYPERLINK("https://klasma.github.io/Logging_0484/tillsyn/A 9360-2019 tillsynsbegäran.docx", "A 9360-2019")</f>
        <v/>
      </c>
      <c r="Y200">
        <f>HYPERLINK("https://klasma.github.io/Logging_0484/tillsynsmail/A 9360-2019 tillsynsbegäran mail.docx", "A 9360-2019")</f>
        <v/>
      </c>
    </row>
    <row r="201" ht="15" customHeight="1">
      <c r="A201" t="inlineStr">
        <is>
          <t>A 9659-2019</t>
        </is>
      </c>
      <c r="B201" s="1" t="n">
        <v>43508</v>
      </c>
      <c r="C201" s="1" t="n">
        <v>45216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1.1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Blåsippa</t>
        </is>
      </c>
      <c r="S201">
        <f>HYPERLINK("https://klasma.github.io/Logging_0480/artfynd/A 9659-2019 artfynd.xlsx", "A 9659-2019")</f>
        <v/>
      </c>
      <c r="T201">
        <f>HYPERLINK("https://klasma.github.io/Logging_0480/kartor/A 9659-2019 karta.png", "A 9659-2019")</f>
        <v/>
      </c>
      <c r="V201">
        <f>HYPERLINK("https://klasma.github.io/Logging_0480/klagomål/A 9659-2019 FSC-klagomål.docx", "A 9659-2019")</f>
        <v/>
      </c>
      <c r="W201">
        <f>HYPERLINK("https://klasma.github.io/Logging_0480/klagomålsmail/A 9659-2019 FSC-klagomål mail.docx", "A 9659-2019")</f>
        <v/>
      </c>
      <c r="X201">
        <f>HYPERLINK("https://klasma.github.io/Logging_0480/tillsyn/A 9659-2019 tillsynsbegäran.docx", "A 9659-2019")</f>
        <v/>
      </c>
      <c r="Y201">
        <f>HYPERLINK("https://klasma.github.io/Logging_0480/tillsynsmail/A 9659-2019 tillsynsbegäran mail.docx", "A 9659-2019")</f>
        <v/>
      </c>
    </row>
    <row r="202" ht="15" customHeight="1">
      <c r="A202" t="inlineStr">
        <is>
          <t>A 13821-2019</t>
        </is>
      </c>
      <c r="B202" s="1" t="n">
        <v>43531</v>
      </c>
      <c r="C202" s="1" t="n">
        <v>45216</v>
      </c>
      <c r="D202" t="inlineStr">
        <is>
          <t>SÖDERMANLANDS LÄN</t>
        </is>
      </c>
      <c r="E202" t="inlineStr">
        <is>
          <t>NYKÖPING</t>
        </is>
      </c>
      <c r="G202" t="n">
        <v>0.8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Rödvingetrast</t>
        </is>
      </c>
      <c r="S202">
        <f>HYPERLINK("https://klasma.github.io/Logging_0480/artfynd/A 13821-2019 artfynd.xlsx", "A 13821-2019")</f>
        <v/>
      </c>
      <c r="T202">
        <f>HYPERLINK("https://klasma.github.io/Logging_0480/kartor/A 13821-2019 karta.png", "A 13821-2019")</f>
        <v/>
      </c>
      <c r="V202">
        <f>HYPERLINK("https://klasma.github.io/Logging_0480/klagomål/A 13821-2019 FSC-klagomål.docx", "A 13821-2019")</f>
        <v/>
      </c>
      <c r="W202">
        <f>HYPERLINK("https://klasma.github.io/Logging_0480/klagomålsmail/A 13821-2019 FSC-klagomål mail.docx", "A 13821-2019")</f>
        <v/>
      </c>
      <c r="X202">
        <f>HYPERLINK("https://klasma.github.io/Logging_0480/tillsyn/A 13821-2019 tillsynsbegäran.docx", "A 13821-2019")</f>
        <v/>
      </c>
      <c r="Y202">
        <f>HYPERLINK("https://klasma.github.io/Logging_0480/tillsynsmail/A 13821-2019 tillsynsbegäran mail.docx", "A 13821-2019")</f>
        <v/>
      </c>
    </row>
    <row r="203" ht="15" customHeight="1">
      <c r="A203" t="inlineStr">
        <is>
          <t>A 18548-2019</t>
        </is>
      </c>
      <c r="B203" s="1" t="n">
        <v>43558</v>
      </c>
      <c r="C203" s="1" t="n">
        <v>45216</v>
      </c>
      <c r="D203" t="inlineStr">
        <is>
          <t>SÖDERMANLANDS LÄN</t>
        </is>
      </c>
      <c r="E203" t="inlineStr">
        <is>
          <t>FLEN</t>
        </is>
      </c>
      <c r="F203" t="inlineStr">
        <is>
          <t>Övriga statliga verk och myndigheter</t>
        </is>
      </c>
      <c r="G203" t="n">
        <v>2.3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HYPERLINK("https://klasma.github.io/Logging_0482/artfynd/A 18548-2019 artfynd.xlsx", "A 18548-2019")</f>
        <v/>
      </c>
      <c r="T203">
        <f>HYPERLINK("https://klasma.github.io/Logging_0482/kartor/A 18548-2019 karta.png", "A 18548-2019")</f>
        <v/>
      </c>
      <c r="V203">
        <f>HYPERLINK("https://klasma.github.io/Logging_0482/klagomål/A 18548-2019 FSC-klagomål.docx", "A 18548-2019")</f>
        <v/>
      </c>
      <c r="W203">
        <f>HYPERLINK("https://klasma.github.io/Logging_0482/klagomålsmail/A 18548-2019 FSC-klagomål mail.docx", "A 18548-2019")</f>
        <v/>
      </c>
      <c r="X203">
        <f>HYPERLINK("https://klasma.github.io/Logging_0482/tillsyn/A 18548-2019 tillsynsbegäran.docx", "A 18548-2019")</f>
        <v/>
      </c>
      <c r="Y203">
        <f>HYPERLINK("https://klasma.github.io/Logging_0482/tillsynsmail/A 18548-2019 tillsynsbegäran mail.docx", "A 18548-2019")</f>
        <v/>
      </c>
    </row>
    <row r="204" ht="15" customHeight="1">
      <c r="A204" t="inlineStr">
        <is>
          <t>A 21540-2019</t>
        </is>
      </c>
      <c r="B204" s="1" t="n">
        <v>43580</v>
      </c>
      <c r="C204" s="1" t="n">
        <v>45216</v>
      </c>
      <c r="D204" t="inlineStr">
        <is>
          <t>SÖDERMANLANDS LÄN</t>
        </is>
      </c>
      <c r="E204" t="inlineStr">
        <is>
          <t>KATRINEHOLM</t>
        </is>
      </c>
      <c r="F204" t="inlineStr">
        <is>
          <t>Kommuner</t>
        </is>
      </c>
      <c r="G204" t="n">
        <v>2.8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HYPERLINK("https://klasma.github.io/Logging_0483/artfynd/A 21540-2019 artfynd.xlsx", "A 21540-2019")</f>
        <v/>
      </c>
      <c r="T204">
        <f>HYPERLINK("https://klasma.github.io/Logging_0483/kartor/A 21540-2019 karta.png", "A 21540-2019")</f>
        <v/>
      </c>
      <c r="V204">
        <f>HYPERLINK("https://klasma.github.io/Logging_0483/klagomål/A 21540-2019 FSC-klagomål.docx", "A 21540-2019")</f>
        <v/>
      </c>
      <c r="W204">
        <f>HYPERLINK("https://klasma.github.io/Logging_0483/klagomålsmail/A 21540-2019 FSC-klagomål mail.docx", "A 21540-2019")</f>
        <v/>
      </c>
      <c r="X204">
        <f>HYPERLINK("https://klasma.github.io/Logging_0483/tillsyn/A 21540-2019 tillsynsbegäran.docx", "A 21540-2019")</f>
        <v/>
      </c>
      <c r="Y204">
        <f>HYPERLINK("https://klasma.github.io/Logging_0483/tillsynsmail/A 21540-2019 tillsynsbegäran mail.docx", "A 21540-2019")</f>
        <v/>
      </c>
    </row>
    <row r="205" ht="15" customHeight="1">
      <c r="A205" t="inlineStr">
        <is>
          <t>A 23204-2019</t>
        </is>
      </c>
      <c r="B205" s="1" t="n">
        <v>43592</v>
      </c>
      <c r="C205" s="1" t="n">
        <v>45216</v>
      </c>
      <c r="D205" t="inlineStr">
        <is>
          <t>SÖDERMANLANDS LÄN</t>
        </is>
      </c>
      <c r="E205" t="inlineStr">
        <is>
          <t>ESKILSTUNA</t>
        </is>
      </c>
      <c r="F205" t="inlineStr">
        <is>
          <t>Sveaskog</t>
        </is>
      </c>
      <c r="G205" t="n">
        <v>3.6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Ängsskära</t>
        </is>
      </c>
      <c r="S205">
        <f>HYPERLINK("https://klasma.github.io/Logging_0484/artfynd/A 23204-2019 artfynd.xlsx", "A 23204-2019")</f>
        <v/>
      </c>
      <c r="T205">
        <f>HYPERLINK("https://klasma.github.io/Logging_0484/kartor/A 23204-2019 karta.png", "A 23204-2019")</f>
        <v/>
      </c>
      <c r="V205">
        <f>HYPERLINK("https://klasma.github.io/Logging_0484/klagomål/A 23204-2019 FSC-klagomål.docx", "A 23204-2019")</f>
        <v/>
      </c>
      <c r="W205">
        <f>HYPERLINK("https://klasma.github.io/Logging_0484/klagomålsmail/A 23204-2019 FSC-klagomål mail.docx", "A 23204-2019")</f>
        <v/>
      </c>
      <c r="X205">
        <f>HYPERLINK("https://klasma.github.io/Logging_0484/tillsyn/A 23204-2019 tillsynsbegäran.docx", "A 23204-2019")</f>
        <v/>
      </c>
      <c r="Y205">
        <f>HYPERLINK("https://klasma.github.io/Logging_0484/tillsynsmail/A 23204-2019 tillsynsbegäran mail.docx", "A 23204-2019")</f>
        <v/>
      </c>
    </row>
    <row r="206" ht="15" customHeight="1">
      <c r="A206" t="inlineStr">
        <is>
          <t>A 23556-2019</t>
        </is>
      </c>
      <c r="B206" s="1" t="n">
        <v>43594</v>
      </c>
      <c r="C206" s="1" t="n">
        <v>45216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Sveaskog</t>
        </is>
      </c>
      <c r="G206" t="n">
        <v>2.8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Talltita</t>
        </is>
      </c>
      <c r="S206">
        <f>HYPERLINK("https://klasma.github.io/Logging_0480/artfynd/A 23556-2019 artfynd.xlsx", "A 23556-2019")</f>
        <v/>
      </c>
      <c r="T206">
        <f>HYPERLINK("https://klasma.github.io/Logging_0480/kartor/A 23556-2019 karta.png", "A 23556-2019")</f>
        <v/>
      </c>
      <c r="V206">
        <f>HYPERLINK("https://klasma.github.io/Logging_0480/klagomål/A 23556-2019 FSC-klagomål.docx", "A 23556-2019")</f>
        <v/>
      </c>
      <c r="W206">
        <f>HYPERLINK("https://klasma.github.io/Logging_0480/klagomålsmail/A 23556-2019 FSC-klagomål mail.docx", "A 23556-2019")</f>
        <v/>
      </c>
      <c r="X206">
        <f>HYPERLINK("https://klasma.github.io/Logging_0480/tillsyn/A 23556-2019 tillsynsbegäran.docx", "A 23556-2019")</f>
        <v/>
      </c>
      <c r="Y206">
        <f>HYPERLINK("https://klasma.github.io/Logging_0480/tillsynsmail/A 23556-2019 tillsynsbegäran mail.docx", "A 23556-2019")</f>
        <v/>
      </c>
    </row>
    <row r="207" ht="15" customHeight="1">
      <c r="A207" t="inlineStr">
        <is>
          <t>A 28647-2019</t>
        </is>
      </c>
      <c r="B207" s="1" t="n">
        <v>43614</v>
      </c>
      <c r="C207" s="1" t="n">
        <v>45216</v>
      </c>
      <c r="D207" t="inlineStr">
        <is>
          <t>SÖDERMANLANDS LÄN</t>
        </is>
      </c>
      <c r="E207" t="inlineStr">
        <is>
          <t>NYKÖPING</t>
        </is>
      </c>
      <c r="G207" t="n">
        <v>20.9</v>
      </c>
      <c r="H207" t="n">
        <v>1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Spindelblomster</t>
        </is>
      </c>
      <c r="S207">
        <f>HYPERLINK("https://klasma.github.io/Logging_0480/artfynd/A 28647-2019 artfynd.xlsx", "A 28647-2019")</f>
        <v/>
      </c>
      <c r="T207">
        <f>HYPERLINK("https://klasma.github.io/Logging_0480/kartor/A 28647-2019 karta.png", "A 28647-2019")</f>
        <v/>
      </c>
      <c r="V207">
        <f>HYPERLINK("https://klasma.github.io/Logging_0480/klagomål/A 28647-2019 FSC-klagomål.docx", "A 28647-2019")</f>
        <v/>
      </c>
      <c r="W207">
        <f>HYPERLINK("https://klasma.github.io/Logging_0480/klagomålsmail/A 28647-2019 FSC-klagomål mail.docx", "A 28647-2019")</f>
        <v/>
      </c>
      <c r="X207">
        <f>HYPERLINK("https://klasma.github.io/Logging_0480/tillsyn/A 28647-2019 tillsynsbegäran.docx", "A 28647-2019")</f>
        <v/>
      </c>
      <c r="Y207">
        <f>HYPERLINK("https://klasma.github.io/Logging_0480/tillsynsmail/A 28647-2019 tillsynsbegäran mail.docx", "A 28647-2019")</f>
        <v/>
      </c>
    </row>
    <row r="208" ht="15" customHeight="1">
      <c r="A208" t="inlineStr">
        <is>
          <t>A 28403-2019</t>
        </is>
      </c>
      <c r="B208" s="1" t="n">
        <v>43626</v>
      </c>
      <c r="C208" s="1" t="n">
        <v>45216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2.5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Grönpyrola</t>
        </is>
      </c>
      <c r="S208">
        <f>HYPERLINK("https://klasma.github.io/Logging_0480/artfynd/A 28403-2019 artfynd.xlsx", "A 28403-2019")</f>
        <v/>
      </c>
      <c r="T208">
        <f>HYPERLINK("https://klasma.github.io/Logging_0480/kartor/A 28403-2019 karta.png", "A 28403-2019")</f>
        <v/>
      </c>
      <c r="V208">
        <f>HYPERLINK("https://klasma.github.io/Logging_0480/klagomål/A 28403-2019 FSC-klagomål.docx", "A 28403-2019")</f>
        <v/>
      </c>
      <c r="W208">
        <f>HYPERLINK("https://klasma.github.io/Logging_0480/klagomålsmail/A 28403-2019 FSC-klagomål mail.docx", "A 28403-2019")</f>
        <v/>
      </c>
      <c r="X208">
        <f>HYPERLINK("https://klasma.github.io/Logging_0480/tillsyn/A 28403-2019 tillsynsbegäran.docx", "A 28403-2019")</f>
        <v/>
      </c>
      <c r="Y208">
        <f>HYPERLINK("https://klasma.github.io/Logging_0480/tillsynsmail/A 28403-2019 tillsynsbegäran mail.docx", "A 28403-2019")</f>
        <v/>
      </c>
    </row>
    <row r="209" ht="15" customHeight="1">
      <c r="A209" t="inlineStr">
        <is>
          <t>A 29459-2019</t>
        </is>
      </c>
      <c r="B209" s="1" t="n">
        <v>43629</v>
      </c>
      <c r="C209" s="1" t="n">
        <v>45216</v>
      </c>
      <c r="D209" t="inlineStr">
        <is>
          <t>SÖDERMANLANDS LÄN</t>
        </is>
      </c>
      <c r="E209" t="inlineStr">
        <is>
          <t>ESKILSTUNA</t>
        </is>
      </c>
      <c r="G209" t="n">
        <v>9.199999999999999</v>
      </c>
      <c r="H209" t="n">
        <v>1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Knärot</t>
        </is>
      </c>
      <c r="S209">
        <f>HYPERLINK("https://klasma.github.io/Logging_0484/artfynd/A 29459-2019 artfynd.xlsx", "A 29459-2019")</f>
        <v/>
      </c>
      <c r="T209">
        <f>HYPERLINK("https://klasma.github.io/Logging_0484/kartor/A 29459-2019 karta.png", "A 29459-2019")</f>
        <v/>
      </c>
      <c r="U209">
        <f>HYPERLINK("https://klasma.github.io/Logging_0484/knärot/A 29459-2019 karta knärot.png", "A 29459-2019")</f>
        <v/>
      </c>
      <c r="V209">
        <f>HYPERLINK("https://klasma.github.io/Logging_0484/klagomål/A 29459-2019 FSC-klagomål.docx", "A 29459-2019")</f>
        <v/>
      </c>
      <c r="W209">
        <f>HYPERLINK("https://klasma.github.io/Logging_0484/klagomålsmail/A 29459-2019 FSC-klagomål mail.docx", "A 29459-2019")</f>
        <v/>
      </c>
      <c r="X209">
        <f>HYPERLINK("https://klasma.github.io/Logging_0484/tillsyn/A 29459-2019 tillsynsbegäran.docx", "A 29459-2019")</f>
        <v/>
      </c>
      <c r="Y209">
        <f>HYPERLINK("https://klasma.github.io/Logging_0484/tillsynsmail/A 29459-2019 tillsynsbegäran mail.docx", "A 29459-2019")</f>
        <v/>
      </c>
    </row>
    <row r="210" ht="15" customHeight="1">
      <c r="A210" t="inlineStr">
        <is>
          <t>A 30159-2019</t>
        </is>
      </c>
      <c r="B210" s="1" t="n">
        <v>43634</v>
      </c>
      <c r="C210" s="1" t="n">
        <v>45216</v>
      </c>
      <c r="D210" t="inlineStr">
        <is>
          <t>SÖDERMANLANDS LÄN</t>
        </is>
      </c>
      <c r="E210" t="inlineStr">
        <is>
          <t>NYKÖPING</t>
        </is>
      </c>
      <c r="G210" t="n">
        <v>1.5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Blåsippa</t>
        </is>
      </c>
      <c r="S210">
        <f>HYPERLINK("https://klasma.github.io/Logging_0480/artfynd/A 30159-2019 artfynd.xlsx", "A 30159-2019")</f>
        <v/>
      </c>
      <c r="T210">
        <f>HYPERLINK("https://klasma.github.io/Logging_0480/kartor/A 30159-2019 karta.png", "A 30159-2019")</f>
        <v/>
      </c>
      <c r="V210">
        <f>HYPERLINK("https://klasma.github.io/Logging_0480/klagomål/A 30159-2019 FSC-klagomål.docx", "A 30159-2019")</f>
        <v/>
      </c>
      <c r="W210">
        <f>HYPERLINK("https://klasma.github.io/Logging_0480/klagomålsmail/A 30159-2019 FSC-klagomål mail.docx", "A 30159-2019")</f>
        <v/>
      </c>
      <c r="X210">
        <f>HYPERLINK("https://klasma.github.io/Logging_0480/tillsyn/A 30159-2019 tillsynsbegäran.docx", "A 30159-2019")</f>
        <v/>
      </c>
      <c r="Y210">
        <f>HYPERLINK("https://klasma.github.io/Logging_0480/tillsynsmail/A 30159-2019 tillsynsbegäran mail.docx", "A 30159-2019")</f>
        <v/>
      </c>
    </row>
    <row r="211" ht="15" customHeight="1">
      <c r="A211" t="inlineStr">
        <is>
          <t>A 33322-2019</t>
        </is>
      </c>
      <c r="B211" s="1" t="n">
        <v>43650</v>
      </c>
      <c r="C211" s="1" t="n">
        <v>45216</v>
      </c>
      <c r="D211" t="inlineStr">
        <is>
          <t>SÖDERMANLANDS LÄN</t>
        </is>
      </c>
      <c r="E211" t="inlineStr">
        <is>
          <t>NYKÖPING</t>
        </is>
      </c>
      <c r="G211" t="n">
        <v>6.4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Kopparödla</t>
        </is>
      </c>
      <c r="S211">
        <f>HYPERLINK("https://klasma.github.io/Logging_0480/artfynd/A 33322-2019 artfynd.xlsx", "A 33322-2019")</f>
        <v/>
      </c>
      <c r="T211">
        <f>HYPERLINK("https://klasma.github.io/Logging_0480/kartor/A 33322-2019 karta.png", "A 33322-2019")</f>
        <v/>
      </c>
      <c r="V211">
        <f>HYPERLINK("https://klasma.github.io/Logging_0480/klagomål/A 33322-2019 FSC-klagomål.docx", "A 33322-2019")</f>
        <v/>
      </c>
      <c r="W211">
        <f>HYPERLINK("https://klasma.github.io/Logging_0480/klagomålsmail/A 33322-2019 FSC-klagomål mail.docx", "A 33322-2019")</f>
        <v/>
      </c>
      <c r="X211">
        <f>HYPERLINK("https://klasma.github.io/Logging_0480/tillsyn/A 33322-2019 tillsynsbegäran.docx", "A 33322-2019")</f>
        <v/>
      </c>
      <c r="Y211">
        <f>HYPERLINK("https://klasma.github.io/Logging_0480/tillsynsmail/A 33322-2019 tillsynsbegäran mail.docx", "A 33322-2019")</f>
        <v/>
      </c>
    </row>
    <row r="212" ht="15" customHeight="1">
      <c r="A212" t="inlineStr">
        <is>
          <t>A 35997-2019</t>
        </is>
      </c>
      <c r="B212" s="1" t="n">
        <v>43656</v>
      </c>
      <c r="C212" s="1" t="n">
        <v>45216</v>
      </c>
      <c r="D212" t="inlineStr">
        <is>
          <t>SÖDERMANLANDS LÄN</t>
        </is>
      </c>
      <c r="E212" t="inlineStr">
        <is>
          <t>VINGÅKER</t>
        </is>
      </c>
      <c r="G212" t="n">
        <v>4.9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Blåsippa</t>
        </is>
      </c>
      <c r="S212">
        <f>HYPERLINK("https://klasma.github.io/Logging_0428/artfynd/A 35997-2019 artfynd.xlsx", "A 35997-2019")</f>
        <v/>
      </c>
      <c r="T212">
        <f>HYPERLINK("https://klasma.github.io/Logging_0428/kartor/A 35997-2019 karta.png", "A 35997-2019")</f>
        <v/>
      </c>
      <c r="V212">
        <f>HYPERLINK("https://klasma.github.io/Logging_0428/klagomål/A 35997-2019 FSC-klagomål.docx", "A 35997-2019")</f>
        <v/>
      </c>
      <c r="W212">
        <f>HYPERLINK("https://klasma.github.io/Logging_0428/klagomålsmail/A 35997-2019 FSC-klagomål mail.docx", "A 35997-2019")</f>
        <v/>
      </c>
      <c r="X212">
        <f>HYPERLINK("https://klasma.github.io/Logging_0428/tillsyn/A 35997-2019 tillsynsbegäran.docx", "A 35997-2019")</f>
        <v/>
      </c>
      <c r="Y212">
        <f>HYPERLINK("https://klasma.github.io/Logging_0428/tillsynsmail/A 35997-2019 tillsynsbegäran mail.docx", "A 35997-2019")</f>
        <v/>
      </c>
    </row>
    <row r="213" ht="15" customHeight="1">
      <c r="A213" t="inlineStr">
        <is>
          <t>A 35023-2019</t>
        </is>
      </c>
      <c r="B213" s="1" t="n">
        <v>43661</v>
      </c>
      <c r="C213" s="1" t="n">
        <v>45216</v>
      </c>
      <c r="D213" t="inlineStr">
        <is>
          <t>SÖDERMANLANDS LÄN</t>
        </is>
      </c>
      <c r="E213" t="inlineStr">
        <is>
          <t>FLEN</t>
        </is>
      </c>
      <c r="F213" t="inlineStr">
        <is>
          <t>Övriga statliga verk och myndigheter</t>
        </is>
      </c>
      <c r="G213" t="n">
        <v>12.1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Lopplummer</t>
        </is>
      </c>
      <c r="S213">
        <f>HYPERLINK("https://klasma.github.io/Logging_0482/artfynd/A 35023-2019 artfynd.xlsx", "A 35023-2019")</f>
        <v/>
      </c>
      <c r="T213">
        <f>HYPERLINK("https://klasma.github.io/Logging_0482/kartor/A 35023-2019 karta.png", "A 35023-2019")</f>
        <v/>
      </c>
      <c r="V213">
        <f>HYPERLINK("https://klasma.github.io/Logging_0482/klagomål/A 35023-2019 FSC-klagomål.docx", "A 35023-2019")</f>
        <v/>
      </c>
      <c r="W213">
        <f>HYPERLINK("https://klasma.github.io/Logging_0482/klagomålsmail/A 35023-2019 FSC-klagomål mail.docx", "A 35023-2019")</f>
        <v/>
      </c>
      <c r="X213">
        <f>HYPERLINK("https://klasma.github.io/Logging_0482/tillsyn/A 35023-2019 tillsynsbegäran.docx", "A 35023-2019")</f>
        <v/>
      </c>
      <c r="Y213">
        <f>HYPERLINK("https://klasma.github.io/Logging_0482/tillsynsmail/A 35023-2019 tillsynsbegäran mail.docx", "A 35023-2019")</f>
        <v/>
      </c>
    </row>
    <row r="214" ht="15" customHeight="1">
      <c r="A214" t="inlineStr">
        <is>
          <t>A 35143-2019</t>
        </is>
      </c>
      <c r="B214" s="1" t="n">
        <v>43661</v>
      </c>
      <c r="C214" s="1" t="n">
        <v>45216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Övriga Aktiebolag</t>
        </is>
      </c>
      <c r="G214" t="n">
        <v>0.8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Talltita</t>
        </is>
      </c>
      <c r="S214">
        <f>HYPERLINK("https://klasma.github.io/Logging_0480/artfynd/A 35143-2019 artfynd.xlsx", "A 35143-2019")</f>
        <v/>
      </c>
      <c r="T214">
        <f>HYPERLINK("https://klasma.github.io/Logging_0480/kartor/A 35143-2019 karta.png", "A 35143-2019")</f>
        <v/>
      </c>
      <c r="V214">
        <f>HYPERLINK("https://klasma.github.io/Logging_0480/klagomål/A 35143-2019 FSC-klagomål.docx", "A 35143-2019")</f>
        <v/>
      </c>
      <c r="W214">
        <f>HYPERLINK("https://klasma.github.io/Logging_0480/klagomålsmail/A 35143-2019 FSC-klagomål mail.docx", "A 35143-2019")</f>
        <v/>
      </c>
      <c r="X214">
        <f>HYPERLINK("https://klasma.github.io/Logging_0480/tillsyn/A 35143-2019 tillsynsbegäran.docx", "A 35143-2019")</f>
        <v/>
      </c>
      <c r="Y214">
        <f>HYPERLINK("https://klasma.github.io/Logging_0480/tillsynsmail/A 35143-2019 tillsynsbegäran mail.docx", "A 35143-2019")</f>
        <v/>
      </c>
    </row>
    <row r="215" ht="15" customHeight="1">
      <c r="A215" t="inlineStr">
        <is>
          <t>A 39446-2019</t>
        </is>
      </c>
      <c r="B215" s="1" t="n">
        <v>43691</v>
      </c>
      <c r="C215" s="1" t="n">
        <v>45216</v>
      </c>
      <c r="D215" t="inlineStr">
        <is>
          <t>SÖDERMANLANDS LÄN</t>
        </is>
      </c>
      <c r="E215" t="inlineStr">
        <is>
          <t>FLEN</t>
        </is>
      </c>
      <c r="G215" t="n">
        <v>0.9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Mörk dunört</t>
        </is>
      </c>
      <c r="S215">
        <f>HYPERLINK("https://klasma.github.io/Logging_0482/artfynd/A 39446-2019 artfynd.xlsx", "A 39446-2019")</f>
        <v/>
      </c>
      <c r="T215">
        <f>HYPERLINK("https://klasma.github.io/Logging_0482/kartor/A 39446-2019 karta.png", "A 39446-2019")</f>
        <v/>
      </c>
      <c r="V215">
        <f>HYPERLINK("https://klasma.github.io/Logging_0482/klagomål/A 39446-2019 FSC-klagomål.docx", "A 39446-2019")</f>
        <v/>
      </c>
      <c r="W215">
        <f>HYPERLINK("https://klasma.github.io/Logging_0482/klagomålsmail/A 39446-2019 FSC-klagomål mail.docx", "A 39446-2019")</f>
        <v/>
      </c>
      <c r="X215">
        <f>HYPERLINK("https://klasma.github.io/Logging_0482/tillsyn/A 39446-2019 tillsynsbegäran.docx", "A 39446-2019")</f>
        <v/>
      </c>
      <c r="Y215">
        <f>HYPERLINK("https://klasma.github.io/Logging_0482/tillsynsmail/A 39446-2019 tillsynsbegäran mail.docx", "A 39446-2019")</f>
        <v/>
      </c>
    </row>
    <row r="216" ht="15" customHeight="1">
      <c r="A216" t="inlineStr">
        <is>
          <t>A 39788-2019</t>
        </is>
      </c>
      <c r="B216" s="1" t="n">
        <v>43692</v>
      </c>
      <c r="C216" s="1" t="n">
        <v>45216</v>
      </c>
      <c r="D216" t="inlineStr">
        <is>
          <t>SÖDERMANLANDS LÄN</t>
        </is>
      </c>
      <c r="E216" t="inlineStr">
        <is>
          <t>VINGÅKER</t>
        </is>
      </c>
      <c r="F216" t="inlineStr">
        <is>
          <t>Kyrkan</t>
        </is>
      </c>
      <c r="G216" t="n">
        <v>3.2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Zontaggsvamp</t>
        </is>
      </c>
      <c r="S216">
        <f>HYPERLINK("https://klasma.github.io/Logging_0428/artfynd/A 39788-2019 artfynd.xlsx", "A 39788-2019")</f>
        <v/>
      </c>
      <c r="T216">
        <f>HYPERLINK("https://klasma.github.io/Logging_0428/kartor/A 39788-2019 karta.png", "A 39788-2019")</f>
        <v/>
      </c>
      <c r="V216">
        <f>HYPERLINK("https://klasma.github.io/Logging_0428/klagomål/A 39788-2019 FSC-klagomål.docx", "A 39788-2019")</f>
        <v/>
      </c>
      <c r="W216">
        <f>HYPERLINK("https://klasma.github.io/Logging_0428/klagomålsmail/A 39788-2019 FSC-klagomål mail.docx", "A 39788-2019")</f>
        <v/>
      </c>
      <c r="X216">
        <f>HYPERLINK("https://klasma.github.io/Logging_0428/tillsyn/A 39788-2019 tillsynsbegäran.docx", "A 39788-2019")</f>
        <v/>
      </c>
      <c r="Y216">
        <f>HYPERLINK("https://klasma.github.io/Logging_0428/tillsynsmail/A 39788-2019 tillsynsbegäran mail.docx", "A 39788-2019")</f>
        <v/>
      </c>
    </row>
    <row r="217" ht="15" customHeight="1">
      <c r="A217" t="inlineStr">
        <is>
          <t>A 43369-2019</t>
        </is>
      </c>
      <c r="B217" s="1" t="n">
        <v>43703</v>
      </c>
      <c r="C217" s="1" t="n">
        <v>45216</v>
      </c>
      <c r="D217" t="inlineStr">
        <is>
          <t>SÖDERMANLANDS LÄN</t>
        </is>
      </c>
      <c r="E217" t="inlineStr">
        <is>
          <t>FLEN</t>
        </is>
      </c>
      <c r="G217" t="n">
        <v>4.1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Fyrflikig jordstjärna</t>
        </is>
      </c>
      <c r="S217">
        <f>HYPERLINK("https://klasma.github.io/Logging_0482/artfynd/A 43369-2019 artfynd.xlsx", "A 43369-2019")</f>
        <v/>
      </c>
      <c r="T217">
        <f>HYPERLINK("https://klasma.github.io/Logging_0482/kartor/A 43369-2019 karta.png", "A 43369-2019")</f>
        <v/>
      </c>
      <c r="V217">
        <f>HYPERLINK("https://klasma.github.io/Logging_0482/klagomål/A 43369-2019 FSC-klagomål.docx", "A 43369-2019")</f>
        <v/>
      </c>
      <c r="W217">
        <f>HYPERLINK("https://klasma.github.io/Logging_0482/klagomålsmail/A 43369-2019 FSC-klagomål mail.docx", "A 43369-2019")</f>
        <v/>
      </c>
      <c r="X217">
        <f>HYPERLINK("https://klasma.github.io/Logging_0482/tillsyn/A 43369-2019 tillsynsbegäran.docx", "A 43369-2019")</f>
        <v/>
      </c>
      <c r="Y217">
        <f>HYPERLINK("https://klasma.github.io/Logging_0482/tillsynsmail/A 43369-2019 tillsynsbegäran mail.docx", "A 43369-2019")</f>
        <v/>
      </c>
    </row>
    <row r="218" ht="15" customHeight="1">
      <c r="A218" t="inlineStr">
        <is>
          <t>A 43329-2019</t>
        </is>
      </c>
      <c r="B218" s="1" t="n">
        <v>43703</v>
      </c>
      <c r="C218" s="1" t="n">
        <v>45216</v>
      </c>
      <c r="D218" t="inlineStr">
        <is>
          <t>SÖDERMANLANDS LÄN</t>
        </is>
      </c>
      <c r="E218" t="inlineStr">
        <is>
          <t>FLEN</t>
        </is>
      </c>
      <c r="G218" t="n">
        <v>8.5</v>
      </c>
      <c r="H218" t="n">
        <v>1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Knärot</t>
        </is>
      </c>
      <c r="S218">
        <f>HYPERLINK("https://klasma.github.io/Logging_0482/artfynd/A 43329-2019 artfynd.xlsx", "A 43329-2019")</f>
        <v/>
      </c>
      <c r="T218">
        <f>HYPERLINK("https://klasma.github.io/Logging_0482/kartor/A 43329-2019 karta.png", "A 43329-2019")</f>
        <v/>
      </c>
      <c r="U218">
        <f>HYPERLINK("https://klasma.github.io/Logging_0482/knärot/A 43329-2019 karta knärot.png", "A 43329-2019")</f>
        <v/>
      </c>
      <c r="V218">
        <f>HYPERLINK("https://klasma.github.io/Logging_0482/klagomål/A 43329-2019 FSC-klagomål.docx", "A 43329-2019")</f>
        <v/>
      </c>
      <c r="W218">
        <f>HYPERLINK("https://klasma.github.io/Logging_0482/klagomålsmail/A 43329-2019 FSC-klagomål mail.docx", "A 43329-2019")</f>
        <v/>
      </c>
      <c r="X218">
        <f>HYPERLINK("https://klasma.github.io/Logging_0482/tillsyn/A 43329-2019 tillsynsbegäran.docx", "A 43329-2019")</f>
        <v/>
      </c>
      <c r="Y218">
        <f>HYPERLINK("https://klasma.github.io/Logging_0482/tillsynsmail/A 43329-2019 tillsynsbegäran mail.docx", "A 43329-2019")</f>
        <v/>
      </c>
    </row>
    <row r="219" ht="15" customHeight="1">
      <c r="A219" t="inlineStr">
        <is>
          <t>A 42633-2019</t>
        </is>
      </c>
      <c r="B219" s="1" t="n">
        <v>43704</v>
      </c>
      <c r="C219" s="1" t="n">
        <v>45216</v>
      </c>
      <c r="D219" t="inlineStr">
        <is>
          <t>SÖDERMANLANDS LÄN</t>
        </is>
      </c>
      <c r="E219" t="inlineStr">
        <is>
          <t>NYKÖPING</t>
        </is>
      </c>
      <c r="G219" t="n">
        <v>12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Blåsippa</t>
        </is>
      </c>
      <c r="S219">
        <f>HYPERLINK("https://klasma.github.io/Logging_0480/artfynd/A 42633-2019 artfynd.xlsx", "A 42633-2019")</f>
        <v/>
      </c>
      <c r="T219">
        <f>HYPERLINK("https://klasma.github.io/Logging_0480/kartor/A 42633-2019 karta.png", "A 42633-2019")</f>
        <v/>
      </c>
      <c r="V219">
        <f>HYPERLINK("https://klasma.github.io/Logging_0480/klagomål/A 42633-2019 FSC-klagomål.docx", "A 42633-2019")</f>
        <v/>
      </c>
      <c r="W219">
        <f>HYPERLINK("https://klasma.github.io/Logging_0480/klagomålsmail/A 42633-2019 FSC-klagomål mail.docx", "A 42633-2019")</f>
        <v/>
      </c>
      <c r="X219">
        <f>HYPERLINK("https://klasma.github.io/Logging_0480/tillsyn/A 42633-2019 tillsynsbegäran.docx", "A 42633-2019")</f>
        <v/>
      </c>
      <c r="Y219">
        <f>HYPERLINK("https://klasma.github.io/Logging_0480/tillsynsmail/A 42633-2019 tillsynsbegäran mail.docx", "A 42633-2019")</f>
        <v/>
      </c>
    </row>
    <row r="220" ht="15" customHeight="1">
      <c r="A220" t="inlineStr">
        <is>
          <t>A 45577-2019</t>
        </is>
      </c>
      <c r="B220" s="1" t="n">
        <v>43716</v>
      </c>
      <c r="C220" s="1" t="n">
        <v>45216</v>
      </c>
      <c r="D220" t="inlineStr">
        <is>
          <t>SÖDERMANLANDS LÄN</t>
        </is>
      </c>
      <c r="E220" t="inlineStr">
        <is>
          <t>GNESTA</t>
        </is>
      </c>
      <c r="G220" t="n">
        <v>1.4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HYPERLINK("https://klasma.github.io/Logging_0461/artfynd/A 45577-2019 artfynd.xlsx", "A 45577-2019")</f>
        <v/>
      </c>
      <c r="T220">
        <f>HYPERLINK("https://klasma.github.io/Logging_0461/kartor/A 45577-2019 karta.png", "A 45577-2019")</f>
        <v/>
      </c>
      <c r="V220">
        <f>HYPERLINK("https://klasma.github.io/Logging_0461/klagomål/A 45577-2019 FSC-klagomål.docx", "A 45577-2019")</f>
        <v/>
      </c>
      <c r="W220">
        <f>HYPERLINK("https://klasma.github.io/Logging_0461/klagomålsmail/A 45577-2019 FSC-klagomål mail.docx", "A 45577-2019")</f>
        <v/>
      </c>
      <c r="X220">
        <f>HYPERLINK("https://klasma.github.io/Logging_0461/tillsyn/A 45577-2019 tillsynsbegäran.docx", "A 45577-2019")</f>
        <v/>
      </c>
      <c r="Y220">
        <f>HYPERLINK("https://klasma.github.io/Logging_0461/tillsynsmail/A 45577-2019 tillsynsbegäran mail.docx", "A 45577-2019")</f>
        <v/>
      </c>
    </row>
    <row r="221" ht="15" customHeight="1">
      <c r="A221" t="inlineStr">
        <is>
          <t>A 50952-2019</t>
        </is>
      </c>
      <c r="B221" s="1" t="n">
        <v>43738</v>
      </c>
      <c r="C221" s="1" t="n">
        <v>45216</v>
      </c>
      <c r="D221" t="inlineStr">
        <is>
          <t>SÖDERMANLANDS LÄN</t>
        </is>
      </c>
      <c r="E221" t="inlineStr">
        <is>
          <t>ESKILSTUNA</t>
        </is>
      </c>
      <c r="G221" t="n">
        <v>3.5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Skogsklocka</t>
        </is>
      </c>
      <c r="S221">
        <f>HYPERLINK("https://klasma.github.io/Logging_0484/artfynd/A 50952-2019 artfynd.xlsx", "A 50952-2019")</f>
        <v/>
      </c>
      <c r="T221">
        <f>HYPERLINK("https://klasma.github.io/Logging_0484/kartor/A 50952-2019 karta.png", "A 50952-2019")</f>
        <v/>
      </c>
      <c r="V221">
        <f>HYPERLINK("https://klasma.github.io/Logging_0484/klagomål/A 50952-2019 FSC-klagomål.docx", "A 50952-2019")</f>
        <v/>
      </c>
      <c r="W221">
        <f>HYPERLINK("https://klasma.github.io/Logging_0484/klagomålsmail/A 50952-2019 FSC-klagomål mail.docx", "A 50952-2019")</f>
        <v/>
      </c>
      <c r="X221">
        <f>HYPERLINK("https://klasma.github.io/Logging_0484/tillsyn/A 50952-2019 tillsynsbegäran.docx", "A 50952-2019")</f>
        <v/>
      </c>
      <c r="Y221">
        <f>HYPERLINK("https://klasma.github.io/Logging_0484/tillsynsmail/A 50952-2019 tillsynsbegäran mail.docx", "A 50952-2019")</f>
        <v/>
      </c>
    </row>
    <row r="222" ht="15" customHeight="1">
      <c r="A222" t="inlineStr">
        <is>
          <t>A 51437-2019</t>
        </is>
      </c>
      <c r="B222" s="1" t="n">
        <v>43740</v>
      </c>
      <c r="C222" s="1" t="n">
        <v>45216</v>
      </c>
      <c r="D222" t="inlineStr">
        <is>
          <t>SÖDERMANLANDS LÄN</t>
        </is>
      </c>
      <c r="E222" t="inlineStr">
        <is>
          <t>GNESTA</t>
        </is>
      </c>
      <c r="F222" t="inlineStr">
        <is>
          <t>Holmen skog AB</t>
        </is>
      </c>
      <c r="G222" t="n">
        <v>5.2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Blåsippa</t>
        </is>
      </c>
      <c r="S222">
        <f>HYPERLINK("https://klasma.github.io/Logging_0461/artfynd/A 51437-2019 artfynd.xlsx", "A 51437-2019")</f>
        <v/>
      </c>
      <c r="T222">
        <f>HYPERLINK("https://klasma.github.io/Logging_0461/kartor/A 51437-2019 karta.png", "A 51437-2019")</f>
        <v/>
      </c>
      <c r="V222">
        <f>HYPERLINK("https://klasma.github.io/Logging_0461/klagomål/A 51437-2019 FSC-klagomål.docx", "A 51437-2019")</f>
        <v/>
      </c>
      <c r="W222">
        <f>HYPERLINK("https://klasma.github.io/Logging_0461/klagomålsmail/A 51437-2019 FSC-klagomål mail.docx", "A 51437-2019")</f>
        <v/>
      </c>
      <c r="X222">
        <f>HYPERLINK("https://klasma.github.io/Logging_0461/tillsyn/A 51437-2019 tillsynsbegäran.docx", "A 51437-2019")</f>
        <v/>
      </c>
      <c r="Y222">
        <f>HYPERLINK("https://klasma.github.io/Logging_0461/tillsynsmail/A 51437-2019 tillsynsbegäran mail.docx", "A 51437-2019")</f>
        <v/>
      </c>
    </row>
    <row r="223" ht="15" customHeight="1">
      <c r="A223" t="inlineStr">
        <is>
          <t>A 51651-2019</t>
        </is>
      </c>
      <c r="B223" s="1" t="n">
        <v>43740</v>
      </c>
      <c r="C223" s="1" t="n">
        <v>45216</v>
      </c>
      <c r="D223" t="inlineStr">
        <is>
          <t>SÖDERMANLANDS LÄN</t>
        </is>
      </c>
      <c r="E223" t="inlineStr">
        <is>
          <t>ESKILSTUNA</t>
        </is>
      </c>
      <c r="G223" t="n">
        <v>6.5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HYPERLINK("https://klasma.github.io/Logging_0484/artfynd/A 51651-2019 artfynd.xlsx", "A 51651-2019")</f>
        <v/>
      </c>
      <c r="T223">
        <f>HYPERLINK("https://klasma.github.io/Logging_0484/kartor/A 51651-2019 karta.png", "A 51651-2019")</f>
        <v/>
      </c>
      <c r="V223">
        <f>HYPERLINK("https://klasma.github.io/Logging_0484/klagomål/A 51651-2019 FSC-klagomål.docx", "A 51651-2019")</f>
        <v/>
      </c>
      <c r="W223">
        <f>HYPERLINK("https://klasma.github.io/Logging_0484/klagomålsmail/A 51651-2019 FSC-klagomål mail.docx", "A 51651-2019")</f>
        <v/>
      </c>
      <c r="X223">
        <f>HYPERLINK("https://klasma.github.io/Logging_0484/tillsyn/A 51651-2019 tillsynsbegäran.docx", "A 51651-2019")</f>
        <v/>
      </c>
      <c r="Y223">
        <f>HYPERLINK("https://klasma.github.io/Logging_0484/tillsynsmail/A 51651-2019 tillsynsbegäran mail.docx", "A 51651-2019")</f>
        <v/>
      </c>
    </row>
    <row r="224" ht="15" customHeight="1">
      <c r="A224" t="inlineStr">
        <is>
          <t>A 51874-2019</t>
        </is>
      </c>
      <c r="B224" s="1" t="n">
        <v>43741</v>
      </c>
      <c r="C224" s="1" t="n">
        <v>45216</v>
      </c>
      <c r="D224" t="inlineStr">
        <is>
          <t>SÖDERMANLANDS LÄN</t>
        </is>
      </c>
      <c r="E224" t="inlineStr">
        <is>
          <t>KATRINEHOLM</t>
        </is>
      </c>
      <c r="G224" t="n">
        <v>19.9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HYPERLINK("https://klasma.github.io/Logging_0483/artfynd/A 51874-2019 artfynd.xlsx", "A 51874-2019")</f>
        <v/>
      </c>
      <c r="T224">
        <f>HYPERLINK("https://klasma.github.io/Logging_0483/kartor/A 51874-2019 karta.png", "A 51874-2019")</f>
        <v/>
      </c>
      <c r="V224">
        <f>HYPERLINK("https://klasma.github.io/Logging_0483/klagomål/A 51874-2019 FSC-klagomål.docx", "A 51874-2019")</f>
        <v/>
      </c>
      <c r="W224">
        <f>HYPERLINK("https://klasma.github.io/Logging_0483/klagomålsmail/A 51874-2019 FSC-klagomål mail.docx", "A 51874-2019")</f>
        <v/>
      </c>
      <c r="X224">
        <f>HYPERLINK("https://klasma.github.io/Logging_0483/tillsyn/A 51874-2019 tillsynsbegäran.docx", "A 51874-2019")</f>
        <v/>
      </c>
      <c r="Y224">
        <f>HYPERLINK("https://klasma.github.io/Logging_0483/tillsynsmail/A 51874-2019 tillsynsbegäran mail.docx", "A 51874-2019")</f>
        <v/>
      </c>
    </row>
    <row r="225" ht="15" customHeight="1">
      <c r="A225" t="inlineStr">
        <is>
          <t>A 52557-2019</t>
        </is>
      </c>
      <c r="B225" s="1" t="n">
        <v>43745</v>
      </c>
      <c r="C225" s="1" t="n">
        <v>45216</v>
      </c>
      <c r="D225" t="inlineStr">
        <is>
          <t>SÖDERMANLANDS LÄN</t>
        </is>
      </c>
      <c r="E225" t="inlineStr">
        <is>
          <t>KATRINEHOLM</t>
        </is>
      </c>
      <c r="G225" t="n">
        <v>12.3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Lopplummer</t>
        </is>
      </c>
      <c r="S225">
        <f>HYPERLINK("https://klasma.github.io/Logging_0483/artfynd/A 52557-2019 artfynd.xlsx", "A 52557-2019")</f>
        <v/>
      </c>
      <c r="T225">
        <f>HYPERLINK("https://klasma.github.io/Logging_0483/kartor/A 52557-2019 karta.png", "A 52557-2019")</f>
        <v/>
      </c>
      <c r="V225">
        <f>HYPERLINK("https://klasma.github.io/Logging_0483/klagomål/A 52557-2019 FSC-klagomål.docx", "A 52557-2019")</f>
        <v/>
      </c>
      <c r="W225">
        <f>HYPERLINK("https://klasma.github.io/Logging_0483/klagomålsmail/A 52557-2019 FSC-klagomål mail.docx", "A 52557-2019")</f>
        <v/>
      </c>
      <c r="X225">
        <f>HYPERLINK("https://klasma.github.io/Logging_0483/tillsyn/A 52557-2019 tillsynsbegäran.docx", "A 52557-2019")</f>
        <v/>
      </c>
      <c r="Y225">
        <f>HYPERLINK("https://klasma.github.io/Logging_0483/tillsynsmail/A 52557-2019 tillsynsbegäran mail.docx", "A 52557-2019")</f>
        <v/>
      </c>
    </row>
    <row r="226" ht="15" customHeight="1">
      <c r="A226" t="inlineStr">
        <is>
          <t>A 54163-2019</t>
        </is>
      </c>
      <c r="B226" s="1" t="n">
        <v>43745</v>
      </c>
      <c r="C226" s="1" t="n">
        <v>45216</v>
      </c>
      <c r="D226" t="inlineStr">
        <is>
          <t>SÖDERMANLANDS LÄN</t>
        </is>
      </c>
      <c r="E226" t="inlineStr">
        <is>
          <t>NYKÖPING</t>
        </is>
      </c>
      <c r="G226" t="n">
        <v>1.9</v>
      </c>
      <c r="H226" t="n">
        <v>1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Havsörn</t>
        </is>
      </c>
      <c r="S226">
        <f>HYPERLINK("https://klasma.github.io/Logging_0480/artfynd/A 54163-2019 artfynd.xlsx", "A 54163-2019")</f>
        <v/>
      </c>
      <c r="T226">
        <f>HYPERLINK("https://klasma.github.io/Logging_0480/kartor/A 54163-2019 karta.png", "A 54163-2019")</f>
        <v/>
      </c>
      <c r="V226">
        <f>HYPERLINK("https://klasma.github.io/Logging_0480/klagomål/A 54163-2019 FSC-klagomål.docx", "A 54163-2019")</f>
        <v/>
      </c>
      <c r="W226">
        <f>HYPERLINK("https://klasma.github.io/Logging_0480/klagomålsmail/A 54163-2019 FSC-klagomål mail.docx", "A 54163-2019")</f>
        <v/>
      </c>
      <c r="X226">
        <f>HYPERLINK("https://klasma.github.io/Logging_0480/tillsyn/A 54163-2019 tillsynsbegäran.docx", "A 54163-2019")</f>
        <v/>
      </c>
      <c r="Y226">
        <f>HYPERLINK("https://klasma.github.io/Logging_0480/tillsynsmail/A 54163-2019 tillsynsbegäran mail.docx", "A 54163-2019")</f>
        <v/>
      </c>
    </row>
    <row r="227" ht="15" customHeight="1">
      <c r="A227" t="inlineStr">
        <is>
          <t>A 54326-2019</t>
        </is>
      </c>
      <c r="B227" s="1" t="n">
        <v>43745</v>
      </c>
      <c r="C227" s="1" t="n">
        <v>45216</v>
      </c>
      <c r="D227" t="inlineStr">
        <is>
          <t>SÖDERMANLANDS LÄN</t>
        </is>
      </c>
      <c r="E227" t="inlineStr">
        <is>
          <t>ESKILSTUNA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1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Skogsalm</t>
        </is>
      </c>
      <c r="S227">
        <f>HYPERLINK("https://klasma.github.io/Logging_0484/artfynd/A 54326-2019 artfynd.xlsx", "A 54326-2019")</f>
        <v/>
      </c>
      <c r="T227">
        <f>HYPERLINK("https://klasma.github.io/Logging_0484/kartor/A 54326-2019 karta.png", "A 54326-2019")</f>
        <v/>
      </c>
      <c r="V227">
        <f>HYPERLINK("https://klasma.github.io/Logging_0484/klagomål/A 54326-2019 FSC-klagomål.docx", "A 54326-2019")</f>
        <v/>
      </c>
      <c r="W227">
        <f>HYPERLINK("https://klasma.github.io/Logging_0484/klagomålsmail/A 54326-2019 FSC-klagomål mail.docx", "A 54326-2019")</f>
        <v/>
      </c>
      <c r="X227">
        <f>HYPERLINK("https://klasma.github.io/Logging_0484/tillsyn/A 54326-2019 tillsynsbegäran.docx", "A 54326-2019")</f>
        <v/>
      </c>
      <c r="Y227">
        <f>HYPERLINK("https://klasma.github.io/Logging_0484/tillsynsmail/A 54326-2019 tillsynsbegäran mail.docx", "A 54326-2019")</f>
        <v/>
      </c>
    </row>
    <row r="228" ht="15" customHeight="1">
      <c r="A228" t="inlineStr">
        <is>
          <t>A 54418-2019</t>
        </is>
      </c>
      <c r="B228" s="1" t="n">
        <v>43747</v>
      </c>
      <c r="C228" s="1" t="n">
        <v>45216</v>
      </c>
      <c r="D228" t="inlineStr">
        <is>
          <t>SÖDERMANLANDS LÄN</t>
        </is>
      </c>
      <c r="E228" t="inlineStr">
        <is>
          <t>FLEN</t>
        </is>
      </c>
      <c r="G228" t="n">
        <v>5.6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Svedjenäva</t>
        </is>
      </c>
      <c r="S228">
        <f>HYPERLINK("https://klasma.github.io/Logging_0482/artfynd/A 54418-2019 artfynd.xlsx", "A 54418-2019")</f>
        <v/>
      </c>
      <c r="T228">
        <f>HYPERLINK("https://klasma.github.io/Logging_0482/kartor/A 54418-2019 karta.png", "A 54418-2019")</f>
        <v/>
      </c>
      <c r="V228">
        <f>HYPERLINK("https://klasma.github.io/Logging_0482/klagomål/A 54418-2019 FSC-klagomål.docx", "A 54418-2019")</f>
        <v/>
      </c>
      <c r="W228">
        <f>HYPERLINK("https://klasma.github.io/Logging_0482/klagomålsmail/A 54418-2019 FSC-klagomål mail.docx", "A 54418-2019")</f>
        <v/>
      </c>
      <c r="X228">
        <f>HYPERLINK("https://klasma.github.io/Logging_0482/tillsyn/A 54418-2019 tillsynsbegäran.docx", "A 54418-2019")</f>
        <v/>
      </c>
      <c r="Y228">
        <f>HYPERLINK("https://klasma.github.io/Logging_0482/tillsynsmail/A 54418-2019 tillsynsbegäran mail.docx", "A 54418-2019")</f>
        <v/>
      </c>
    </row>
    <row r="229" ht="15" customHeight="1">
      <c r="A229" t="inlineStr">
        <is>
          <t>A 55376-2019</t>
        </is>
      </c>
      <c r="B229" s="1" t="n">
        <v>43754</v>
      </c>
      <c r="C229" s="1" t="n">
        <v>45216</v>
      </c>
      <c r="D229" t="inlineStr">
        <is>
          <t>SÖDERMANLANDS LÄN</t>
        </is>
      </c>
      <c r="E229" t="inlineStr">
        <is>
          <t>FLEN</t>
        </is>
      </c>
      <c r="G229" t="n">
        <v>6.5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Skogshare</t>
        </is>
      </c>
      <c r="S229">
        <f>HYPERLINK("https://klasma.github.io/Logging_0482/artfynd/A 55376-2019 artfynd.xlsx", "A 55376-2019")</f>
        <v/>
      </c>
      <c r="T229">
        <f>HYPERLINK("https://klasma.github.io/Logging_0482/kartor/A 55376-2019 karta.png", "A 55376-2019")</f>
        <v/>
      </c>
      <c r="V229">
        <f>HYPERLINK("https://klasma.github.io/Logging_0482/klagomål/A 55376-2019 FSC-klagomål.docx", "A 55376-2019")</f>
        <v/>
      </c>
      <c r="W229">
        <f>HYPERLINK("https://klasma.github.io/Logging_0482/klagomålsmail/A 55376-2019 FSC-klagomål mail.docx", "A 55376-2019")</f>
        <v/>
      </c>
      <c r="X229">
        <f>HYPERLINK("https://klasma.github.io/Logging_0482/tillsyn/A 55376-2019 tillsynsbegäran.docx", "A 55376-2019")</f>
        <v/>
      </c>
      <c r="Y229">
        <f>HYPERLINK("https://klasma.github.io/Logging_0482/tillsynsmail/A 55376-2019 tillsynsbegäran mail.docx", "A 55376-2019")</f>
        <v/>
      </c>
    </row>
    <row r="230" ht="15" customHeight="1">
      <c r="A230" t="inlineStr">
        <is>
          <t>A 60216-2019</t>
        </is>
      </c>
      <c r="B230" s="1" t="n">
        <v>43776</v>
      </c>
      <c r="C230" s="1" t="n">
        <v>45216</v>
      </c>
      <c r="D230" t="inlineStr">
        <is>
          <t>SÖDERMANLANDS LÄN</t>
        </is>
      </c>
      <c r="E230" t="inlineStr">
        <is>
          <t>FLEN</t>
        </is>
      </c>
      <c r="F230" t="inlineStr">
        <is>
          <t>Övriga statliga verk och myndigheter</t>
        </is>
      </c>
      <c r="G230" t="n">
        <v>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Slåtterfibbla</t>
        </is>
      </c>
      <c r="S230">
        <f>HYPERLINK("https://klasma.github.io/Logging_0482/artfynd/A 60216-2019 artfynd.xlsx", "A 60216-2019")</f>
        <v/>
      </c>
      <c r="T230">
        <f>HYPERLINK("https://klasma.github.io/Logging_0482/kartor/A 60216-2019 karta.png", "A 60216-2019")</f>
        <v/>
      </c>
      <c r="V230">
        <f>HYPERLINK("https://klasma.github.io/Logging_0482/klagomål/A 60216-2019 FSC-klagomål.docx", "A 60216-2019")</f>
        <v/>
      </c>
      <c r="W230">
        <f>HYPERLINK("https://klasma.github.io/Logging_0482/klagomålsmail/A 60216-2019 FSC-klagomål mail.docx", "A 60216-2019")</f>
        <v/>
      </c>
      <c r="X230">
        <f>HYPERLINK("https://klasma.github.io/Logging_0482/tillsyn/A 60216-2019 tillsynsbegäran.docx", "A 60216-2019")</f>
        <v/>
      </c>
      <c r="Y230">
        <f>HYPERLINK("https://klasma.github.io/Logging_0482/tillsynsmail/A 60216-2019 tillsynsbegäran mail.docx", "A 60216-2019")</f>
        <v/>
      </c>
    </row>
    <row r="231" ht="15" customHeight="1">
      <c r="A231" t="inlineStr">
        <is>
          <t>A 64594-2019</t>
        </is>
      </c>
      <c r="B231" s="1" t="n">
        <v>43798</v>
      </c>
      <c r="C231" s="1" t="n">
        <v>45216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2.6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Åkergroda</t>
        </is>
      </c>
      <c r="S231">
        <f>HYPERLINK("https://klasma.github.io/Logging_0480/artfynd/A 64594-2019 artfynd.xlsx", "A 64594-2019")</f>
        <v/>
      </c>
      <c r="T231">
        <f>HYPERLINK("https://klasma.github.io/Logging_0480/kartor/A 64594-2019 karta.png", "A 64594-2019")</f>
        <v/>
      </c>
      <c r="V231">
        <f>HYPERLINK("https://klasma.github.io/Logging_0480/klagomål/A 64594-2019 FSC-klagomål.docx", "A 64594-2019")</f>
        <v/>
      </c>
      <c r="W231">
        <f>HYPERLINK("https://klasma.github.io/Logging_0480/klagomålsmail/A 64594-2019 FSC-klagomål mail.docx", "A 64594-2019")</f>
        <v/>
      </c>
      <c r="X231">
        <f>HYPERLINK("https://klasma.github.io/Logging_0480/tillsyn/A 64594-2019 tillsynsbegäran.docx", "A 64594-2019")</f>
        <v/>
      </c>
      <c r="Y231">
        <f>HYPERLINK("https://klasma.github.io/Logging_0480/tillsynsmail/A 64594-2019 tillsynsbegäran mail.docx", "A 64594-2019")</f>
        <v/>
      </c>
    </row>
    <row r="232" ht="15" customHeight="1">
      <c r="A232" t="inlineStr">
        <is>
          <t>A 872-2020</t>
        </is>
      </c>
      <c r="B232" s="1" t="n">
        <v>43818</v>
      </c>
      <c r="C232" s="1" t="n">
        <v>45216</v>
      </c>
      <c r="D232" t="inlineStr">
        <is>
          <t>SÖDERMANLANDS LÄN</t>
        </is>
      </c>
      <c r="E232" t="inlineStr">
        <is>
          <t>NYKÖPING</t>
        </is>
      </c>
      <c r="G232" t="n">
        <v>4.5</v>
      </c>
      <c r="H232" t="n">
        <v>1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Brun glada</t>
        </is>
      </c>
      <c r="S232">
        <f>HYPERLINK("https://klasma.github.io/Logging_0480/artfynd/A 872-2020 artfynd.xlsx", "A 872-2020")</f>
        <v/>
      </c>
      <c r="T232">
        <f>HYPERLINK("https://klasma.github.io/Logging_0480/kartor/A 872-2020 karta.png", "A 872-2020")</f>
        <v/>
      </c>
      <c r="V232">
        <f>HYPERLINK("https://klasma.github.io/Logging_0480/klagomål/A 872-2020 FSC-klagomål.docx", "A 872-2020")</f>
        <v/>
      </c>
      <c r="W232">
        <f>HYPERLINK("https://klasma.github.io/Logging_0480/klagomålsmail/A 872-2020 FSC-klagomål mail.docx", "A 872-2020")</f>
        <v/>
      </c>
      <c r="X232">
        <f>HYPERLINK("https://klasma.github.io/Logging_0480/tillsyn/A 872-2020 tillsynsbegäran.docx", "A 872-2020")</f>
        <v/>
      </c>
      <c r="Y232">
        <f>HYPERLINK("https://klasma.github.io/Logging_0480/tillsynsmail/A 872-2020 tillsynsbegäran mail.docx", "A 872-2020")</f>
        <v/>
      </c>
    </row>
    <row r="233" ht="15" customHeight="1">
      <c r="A233" t="inlineStr">
        <is>
          <t>A 1380-2020</t>
        </is>
      </c>
      <c r="B233" s="1" t="n">
        <v>43843</v>
      </c>
      <c r="C233" s="1" t="n">
        <v>45216</v>
      </c>
      <c r="D233" t="inlineStr">
        <is>
          <t>SÖDERMANLANDS LÄN</t>
        </is>
      </c>
      <c r="E233" t="inlineStr">
        <is>
          <t>NYKÖPING</t>
        </is>
      </c>
      <c r="G233" t="n">
        <v>1.7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HYPERLINK("https://klasma.github.io/Logging_0480/artfynd/A 1380-2020 artfynd.xlsx", "A 1380-2020")</f>
        <v/>
      </c>
      <c r="T233">
        <f>HYPERLINK("https://klasma.github.io/Logging_0480/kartor/A 1380-2020 karta.png", "A 1380-2020")</f>
        <v/>
      </c>
      <c r="V233">
        <f>HYPERLINK("https://klasma.github.io/Logging_0480/klagomål/A 1380-2020 FSC-klagomål.docx", "A 1380-2020")</f>
        <v/>
      </c>
      <c r="W233">
        <f>HYPERLINK("https://klasma.github.io/Logging_0480/klagomålsmail/A 1380-2020 FSC-klagomål mail.docx", "A 1380-2020")</f>
        <v/>
      </c>
      <c r="X233">
        <f>HYPERLINK("https://klasma.github.io/Logging_0480/tillsyn/A 1380-2020 tillsynsbegäran.docx", "A 1380-2020")</f>
        <v/>
      </c>
      <c r="Y233">
        <f>HYPERLINK("https://klasma.github.io/Logging_0480/tillsynsmail/A 1380-2020 tillsynsbegäran mail.docx", "A 1380-2020")</f>
        <v/>
      </c>
    </row>
    <row r="234" ht="15" customHeight="1">
      <c r="A234" t="inlineStr">
        <is>
          <t>A 4244-2020</t>
        </is>
      </c>
      <c r="B234" s="1" t="n">
        <v>43857</v>
      </c>
      <c r="C234" s="1" t="n">
        <v>45216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3.9</v>
      </c>
      <c r="H234" t="n">
        <v>1</v>
      </c>
      <c r="I234" t="n">
        <v>0</v>
      </c>
      <c r="J234" t="n">
        <v>0</v>
      </c>
      <c r="K234" t="n">
        <v>1</v>
      </c>
      <c r="L234" t="n">
        <v>0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Knärot</t>
        </is>
      </c>
      <c r="S234">
        <f>HYPERLINK("https://klasma.github.io/Logging_0480/artfynd/A 4244-2020 artfynd.xlsx", "A 4244-2020")</f>
        <v/>
      </c>
      <c r="T234">
        <f>HYPERLINK("https://klasma.github.io/Logging_0480/kartor/A 4244-2020 karta.png", "A 4244-2020")</f>
        <v/>
      </c>
      <c r="U234">
        <f>HYPERLINK("https://klasma.github.io/Logging_0480/knärot/A 4244-2020 karta knärot.png", "A 4244-2020")</f>
        <v/>
      </c>
      <c r="V234">
        <f>HYPERLINK("https://klasma.github.io/Logging_0480/klagomål/A 4244-2020 FSC-klagomål.docx", "A 4244-2020")</f>
        <v/>
      </c>
      <c r="W234">
        <f>HYPERLINK("https://klasma.github.io/Logging_0480/klagomålsmail/A 4244-2020 FSC-klagomål mail.docx", "A 4244-2020")</f>
        <v/>
      </c>
      <c r="X234">
        <f>HYPERLINK("https://klasma.github.io/Logging_0480/tillsyn/A 4244-2020 tillsynsbegäran.docx", "A 4244-2020")</f>
        <v/>
      </c>
      <c r="Y234">
        <f>HYPERLINK("https://klasma.github.io/Logging_0480/tillsynsmail/A 4244-2020 tillsynsbegäran mail.docx", "A 4244-2020")</f>
        <v/>
      </c>
    </row>
    <row r="235" ht="15" customHeight="1">
      <c r="A235" t="inlineStr">
        <is>
          <t>A 4372-2020</t>
        </is>
      </c>
      <c r="B235" s="1" t="n">
        <v>43858</v>
      </c>
      <c r="C235" s="1" t="n">
        <v>45216</v>
      </c>
      <c r="D235" t="inlineStr">
        <is>
          <t>SÖDERMANLANDS LÄN</t>
        </is>
      </c>
      <c r="E235" t="inlineStr">
        <is>
          <t>FLEN</t>
        </is>
      </c>
      <c r="G235" t="n">
        <v>3.4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Svedjenäva</t>
        </is>
      </c>
      <c r="S235">
        <f>HYPERLINK("https://klasma.github.io/Logging_0482/artfynd/A 4372-2020 artfynd.xlsx", "A 4372-2020")</f>
        <v/>
      </c>
      <c r="T235">
        <f>HYPERLINK("https://klasma.github.io/Logging_0482/kartor/A 4372-2020 karta.png", "A 4372-2020")</f>
        <v/>
      </c>
      <c r="V235">
        <f>HYPERLINK("https://klasma.github.io/Logging_0482/klagomål/A 4372-2020 FSC-klagomål.docx", "A 4372-2020")</f>
        <v/>
      </c>
      <c r="W235">
        <f>HYPERLINK("https://klasma.github.io/Logging_0482/klagomålsmail/A 4372-2020 FSC-klagomål mail.docx", "A 4372-2020")</f>
        <v/>
      </c>
      <c r="X235">
        <f>HYPERLINK("https://klasma.github.io/Logging_0482/tillsyn/A 4372-2020 tillsynsbegäran.docx", "A 4372-2020")</f>
        <v/>
      </c>
      <c r="Y235">
        <f>HYPERLINK("https://klasma.github.io/Logging_0482/tillsynsmail/A 4372-2020 tillsynsbegäran mail.docx", "A 4372-2020")</f>
        <v/>
      </c>
    </row>
    <row r="236" ht="15" customHeight="1">
      <c r="A236" t="inlineStr">
        <is>
          <t>A 5210-2020</t>
        </is>
      </c>
      <c r="B236" s="1" t="n">
        <v>43860</v>
      </c>
      <c r="C236" s="1" t="n">
        <v>45216</v>
      </c>
      <c r="D236" t="inlineStr">
        <is>
          <t>SÖDERMANLANDS LÄN</t>
        </is>
      </c>
      <c r="E236" t="inlineStr">
        <is>
          <t>FLEN</t>
        </is>
      </c>
      <c r="G236" t="n">
        <v>3.1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Gullklöver</t>
        </is>
      </c>
      <c r="S236">
        <f>HYPERLINK("https://klasma.github.io/Logging_0482/artfynd/A 5210-2020 artfynd.xlsx", "A 5210-2020")</f>
        <v/>
      </c>
      <c r="T236">
        <f>HYPERLINK("https://klasma.github.io/Logging_0482/kartor/A 5210-2020 karta.png", "A 5210-2020")</f>
        <v/>
      </c>
      <c r="V236">
        <f>HYPERLINK("https://klasma.github.io/Logging_0482/klagomål/A 5210-2020 FSC-klagomål.docx", "A 5210-2020")</f>
        <v/>
      </c>
      <c r="W236">
        <f>HYPERLINK("https://klasma.github.io/Logging_0482/klagomålsmail/A 5210-2020 FSC-klagomål mail.docx", "A 5210-2020")</f>
        <v/>
      </c>
      <c r="X236">
        <f>HYPERLINK("https://klasma.github.io/Logging_0482/tillsyn/A 5210-2020 tillsynsbegäran.docx", "A 5210-2020")</f>
        <v/>
      </c>
      <c r="Y236">
        <f>HYPERLINK("https://klasma.github.io/Logging_0482/tillsynsmail/A 5210-2020 tillsynsbegäran mail.docx", "A 5210-2020")</f>
        <v/>
      </c>
    </row>
    <row r="237" ht="15" customHeight="1">
      <c r="A237" t="inlineStr">
        <is>
          <t>A 7702-2020</t>
        </is>
      </c>
      <c r="B237" s="1" t="n">
        <v>43872</v>
      </c>
      <c r="C237" s="1" t="n">
        <v>45216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5.2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Granticka</t>
        </is>
      </c>
      <c r="S237">
        <f>HYPERLINK("https://klasma.github.io/Logging_0480/artfynd/A 7702-2020 artfynd.xlsx", "A 7702-2020")</f>
        <v/>
      </c>
      <c r="T237">
        <f>HYPERLINK("https://klasma.github.io/Logging_0480/kartor/A 7702-2020 karta.png", "A 7702-2020")</f>
        <v/>
      </c>
      <c r="V237">
        <f>HYPERLINK("https://klasma.github.io/Logging_0480/klagomål/A 7702-2020 FSC-klagomål.docx", "A 7702-2020")</f>
        <v/>
      </c>
      <c r="W237">
        <f>HYPERLINK("https://klasma.github.io/Logging_0480/klagomålsmail/A 7702-2020 FSC-klagomål mail.docx", "A 7702-2020")</f>
        <v/>
      </c>
      <c r="X237">
        <f>HYPERLINK("https://klasma.github.io/Logging_0480/tillsyn/A 7702-2020 tillsynsbegäran.docx", "A 7702-2020")</f>
        <v/>
      </c>
      <c r="Y237">
        <f>HYPERLINK("https://klasma.github.io/Logging_0480/tillsynsmail/A 7702-2020 tillsynsbegäran mail.docx", "A 7702-2020")</f>
        <v/>
      </c>
    </row>
    <row r="238" ht="15" customHeight="1">
      <c r="A238" t="inlineStr">
        <is>
          <t>A 13747-2020</t>
        </is>
      </c>
      <c r="B238" s="1" t="n">
        <v>43896</v>
      </c>
      <c r="C238" s="1" t="n">
        <v>45216</v>
      </c>
      <c r="D238" t="inlineStr">
        <is>
          <t>SÖDERMANLANDS LÄN</t>
        </is>
      </c>
      <c r="E238" t="inlineStr">
        <is>
          <t>GNESTA</t>
        </is>
      </c>
      <c r="G238" t="n">
        <v>6.6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HYPERLINK("https://klasma.github.io/Logging_0461/artfynd/A 13747-2020 artfynd.xlsx", "A 13747-2020")</f>
        <v/>
      </c>
      <c r="T238">
        <f>HYPERLINK("https://klasma.github.io/Logging_0461/kartor/A 13747-2020 karta.png", "A 13747-2020")</f>
        <v/>
      </c>
      <c r="V238">
        <f>HYPERLINK("https://klasma.github.io/Logging_0461/klagomål/A 13747-2020 FSC-klagomål.docx", "A 13747-2020")</f>
        <v/>
      </c>
      <c r="W238">
        <f>HYPERLINK("https://klasma.github.io/Logging_0461/klagomålsmail/A 13747-2020 FSC-klagomål mail.docx", "A 13747-2020")</f>
        <v/>
      </c>
      <c r="X238">
        <f>HYPERLINK("https://klasma.github.io/Logging_0461/tillsyn/A 13747-2020 tillsynsbegäran.docx", "A 13747-2020")</f>
        <v/>
      </c>
      <c r="Y238">
        <f>HYPERLINK("https://klasma.github.io/Logging_0461/tillsynsmail/A 13747-2020 tillsynsbegäran mail.docx", "A 13747-2020")</f>
        <v/>
      </c>
    </row>
    <row r="239" ht="15" customHeight="1">
      <c r="A239" t="inlineStr">
        <is>
          <t>A 13756-2020</t>
        </is>
      </c>
      <c r="B239" s="1" t="n">
        <v>43903</v>
      </c>
      <c r="C239" s="1" t="n">
        <v>45216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Kommuner</t>
        </is>
      </c>
      <c r="G239" t="n">
        <v>5.4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Tallticka</t>
        </is>
      </c>
      <c r="S239">
        <f>HYPERLINK("https://klasma.github.io/Logging_0480/artfynd/A 13756-2020 artfynd.xlsx", "A 13756-2020")</f>
        <v/>
      </c>
      <c r="T239">
        <f>HYPERLINK("https://klasma.github.io/Logging_0480/kartor/A 13756-2020 karta.png", "A 13756-2020")</f>
        <v/>
      </c>
      <c r="V239">
        <f>HYPERLINK("https://klasma.github.io/Logging_0480/klagomål/A 13756-2020 FSC-klagomål.docx", "A 13756-2020")</f>
        <v/>
      </c>
      <c r="W239">
        <f>HYPERLINK("https://klasma.github.io/Logging_0480/klagomålsmail/A 13756-2020 FSC-klagomål mail.docx", "A 13756-2020")</f>
        <v/>
      </c>
      <c r="X239">
        <f>HYPERLINK("https://klasma.github.io/Logging_0480/tillsyn/A 13756-2020 tillsynsbegäran.docx", "A 13756-2020")</f>
        <v/>
      </c>
      <c r="Y239">
        <f>HYPERLINK("https://klasma.github.io/Logging_0480/tillsynsmail/A 13756-2020 tillsynsbegäran mail.docx", "A 13756-2020")</f>
        <v/>
      </c>
    </row>
    <row r="240" ht="15" customHeight="1">
      <c r="A240" t="inlineStr">
        <is>
          <t>A 16877-2020</t>
        </is>
      </c>
      <c r="B240" s="1" t="n">
        <v>43921</v>
      </c>
      <c r="C240" s="1" t="n">
        <v>45216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Kyrkan</t>
        </is>
      </c>
      <c r="G240" t="n">
        <v>4.1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Blåsippa</t>
        </is>
      </c>
      <c r="S240">
        <f>HYPERLINK("https://klasma.github.io/Logging_0484/artfynd/A 16877-2020 artfynd.xlsx", "A 16877-2020")</f>
        <v/>
      </c>
      <c r="T240">
        <f>HYPERLINK("https://klasma.github.io/Logging_0484/kartor/A 16877-2020 karta.png", "A 16877-2020")</f>
        <v/>
      </c>
      <c r="V240">
        <f>HYPERLINK("https://klasma.github.io/Logging_0484/klagomål/A 16877-2020 FSC-klagomål.docx", "A 16877-2020")</f>
        <v/>
      </c>
      <c r="W240">
        <f>HYPERLINK("https://klasma.github.io/Logging_0484/klagomålsmail/A 16877-2020 FSC-klagomål mail.docx", "A 16877-2020")</f>
        <v/>
      </c>
      <c r="X240">
        <f>HYPERLINK("https://klasma.github.io/Logging_0484/tillsyn/A 16877-2020 tillsynsbegäran.docx", "A 16877-2020")</f>
        <v/>
      </c>
      <c r="Y240">
        <f>HYPERLINK("https://klasma.github.io/Logging_0484/tillsynsmail/A 16877-2020 tillsynsbegäran mail.docx", "A 16877-2020")</f>
        <v/>
      </c>
    </row>
    <row r="241" ht="15" customHeight="1">
      <c r="A241" t="inlineStr">
        <is>
          <t>A 18283-2020</t>
        </is>
      </c>
      <c r="B241" s="1" t="n">
        <v>43928</v>
      </c>
      <c r="C241" s="1" t="n">
        <v>45216</v>
      </c>
      <c r="D241" t="inlineStr">
        <is>
          <t>SÖDERMANLANDS LÄN</t>
        </is>
      </c>
      <c r="E241" t="inlineStr">
        <is>
          <t>KATRINEHOLM</t>
        </is>
      </c>
      <c r="F241" t="inlineStr">
        <is>
          <t>Kommuner</t>
        </is>
      </c>
      <c r="G241" t="n">
        <v>8.1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HYPERLINK("https://klasma.github.io/Logging_0483/artfynd/A 18283-2020 artfynd.xlsx", "A 18283-2020")</f>
        <v/>
      </c>
      <c r="T241">
        <f>HYPERLINK("https://klasma.github.io/Logging_0483/kartor/A 18283-2020 karta.png", "A 18283-2020")</f>
        <v/>
      </c>
      <c r="U241">
        <f>HYPERLINK("https://klasma.github.io/Logging_0483/knärot/A 18283-2020 karta knärot.png", "A 18283-2020")</f>
        <v/>
      </c>
      <c r="V241">
        <f>HYPERLINK("https://klasma.github.io/Logging_0483/klagomål/A 18283-2020 FSC-klagomål.docx", "A 18283-2020")</f>
        <v/>
      </c>
      <c r="W241">
        <f>HYPERLINK("https://klasma.github.io/Logging_0483/klagomålsmail/A 18283-2020 FSC-klagomål mail.docx", "A 18283-2020")</f>
        <v/>
      </c>
      <c r="X241">
        <f>HYPERLINK("https://klasma.github.io/Logging_0483/tillsyn/A 18283-2020 tillsynsbegäran.docx", "A 18283-2020")</f>
        <v/>
      </c>
      <c r="Y241">
        <f>HYPERLINK("https://klasma.github.io/Logging_0483/tillsynsmail/A 18283-2020 tillsynsbegäran mail.docx", "A 18283-2020")</f>
        <v/>
      </c>
    </row>
    <row r="242" ht="15" customHeight="1">
      <c r="A242" t="inlineStr">
        <is>
          <t>A 19647-2020</t>
        </is>
      </c>
      <c r="B242" s="1" t="n">
        <v>43937</v>
      </c>
      <c r="C242" s="1" t="n">
        <v>45216</v>
      </c>
      <c r="D242" t="inlineStr">
        <is>
          <t>SÖDERMANLANDS LÄN</t>
        </is>
      </c>
      <c r="E242" t="inlineStr">
        <is>
          <t>NYKÖPING</t>
        </is>
      </c>
      <c r="F242" t="inlineStr">
        <is>
          <t>Kommuner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Raggtaggsvamp</t>
        </is>
      </c>
      <c r="S242">
        <f>HYPERLINK("https://klasma.github.io/Logging_0480/artfynd/A 19647-2020 artfynd.xlsx", "A 19647-2020")</f>
        <v/>
      </c>
      <c r="T242">
        <f>HYPERLINK("https://klasma.github.io/Logging_0480/kartor/A 19647-2020 karta.png", "A 19647-2020")</f>
        <v/>
      </c>
      <c r="V242">
        <f>HYPERLINK("https://klasma.github.io/Logging_0480/klagomål/A 19647-2020 FSC-klagomål.docx", "A 19647-2020")</f>
        <v/>
      </c>
      <c r="W242">
        <f>HYPERLINK("https://klasma.github.io/Logging_0480/klagomålsmail/A 19647-2020 FSC-klagomål mail.docx", "A 19647-2020")</f>
        <v/>
      </c>
      <c r="X242">
        <f>HYPERLINK("https://klasma.github.io/Logging_0480/tillsyn/A 19647-2020 tillsynsbegäran.docx", "A 19647-2020")</f>
        <v/>
      </c>
      <c r="Y242">
        <f>HYPERLINK("https://klasma.github.io/Logging_0480/tillsynsmail/A 19647-2020 tillsynsbegäran mail.docx", "A 19647-2020")</f>
        <v/>
      </c>
    </row>
    <row r="243" ht="15" customHeight="1">
      <c r="A243" t="inlineStr">
        <is>
          <t>A 20017-2020</t>
        </is>
      </c>
      <c r="B243" s="1" t="n">
        <v>43942</v>
      </c>
      <c r="C243" s="1" t="n">
        <v>45216</v>
      </c>
      <c r="D243" t="inlineStr">
        <is>
          <t>SÖDERMANLANDS LÄN</t>
        </is>
      </c>
      <c r="E243" t="inlineStr">
        <is>
          <t>NYKÖPING</t>
        </is>
      </c>
      <c r="G243" t="n">
        <v>2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Revlummer</t>
        </is>
      </c>
      <c r="S243">
        <f>HYPERLINK("https://klasma.github.io/Logging_0480/artfynd/A 20017-2020 artfynd.xlsx", "A 20017-2020")</f>
        <v/>
      </c>
      <c r="T243">
        <f>HYPERLINK("https://klasma.github.io/Logging_0480/kartor/A 20017-2020 karta.png", "A 20017-2020")</f>
        <v/>
      </c>
      <c r="V243">
        <f>HYPERLINK("https://klasma.github.io/Logging_0480/klagomål/A 20017-2020 FSC-klagomål.docx", "A 20017-2020")</f>
        <v/>
      </c>
      <c r="W243">
        <f>HYPERLINK("https://klasma.github.io/Logging_0480/klagomålsmail/A 20017-2020 FSC-klagomål mail.docx", "A 20017-2020")</f>
        <v/>
      </c>
      <c r="X243">
        <f>HYPERLINK("https://klasma.github.io/Logging_0480/tillsyn/A 20017-2020 tillsynsbegäran.docx", "A 20017-2020")</f>
        <v/>
      </c>
      <c r="Y243">
        <f>HYPERLINK("https://klasma.github.io/Logging_0480/tillsynsmail/A 20017-2020 tillsynsbegäran mail.docx", "A 20017-2020")</f>
        <v/>
      </c>
    </row>
    <row r="244" ht="15" customHeight="1">
      <c r="A244" t="inlineStr">
        <is>
          <t>A 20001-2020</t>
        </is>
      </c>
      <c r="B244" s="1" t="n">
        <v>43943</v>
      </c>
      <c r="C244" s="1" t="n">
        <v>45216</v>
      </c>
      <c r="D244" t="inlineStr">
        <is>
          <t>SÖDERMANLANDS LÄN</t>
        </is>
      </c>
      <c r="E244" t="inlineStr">
        <is>
          <t>FLEN</t>
        </is>
      </c>
      <c r="G244" t="n">
        <v>4.9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Bombmurkla</t>
        </is>
      </c>
      <c r="S244">
        <f>HYPERLINK("https://klasma.github.io/Logging_0482/artfynd/A 20001-2020 artfynd.xlsx", "A 20001-2020")</f>
        <v/>
      </c>
      <c r="T244">
        <f>HYPERLINK("https://klasma.github.io/Logging_0482/kartor/A 20001-2020 karta.png", "A 20001-2020")</f>
        <v/>
      </c>
      <c r="V244">
        <f>HYPERLINK("https://klasma.github.io/Logging_0482/klagomål/A 20001-2020 FSC-klagomål.docx", "A 20001-2020")</f>
        <v/>
      </c>
      <c r="W244">
        <f>HYPERLINK("https://klasma.github.io/Logging_0482/klagomålsmail/A 20001-2020 FSC-klagomål mail.docx", "A 20001-2020")</f>
        <v/>
      </c>
      <c r="X244">
        <f>HYPERLINK("https://klasma.github.io/Logging_0482/tillsyn/A 20001-2020 tillsynsbegäran.docx", "A 20001-2020")</f>
        <v/>
      </c>
      <c r="Y244">
        <f>HYPERLINK("https://klasma.github.io/Logging_0482/tillsynsmail/A 20001-2020 tillsynsbegäran mail.docx", "A 20001-2020")</f>
        <v/>
      </c>
    </row>
    <row r="245" ht="15" customHeight="1">
      <c r="A245" t="inlineStr">
        <is>
          <t>A 20041-2020</t>
        </is>
      </c>
      <c r="B245" s="1" t="n">
        <v>43943</v>
      </c>
      <c r="C245" s="1" t="n">
        <v>45216</v>
      </c>
      <c r="D245" t="inlineStr">
        <is>
          <t>SÖDERMANLANDS LÄN</t>
        </is>
      </c>
      <c r="E245" t="inlineStr">
        <is>
          <t>STRÄNGNÄS</t>
        </is>
      </c>
      <c r="G245" t="n">
        <v>8.300000000000001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Järpe</t>
        </is>
      </c>
      <c r="S245">
        <f>HYPERLINK("https://klasma.github.io/Logging_0486/artfynd/A 20041-2020 artfynd.xlsx", "A 20041-2020")</f>
        <v/>
      </c>
      <c r="T245">
        <f>HYPERLINK("https://klasma.github.io/Logging_0486/kartor/A 20041-2020 karta.png", "A 20041-2020")</f>
        <v/>
      </c>
      <c r="V245">
        <f>HYPERLINK("https://klasma.github.io/Logging_0486/klagomål/A 20041-2020 FSC-klagomål.docx", "A 20041-2020")</f>
        <v/>
      </c>
      <c r="W245">
        <f>HYPERLINK("https://klasma.github.io/Logging_0486/klagomålsmail/A 20041-2020 FSC-klagomål mail.docx", "A 20041-2020")</f>
        <v/>
      </c>
      <c r="X245">
        <f>HYPERLINK("https://klasma.github.io/Logging_0486/tillsyn/A 20041-2020 tillsynsbegäran.docx", "A 20041-2020")</f>
        <v/>
      </c>
      <c r="Y245">
        <f>HYPERLINK("https://klasma.github.io/Logging_0486/tillsynsmail/A 20041-2020 tillsynsbegäran mail.docx", "A 20041-2020")</f>
        <v/>
      </c>
    </row>
    <row r="246" ht="15" customHeight="1">
      <c r="A246" t="inlineStr">
        <is>
          <t>A 21940-2020</t>
        </is>
      </c>
      <c r="B246" s="1" t="n">
        <v>43958</v>
      </c>
      <c r="C246" s="1" t="n">
        <v>45216</v>
      </c>
      <c r="D246" t="inlineStr">
        <is>
          <t>SÖDERMANLANDS LÄN</t>
        </is>
      </c>
      <c r="E246" t="inlineStr">
        <is>
          <t>TROSA</t>
        </is>
      </c>
      <c r="G246" t="n">
        <v>2.7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Citronfläckad kärrtrollslända</t>
        </is>
      </c>
      <c r="S246">
        <f>HYPERLINK("https://klasma.github.io/Logging_0488/artfynd/A 21940-2020 artfynd.xlsx", "A 21940-2020")</f>
        <v/>
      </c>
      <c r="T246">
        <f>HYPERLINK("https://klasma.github.io/Logging_0488/kartor/A 21940-2020 karta.png", "A 21940-2020")</f>
        <v/>
      </c>
      <c r="V246">
        <f>HYPERLINK("https://klasma.github.io/Logging_0488/klagomål/A 21940-2020 FSC-klagomål.docx", "A 21940-2020")</f>
        <v/>
      </c>
      <c r="W246">
        <f>HYPERLINK("https://klasma.github.io/Logging_0488/klagomålsmail/A 21940-2020 FSC-klagomål mail.docx", "A 21940-2020")</f>
        <v/>
      </c>
      <c r="X246">
        <f>HYPERLINK("https://klasma.github.io/Logging_0488/tillsyn/A 21940-2020 tillsynsbegäran.docx", "A 21940-2020")</f>
        <v/>
      </c>
      <c r="Y246">
        <f>HYPERLINK("https://klasma.github.io/Logging_0488/tillsynsmail/A 21940-2020 tillsynsbegäran mail.docx", "A 21940-2020")</f>
        <v/>
      </c>
    </row>
    <row r="247" ht="15" customHeight="1">
      <c r="A247" t="inlineStr">
        <is>
          <t>A 21808-2020</t>
        </is>
      </c>
      <c r="B247" s="1" t="n">
        <v>43958</v>
      </c>
      <c r="C247" s="1" t="n">
        <v>45216</v>
      </c>
      <c r="D247" t="inlineStr">
        <is>
          <t>SÖDERMANLANDS LÄN</t>
        </is>
      </c>
      <c r="E247" t="inlineStr">
        <is>
          <t>KATRINEHOLM</t>
        </is>
      </c>
      <c r="G247" t="n">
        <v>3.5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Blomkålssvamp</t>
        </is>
      </c>
      <c r="S247">
        <f>HYPERLINK("https://klasma.github.io/Logging_0483/artfynd/A 21808-2020 artfynd.xlsx", "A 21808-2020")</f>
        <v/>
      </c>
      <c r="T247">
        <f>HYPERLINK("https://klasma.github.io/Logging_0483/kartor/A 21808-2020 karta.png", "A 21808-2020")</f>
        <v/>
      </c>
      <c r="V247">
        <f>HYPERLINK("https://klasma.github.io/Logging_0483/klagomål/A 21808-2020 FSC-klagomål.docx", "A 21808-2020")</f>
        <v/>
      </c>
      <c r="W247">
        <f>HYPERLINK("https://klasma.github.io/Logging_0483/klagomålsmail/A 21808-2020 FSC-klagomål mail.docx", "A 21808-2020")</f>
        <v/>
      </c>
      <c r="X247">
        <f>HYPERLINK("https://klasma.github.io/Logging_0483/tillsyn/A 21808-2020 tillsynsbegäran.docx", "A 21808-2020")</f>
        <v/>
      </c>
      <c r="Y247">
        <f>HYPERLINK("https://klasma.github.io/Logging_0483/tillsynsmail/A 21808-2020 tillsynsbegäran mail.docx", "A 21808-2020")</f>
        <v/>
      </c>
    </row>
    <row r="248" ht="15" customHeight="1">
      <c r="A248" t="inlineStr">
        <is>
          <t>A 23201-2020</t>
        </is>
      </c>
      <c r="B248" s="1" t="n">
        <v>43964</v>
      </c>
      <c r="C248" s="1" t="n">
        <v>45216</v>
      </c>
      <c r="D248" t="inlineStr">
        <is>
          <t>SÖDERMANLANDS LÄN</t>
        </is>
      </c>
      <c r="E248" t="inlineStr">
        <is>
          <t>ESKILSTUNA</t>
        </is>
      </c>
      <c r="G248" t="n">
        <v>2.7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Krusfrö</t>
        </is>
      </c>
      <c r="S248">
        <f>HYPERLINK("https://klasma.github.io/Logging_0484/artfynd/A 23201-2020 artfynd.xlsx", "A 23201-2020")</f>
        <v/>
      </c>
      <c r="T248">
        <f>HYPERLINK("https://klasma.github.io/Logging_0484/kartor/A 23201-2020 karta.png", "A 23201-2020")</f>
        <v/>
      </c>
      <c r="V248">
        <f>HYPERLINK("https://klasma.github.io/Logging_0484/klagomål/A 23201-2020 FSC-klagomål.docx", "A 23201-2020")</f>
        <v/>
      </c>
      <c r="W248">
        <f>HYPERLINK("https://klasma.github.io/Logging_0484/klagomålsmail/A 23201-2020 FSC-klagomål mail.docx", "A 23201-2020")</f>
        <v/>
      </c>
      <c r="X248">
        <f>HYPERLINK("https://klasma.github.io/Logging_0484/tillsyn/A 23201-2020 tillsynsbegäran.docx", "A 23201-2020")</f>
        <v/>
      </c>
      <c r="Y248">
        <f>HYPERLINK("https://klasma.github.io/Logging_0484/tillsynsmail/A 23201-2020 tillsynsbegäran mail.docx", "A 23201-2020")</f>
        <v/>
      </c>
    </row>
    <row r="249" ht="15" customHeight="1">
      <c r="A249" t="inlineStr">
        <is>
          <t>A 23515-2020</t>
        </is>
      </c>
      <c r="B249" s="1" t="n">
        <v>43966</v>
      </c>
      <c r="C249" s="1" t="n">
        <v>45216</v>
      </c>
      <c r="D249" t="inlineStr">
        <is>
          <t>SÖDERMANLANDS LÄN</t>
        </is>
      </c>
      <c r="E249" t="inlineStr">
        <is>
          <t>STRÄNGNÄS</t>
        </is>
      </c>
      <c r="G249" t="n">
        <v>2.2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HYPERLINK("https://klasma.github.io/Logging_0486/artfynd/A 23515-2020 artfynd.xlsx", "A 23515-2020")</f>
        <v/>
      </c>
      <c r="T249">
        <f>HYPERLINK("https://klasma.github.io/Logging_0486/kartor/A 23515-2020 karta.png", "A 23515-2020")</f>
        <v/>
      </c>
      <c r="V249">
        <f>HYPERLINK("https://klasma.github.io/Logging_0486/klagomål/A 23515-2020 FSC-klagomål.docx", "A 23515-2020")</f>
        <v/>
      </c>
      <c r="W249">
        <f>HYPERLINK("https://klasma.github.io/Logging_0486/klagomålsmail/A 23515-2020 FSC-klagomål mail.docx", "A 23515-2020")</f>
        <v/>
      </c>
      <c r="X249">
        <f>HYPERLINK("https://klasma.github.io/Logging_0486/tillsyn/A 23515-2020 tillsynsbegäran.docx", "A 23515-2020")</f>
        <v/>
      </c>
      <c r="Y249">
        <f>HYPERLINK("https://klasma.github.io/Logging_0486/tillsynsmail/A 23515-2020 tillsynsbegäran mail.docx", "A 23515-2020")</f>
        <v/>
      </c>
    </row>
    <row r="250" ht="15" customHeight="1">
      <c r="A250" t="inlineStr">
        <is>
          <t>A 25802-2020</t>
        </is>
      </c>
      <c r="B250" s="1" t="n">
        <v>43983</v>
      </c>
      <c r="C250" s="1" t="n">
        <v>45216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Skarp dropptaggsvamp</t>
        </is>
      </c>
      <c r="S250">
        <f>HYPERLINK("https://klasma.github.io/Logging_0480/artfynd/A 25802-2020 artfynd.xlsx", "A 25802-2020")</f>
        <v/>
      </c>
      <c r="T250">
        <f>HYPERLINK("https://klasma.github.io/Logging_0480/kartor/A 25802-2020 karta.png", "A 25802-2020")</f>
        <v/>
      </c>
      <c r="V250">
        <f>HYPERLINK("https://klasma.github.io/Logging_0480/klagomål/A 25802-2020 FSC-klagomål.docx", "A 25802-2020")</f>
        <v/>
      </c>
      <c r="W250">
        <f>HYPERLINK("https://klasma.github.io/Logging_0480/klagomålsmail/A 25802-2020 FSC-klagomål mail.docx", "A 25802-2020")</f>
        <v/>
      </c>
      <c r="X250">
        <f>HYPERLINK("https://klasma.github.io/Logging_0480/tillsyn/A 25802-2020 tillsynsbegäran.docx", "A 25802-2020")</f>
        <v/>
      </c>
      <c r="Y250">
        <f>HYPERLINK("https://klasma.github.io/Logging_0480/tillsynsmail/A 25802-2020 tillsynsbegäran mail.docx", "A 25802-2020")</f>
        <v/>
      </c>
    </row>
    <row r="251" ht="15" customHeight="1">
      <c r="A251" t="inlineStr">
        <is>
          <t>A 28149-2020</t>
        </is>
      </c>
      <c r="B251" s="1" t="n">
        <v>43997</v>
      </c>
      <c r="C251" s="1" t="n">
        <v>45216</v>
      </c>
      <c r="D251" t="inlineStr">
        <is>
          <t>SÖDERMANLANDS LÄN</t>
        </is>
      </c>
      <c r="E251" t="inlineStr">
        <is>
          <t>TROSA</t>
        </is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Trubbfjädermossa</t>
        </is>
      </c>
      <c r="S251">
        <f>HYPERLINK("https://klasma.github.io/Logging_0488/artfynd/A 28149-2020 artfynd.xlsx", "A 28149-2020")</f>
        <v/>
      </c>
      <c r="T251">
        <f>HYPERLINK("https://klasma.github.io/Logging_0488/kartor/A 28149-2020 karta.png", "A 28149-2020")</f>
        <v/>
      </c>
      <c r="V251">
        <f>HYPERLINK("https://klasma.github.io/Logging_0488/klagomål/A 28149-2020 FSC-klagomål.docx", "A 28149-2020")</f>
        <v/>
      </c>
      <c r="W251">
        <f>HYPERLINK("https://klasma.github.io/Logging_0488/klagomålsmail/A 28149-2020 FSC-klagomål mail.docx", "A 28149-2020")</f>
        <v/>
      </c>
      <c r="X251">
        <f>HYPERLINK("https://klasma.github.io/Logging_0488/tillsyn/A 28149-2020 tillsynsbegäran.docx", "A 28149-2020")</f>
        <v/>
      </c>
      <c r="Y251">
        <f>HYPERLINK("https://klasma.github.io/Logging_0488/tillsynsmail/A 28149-2020 tillsynsbegäran mail.docx", "A 28149-2020")</f>
        <v/>
      </c>
    </row>
    <row r="252" ht="15" customHeight="1">
      <c r="A252" t="inlineStr">
        <is>
          <t>A 29320-2020</t>
        </is>
      </c>
      <c r="B252" s="1" t="n">
        <v>44004</v>
      </c>
      <c r="C252" s="1" t="n">
        <v>45216</v>
      </c>
      <c r="D252" t="inlineStr">
        <is>
          <t>SÖDERMANLANDS LÄN</t>
        </is>
      </c>
      <c r="E252" t="inlineStr">
        <is>
          <t>NYKÖPING</t>
        </is>
      </c>
      <c r="G252" t="n">
        <v>15.2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Buskskvätta</t>
        </is>
      </c>
      <c r="S252">
        <f>HYPERLINK("https://klasma.github.io/Logging_0480/artfynd/A 29320-2020 artfynd.xlsx", "A 29320-2020")</f>
        <v/>
      </c>
      <c r="T252">
        <f>HYPERLINK("https://klasma.github.io/Logging_0480/kartor/A 29320-2020 karta.png", "A 29320-2020")</f>
        <v/>
      </c>
      <c r="V252">
        <f>HYPERLINK("https://klasma.github.io/Logging_0480/klagomål/A 29320-2020 FSC-klagomål.docx", "A 29320-2020")</f>
        <v/>
      </c>
      <c r="W252">
        <f>HYPERLINK("https://klasma.github.io/Logging_0480/klagomålsmail/A 29320-2020 FSC-klagomål mail.docx", "A 29320-2020")</f>
        <v/>
      </c>
      <c r="X252">
        <f>HYPERLINK("https://klasma.github.io/Logging_0480/tillsyn/A 29320-2020 tillsynsbegäran.docx", "A 29320-2020")</f>
        <v/>
      </c>
      <c r="Y252">
        <f>HYPERLINK("https://klasma.github.io/Logging_0480/tillsynsmail/A 29320-2020 tillsynsbegäran mail.docx", "A 29320-2020")</f>
        <v/>
      </c>
    </row>
    <row r="253" ht="15" customHeight="1">
      <c r="A253" t="inlineStr">
        <is>
          <t>A 29400-2020</t>
        </is>
      </c>
      <c r="B253" s="1" t="n">
        <v>44004</v>
      </c>
      <c r="C253" s="1" t="n">
        <v>45216</v>
      </c>
      <c r="D253" t="inlineStr">
        <is>
          <t>SÖDERMANLANDS LÄN</t>
        </is>
      </c>
      <c r="E253" t="inlineStr">
        <is>
          <t>NYKÖPING</t>
        </is>
      </c>
      <c r="G253" t="n">
        <v>7.7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Revlummer</t>
        </is>
      </c>
      <c r="S253">
        <f>HYPERLINK("https://klasma.github.io/Logging_0480/artfynd/A 29400-2020 artfynd.xlsx", "A 29400-2020")</f>
        <v/>
      </c>
      <c r="T253">
        <f>HYPERLINK("https://klasma.github.io/Logging_0480/kartor/A 29400-2020 karta.png", "A 29400-2020")</f>
        <v/>
      </c>
      <c r="V253">
        <f>HYPERLINK("https://klasma.github.io/Logging_0480/klagomål/A 29400-2020 FSC-klagomål.docx", "A 29400-2020")</f>
        <v/>
      </c>
      <c r="W253">
        <f>HYPERLINK("https://klasma.github.io/Logging_0480/klagomålsmail/A 29400-2020 FSC-klagomål mail.docx", "A 29400-2020")</f>
        <v/>
      </c>
      <c r="X253">
        <f>HYPERLINK("https://klasma.github.io/Logging_0480/tillsyn/A 29400-2020 tillsynsbegäran.docx", "A 29400-2020")</f>
        <v/>
      </c>
      <c r="Y253">
        <f>HYPERLINK("https://klasma.github.io/Logging_0480/tillsynsmail/A 29400-2020 tillsynsbegäran mail.docx", "A 29400-2020")</f>
        <v/>
      </c>
    </row>
    <row r="254" ht="15" customHeight="1">
      <c r="A254" t="inlineStr">
        <is>
          <t>A 29402-2020</t>
        </is>
      </c>
      <c r="B254" s="1" t="n">
        <v>44004</v>
      </c>
      <c r="C254" s="1" t="n">
        <v>45216</v>
      </c>
      <c r="D254" t="inlineStr">
        <is>
          <t>SÖDERMANLANDS LÄN</t>
        </is>
      </c>
      <c r="E254" t="inlineStr">
        <is>
          <t>NYKÖPING</t>
        </is>
      </c>
      <c r="G254" t="n">
        <v>1.7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Flodsångare</t>
        </is>
      </c>
      <c r="S254">
        <f>HYPERLINK("https://klasma.github.io/Logging_0480/artfynd/A 29402-2020 artfynd.xlsx", "A 29402-2020")</f>
        <v/>
      </c>
      <c r="T254">
        <f>HYPERLINK("https://klasma.github.io/Logging_0480/kartor/A 29402-2020 karta.png", "A 29402-2020")</f>
        <v/>
      </c>
      <c r="V254">
        <f>HYPERLINK("https://klasma.github.io/Logging_0480/klagomål/A 29402-2020 FSC-klagomål.docx", "A 29402-2020")</f>
        <v/>
      </c>
      <c r="W254">
        <f>HYPERLINK("https://klasma.github.io/Logging_0480/klagomålsmail/A 29402-2020 FSC-klagomål mail.docx", "A 29402-2020")</f>
        <v/>
      </c>
      <c r="X254">
        <f>HYPERLINK("https://klasma.github.io/Logging_0480/tillsyn/A 29402-2020 tillsynsbegäran.docx", "A 29402-2020")</f>
        <v/>
      </c>
      <c r="Y254">
        <f>HYPERLINK("https://klasma.github.io/Logging_0480/tillsynsmail/A 29402-2020 tillsynsbegäran mail.docx", "A 29402-2020")</f>
        <v/>
      </c>
    </row>
    <row r="255" ht="15" customHeight="1">
      <c r="A255" t="inlineStr">
        <is>
          <t>A 30887-2020</t>
        </is>
      </c>
      <c r="B255" s="1" t="n">
        <v>44008</v>
      </c>
      <c r="C255" s="1" t="n">
        <v>45216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3.2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Tallticka</t>
        </is>
      </c>
      <c r="S255">
        <f>HYPERLINK("https://klasma.github.io/Logging_0480/artfynd/A 30887-2020 artfynd.xlsx", "A 30887-2020")</f>
        <v/>
      </c>
      <c r="T255">
        <f>HYPERLINK("https://klasma.github.io/Logging_0480/kartor/A 30887-2020 karta.png", "A 30887-2020")</f>
        <v/>
      </c>
      <c r="V255">
        <f>HYPERLINK("https://klasma.github.io/Logging_0480/klagomål/A 30887-2020 FSC-klagomål.docx", "A 30887-2020")</f>
        <v/>
      </c>
      <c r="W255">
        <f>HYPERLINK("https://klasma.github.io/Logging_0480/klagomålsmail/A 30887-2020 FSC-klagomål mail.docx", "A 30887-2020")</f>
        <v/>
      </c>
      <c r="X255">
        <f>HYPERLINK("https://klasma.github.io/Logging_0480/tillsyn/A 30887-2020 tillsynsbegäran.docx", "A 30887-2020")</f>
        <v/>
      </c>
      <c r="Y255">
        <f>HYPERLINK("https://klasma.github.io/Logging_0480/tillsynsmail/A 30887-2020 tillsynsbegäran mail.docx", "A 30887-2020")</f>
        <v/>
      </c>
    </row>
    <row r="256" ht="15" customHeight="1">
      <c r="A256" t="inlineStr">
        <is>
          <t>A 31870-2020</t>
        </is>
      </c>
      <c r="B256" s="1" t="n">
        <v>44014</v>
      </c>
      <c r="C256" s="1" t="n">
        <v>45216</v>
      </c>
      <c r="D256" t="inlineStr">
        <is>
          <t>SÖDERMANLANDS LÄN</t>
        </is>
      </c>
      <c r="E256" t="inlineStr">
        <is>
          <t>FLEN</t>
        </is>
      </c>
      <c r="F256" t="inlineStr">
        <is>
          <t>Övriga statliga verk och myndigheter</t>
        </is>
      </c>
      <c r="G256" t="n">
        <v>10.1</v>
      </c>
      <c r="H256" t="n">
        <v>1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Mellanlummer</t>
        </is>
      </c>
      <c r="S256">
        <f>HYPERLINK("https://klasma.github.io/Logging_0482/artfynd/A 31870-2020 artfynd.xlsx", "A 31870-2020")</f>
        <v/>
      </c>
      <c r="T256">
        <f>HYPERLINK("https://klasma.github.io/Logging_0482/kartor/A 31870-2020 karta.png", "A 31870-2020")</f>
        <v/>
      </c>
      <c r="V256">
        <f>HYPERLINK("https://klasma.github.io/Logging_0482/klagomål/A 31870-2020 FSC-klagomål.docx", "A 31870-2020")</f>
        <v/>
      </c>
      <c r="W256">
        <f>HYPERLINK("https://klasma.github.io/Logging_0482/klagomålsmail/A 31870-2020 FSC-klagomål mail.docx", "A 31870-2020")</f>
        <v/>
      </c>
      <c r="X256">
        <f>HYPERLINK("https://klasma.github.io/Logging_0482/tillsyn/A 31870-2020 tillsynsbegäran.docx", "A 31870-2020")</f>
        <v/>
      </c>
      <c r="Y256">
        <f>HYPERLINK("https://klasma.github.io/Logging_0482/tillsynsmail/A 31870-2020 tillsynsbegäran mail.docx", "A 31870-2020")</f>
        <v/>
      </c>
    </row>
    <row r="257" ht="15" customHeight="1">
      <c r="A257" t="inlineStr">
        <is>
          <t>A 35106-2020</t>
        </is>
      </c>
      <c r="B257" s="1" t="n">
        <v>44040</v>
      </c>
      <c r="C257" s="1" t="n">
        <v>45216</v>
      </c>
      <c r="D257" t="inlineStr">
        <is>
          <t>SÖDERMANLANDS LÄN</t>
        </is>
      </c>
      <c r="E257" t="inlineStr">
        <is>
          <t>TROSA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Stor bockrot</t>
        </is>
      </c>
      <c r="S257">
        <f>HYPERLINK("https://klasma.github.io/Logging_0488/artfynd/A 35106-2020 artfynd.xlsx", "A 35106-2020")</f>
        <v/>
      </c>
      <c r="T257">
        <f>HYPERLINK("https://klasma.github.io/Logging_0488/kartor/A 35106-2020 karta.png", "A 35106-2020")</f>
        <v/>
      </c>
      <c r="V257">
        <f>HYPERLINK("https://klasma.github.io/Logging_0488/klagomål/A 35106-2020 FSC-klagomål.docx", "A 35106-2020")</f>
        <v/>
      </c>
      <c r="W257">
        <f>HYPERLINK("https://klasma.github.io/Logging_0488/klagomålsmail/A 35106-2020 FSC-klagomål mail.docx", "A 35106-2020")</f>
        <v/>
      </c>
      <c r="X257">
        <f>HYPERLINK("https://klasma.github.io/Logging_0488/tillsyn/A 35106-2020 tillsynsbegäran.docx", "A 35106-2020")</f>
        <v/>
      </c>
      <c r="Y257">
        <f>HYPERLINK("https://klasma.github.io/Logging_0488/tillsynsmail/A 35106-2020 tillsynsbegäran mail.docx", "A 35106-2020")</f>
        <v/>
      </c>
    </row>
    <row r="258" ht="15" customHeight="1">
      <c r="A258" t="inlineStr">
        <is>
          <t>A 38423-2020</t>
        </is>
      </c>
      <c r="B258" s="1" t="n">
        <v>44060</v>
      </c>
      <c r="C258" s="1" t="n">
        <v>45216</v>
      </c>
      <c r="D258" t="inlineStr">
        <is>
          <t>SÖDERMANLANDS LÄN</t>
        </is>
      </c>
      <c r="E258" t="inlineStr">
        <is>
          <t>ESKILSTUNA</t>
        </is>
      </c>
      <c r="G258" t="n">
        <v>1.1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Svart trolldruva</t>
        </is>
      </c>
      <c r="S258">
        <f>HYPERLINK("https://klasma.github.io/Logging_0484/artfynd/A 38423-2020 artfynd.xlsx", "A 38423-2020")</f>
        <v/>
      </c>
      <c r="T258">
        <f>HYPERLINK("https://klasma.github.io/Logging_0484/kartor/A 38423-2020 karta.png", "A 38423-2020")</f>
        <v/>
      </c>
      <c r="V258">
        <f>HYPERLINK("https://klasma.github.io/Logging_0484/klagomål/A 38423-2020 FSC-klagomål.docx", "A 38423-2020")</f>
        <v/>
      </c>
      <c r="W258">
        <f>HYPERLINK("https://klasma.github.io/Logging_0484/klagomålsmail/A 38423-2020 FSC-klagomål mail.docx", "A 38423-2020")</f>
        <v/>
      </c>
      <c r="X258">
        <f>HYPERLINK("https://klasma.github.io/Logging_0484/tillsyn/A 38423-2020 tillsynsbegäran.docx", "A 38423-2020")</f>
        <v/>
      </c>
      <c r="Y258">
        <f>HYPERLINK("https://klasma.github.io/Logging_0484/tillsynsmail/A 38423-2020 tillsynsbegäran mail.docx", "A 38423-2020")</f>
        <v/>
      </c>
    </row>
    <row r="259" ht="15" customHeight="1">
      <c r="A259" t="inlineStr">
        <is>
          <t>A 44224-2020</t>
        </is>
      </c>
      <c r="B259" s="1" t="n">
        <v>44084</v>
      </c>
      <c r="C259" s="1" t="n">
        <v>45216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5.4</v>
      </c>
      <c r="H259" t="n">
        <v>1</v>
      </c>
      <c r="I259" t="n">
        <v>0</v>
      </c>
      <c r="J259" t="n">
        <v>0</v>
      </c>
      <c r="K259" t="n">
        <v>0</v>
      </c>
      <c r="L259" t="n">
        <v>1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Tornseglare</t>
        </is>
      </c>
      <c r="S259">
        <f>HYPERLINK("https://klasma.github.io/Logging_0480/artfynd/A 44224-2020 artfynd.xlsx", "A 44224-2020")</f>
        <v/>
      </c>
      <c r="T259">
        <f>HYPERLINK("https://klasma.github.io/Logging_0480/kartor/A 44224-2020 karta.png", "A 44224-2020")</f>
        <v/>
      </c>
      <c r="V259">
        <f>HYPERLINK("https://klasma.github.io/Logging_0480/klagomål/A 44224-2020 FSC-klagomål.docx", "A 44224-2020")</f>
        <v/>
      </c>
      <c r="W259">
        <f>HYPERLINK("https://klasma.github.io/Logging_0480/klagomålsmail/A 44224-2020 FSC-klagomål mail.docx", "A 44224-2020")</f>
        <v/>
      </c>
      <c r="X259">
        <f>HYPERLINK("https://klasma.github.io/Logging_0480/tillsyn/A 44224-2020 tillsynsbegäran.docx", "A 44224-2020")</f>
        <v/>
      </c>
      <c r="Y259">
        <f>HYPERLINK("https://klasma.github.io/Logging_0480/tillsynsmail/A 44224-2020 tillsynsbegäran mail.docx", "A 44224-2020")</f>
        <v/>
      </c>
    </row>
    <row r="260" ht="15" customHeight="1">
      <c r="A260" t="inlineStr">
        <is>
          <t>A 44227-2020</t>
        </is>
      </c>
      <c r="B260" s="1" t="n">
        <v>44084</v>
      </c>
      <c r="C260" s="1" t="n">
        <v>45216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3.8</v>
      </c>
      <c r="H260" t="n">
        <v>1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Skogsknipprot</t>
        </is>
      </c>
      <c r="S260">
        <f>HYPERLINK("https://klasma.github.io/Logging_0480/artfynd/A 44227-2020 artfynd.xlsx", "A 44227-2020")</f>
        <v/>
      </c>
      <c r="T260">
        <f>HYPERLINK("https://klasma.github.io/Logging_0480/kartor/A 44227-2020 karta.png", "A 44227-2020")</f>
        <v/>
      </c>
      <c r="V260">
        <f>HYPERLINK("https://klasma.github.io/Logging_0480/klagomål/A 44227-2020 FSC-klagomål.docx", "A 44227-2020")</f>
        <v/>
      </c>
      <c r="W260">
        <f>HYPERLINK("https://klasma.github.io/Logging_0480/klagomålsmail/A 44227-2020 FSC-klagomål mail.docx", "A 44227-2020")</f>
        <v/>
      </c>
      <c r="X260">
        <f>HYPERLINK("https://klasma.github.io/Logging_0480/tillsyn/A 44227-2020 tillsynsbegäran.docx", "A 44227-2020")</f>
        <v/>
      </c>
      <c r="Y260">
        <f>HYPERLINK("https://klasma.github.io/Logging_0480/tillsynsmail/A 44227-2020 tillsynsbegäran mail.docx", "A 44227-2020")</f>
        <v/>
      </c>
    </row>
    <row r="261" ht="15" customHeight="1">
      <c r="A261" t="inlineStr">
        <is>
          <t>A 47989-2020</t>
        </is>
      </c>
      <c r="B261" s="1" t="n">
        <v>44099</v>
      </c>
      <c r="C261" s="1" t="n">
        <v>45216</v>
      </c>
      <c r="D261" t="inlineStr">
        <is>
          <t>SÖDERMANLANDS LÄN</t>
        </is>
      </c>
      <c r="E261" t="inlineStr">
        <is>
          <t>KATRINEHOLM</t>
        </is>
      </c>
      <c r="F261" t="inlineStr">
        <is>
          <t>Övriga statliga verk och myndigheter</t>
        </is>
      </c>
      <c r="G261" t="n">
        <v>4.7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Stubbspretmossa</t>
        </is>
      </c>
      <c r="S261">
        <f>HYPERLINK("https://klasma.github.io/Logging_0483/artfynd/A 47989-2020 artfynd.xlsx", "A 47989-2020")</f>
        <v/>
      </c>
      <c r="T261">
        <f>HYPERLINK("https://klasma.github.io/Logging_0483/kartor/A 47989-2020 karta.png", "A 47989-2020")</f>
        <v/>
      </c>
      <c r="V261">
        <f>HYPERLINK("https://klasma.github.io/Logging_0483/klagomål/A 47989-2020 FSC-klagomål.docx", "A 47989-2020")</f>
        <v/>
      </c>
      <c r="W261">
        <f>HYPERLINK("https://klasma.github.io/Logging_0483/klagomålsmail/A 47989-2020 FSC-klagomål mail.docx", "A 47989-2020")</f>
        <v/>
      </c>
      <c r="X261">
        <f>HYPERLINK("https://klasma.github.io/Logging_0483/tillsyn/A 47989-2020 tillsynsbegäran.docx", "A 47989-2020")</f>
        <v/>
      </c>
      <c r="Y261">
        <f>HYPERLINK("https://klasma.github.io/Logging_0483/tillsynsmail/A 47989-2020 tillsynsbegäran mail.docx", "A 47989-2020")</f>
        <v/>
      </c>
    </row>
    <row r="262" ht="15" customHeight="1">
      <c r="A262" t="inlineStr">
        <is>
          <t>A 51080-2020</t>
        </is>
      </c>
      <c r="B262" s="1" t="n">
        <v>44112</v>
      </c>
      <c r="C262" s="1" t="n">
        <v>45216</v>
      </c>
      <c r="D262" t="inlineStr">
        <is>
          <t>SÖDERMANLANDS LÄN</t>
        </is>
      </c>
      <c r="E262" t="inlineStr">
        <is>
          <t>GNESTA</t>
        </is>
      </c>
      <c r="G262" t="n">
        <v>2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Gullklöver</t>
        </is>
      </c>
      <c r="S262">
        <f>HYPERLINK("https://klasma.github.io/Logging_0461/artfynd/A 51080-2020 artfynd.xlsx", "A 51080-2020")</f>
        <v/>
      </c>
      <c r="T262">
        <f>HYPERLINK("https://klasma.github.io/Logging_0461/kartor/A 51080-2020 karta.png", "A 51080-2020")</f>
        <v/>
      </c>
      <c r="V262">
        <f>HYPERLINK("https://klasma.github.io/Logging_0461/klagomål/A 51080-2020 FSC-klagomål.docx", "A 51080-2020")</f>
        <v/>
      </c>
      <c r="W262">
        <f>HYPERLINK("https://klasma.github.io/Logging_0461/klagomålsmail/A 51080-2020 FSC-klagomål mail.docx", "A 51080-2020")</f>
        <v/>
      </c>
      <c r="X262">
        <f>HYPERLINK("https://klasma.github.io/Logging_0461/tillsyn/A 51080-2020 tillsynsbegäran.docx", "A 51080-2020")</f>
        <v/>
      </c>
      <c r="Y262">
        <f>HYPERLINK("https://klasma.github.io/Logging_0461/tillsynsmail/A 51080-2020 tillsynsbegäran mail.docx", "A 51080-2020")</f>
        <v/>
      </c>
    </row>
    <row r="263" ht="15" customHeight="1">
      <c r="A263" t="inlineStr">
        <is>
          <t>A 52828-2020</t>
        </is>
      </c>
      <c r="B263" s="1" t="n">
        <v>44119</v>
      </c>
      <c r="C263" s="1" t="n">
        <v>45216</v>
      </c>
      <c r="D263" t="inlineStr">
        <is>
          <t>SÖDERMANLANDS LÄN</t>
        </is>
      </c>
      <c r="E263" t="inlineStr">
        <is>
          <t>GNESTA</t>
        </is>
      </c>
      <c r="G263" t="n">
        <v>1.2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Havsörn</t>
        </is>
      </c>
      <c r="S263">
        <f>HYPERLINK("https://klasma.github.io/Logging_0461/artfynd/A 52828-2020 artfynd.xlsx", "A 52828-2020")</f>
        <v/>
      </c>
      <c r="T263">
        <f>HYPERLINK("https://klasma.github.io/Logging_0461/kartor/A 52828-2020 karta.png", "A 52828-2020")</f>
        <v/>
      </c>
      <c r="V263">
        <f>HYPERLINK("https://klasma.github.io/Logging_0461/klagomål/A 52828-2020 FSC-klagomål.docx", "A 52828-2020")</f>
        <v/>
      </c>
      <c r="W263">
        <f>HYPERLINK("https://klasma.github.io/Logging_0461/klagomålsmail/A 52828-2020 FSC-klagomål mail.docx", "A 52828-2020")</f>
        <v/>
      </c>
      <c r="X263">
        <f>HYPERLINK("https://klasma.github.io/Logging_0461/tillsyn/A 52828-2020 tillsynsbegäran.docx", "A 52828-2020")</f>
        <v/>
      </c>
      <c r="Y263">
        <f>HYPERLINK("https://klasma.github.io/Logging_0461/tillsynsmail/A 52828-2020 tillsynsbegäran mail.docx", "A 52828-2020")</f>
        <v/>
      </c>
    </row>
    <row r="264" ht="15" customHeight="1">
      <c r="A264" t="inlineStr">
        <is>
          <t>A 55009-2020</t>
        </is>
      </c>
      <c r="B264" s="1" t="n">
        <v>44127</v>
      </c>
      <c r="C264" s="1" t="n">
        <v>45216</v>
      </c>
      <c r="D264" t="inlineStr">
        <is>
          <t>SÖDERMANLANDS LÄN</t>
        </is>
      </c>
      <c r="E264" t="inlineStr">
        <is>
          <t>FLEN</t>
        </is>
      </c>
      <c r="G264" t="n">
        <v>26.6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Svart trolldruva</t>
        </is>
      </c>
      <c r="S264">
        <f>HYPERLINK("https://klasma.github.io/Logging_0482/artfynd/A 55009-2020 artfynd.xlsx", "A 55009-2020")</f>
        <v/>
      </c>
      <c r="T264">
        <f>HYPERLINK("https://klasma.github.io/Logging_0482/kartor/A 55009-2020 karta.png", "A 55009-2020")</f>
        <v/>
      </c>
      <c r="V264">
        <f>HYPERLINK("https://klasma.github.io/Logging_0482/klagomål/A 55009-2020 FSC-klagomål.docx", "A 55009-2020")</f>
        <v/>
      </c>
      <c r="W264">
        <f>HYPERLINK("https://klasma.github.io/Logging_0482/klagomålsmail/A 55009-2020 FSC-klagomål mail.docx", "A 55009-2020")</f>
        <v/>
      </c>
      <c r="X264">
        <f>HYPERLINK("https://klasma.github.io/Logging_0482/tillsyn/A 55009-2020 tillsynsbegäran.docx", "A 55009-2020")</f>
        <v/>
      </c>
      <c r="Y264">
        <f>HYPERLINK("https://klasma.github.io/Logging_0482/tillsynsmail/A 55009-2020 tillsynsbegäran mail.docx", "A 55009-2020")</f>
        <v/>
      </c>
    </row>
    <row r="265" ht="15" customHeight="1">
      <c r="A265" t="inlineStr">
        <is>
          <t>A 55760-2020</t>
        </is>
      </c>
      <c r="B265" s="1" t="n">
        <v>44132</v>
      </c>
      <c r="C265" s="1" t="n">
        <v>45216</v>
      </c>
      <c r="D265" t="inlineStr">
        <is>
          <t>SÖDERMANLANDS LÄN</t>
        </is>
      </c>
      <c r="E265" t="inlineStr">
        <is>
          <t>TROSA</t>
        </is>
      </c>
      <c r="F265" t="inlineStr">
        <is>
          <t>Kommuner</t>
        </is>
      </c>
      <c r="G265" t="n">
        <v>9.6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Strutbräken</t>
        </is>
      </c>
      <c r="S265">
        <f>HYPERLINK("https://klasma.github.io/Logging_0488/artfynd/A 55760-2020 artfynd.xlsx", "A 55760-2020")</f>
        <v/>
      </c>
      <c r="T265">
        <f>HYPERLINK("https://klasma.github.io/Logging_0488/kartor/A 55760-2020 karta.png", "A 55760-2020")</f>
        <v/>
      </c>
      <c r="V265">
        <f>HYPERLINK("https://klasma.github.io/Logging_0488/klagomål/A 55760-2020 FSC-klagomål.docx", "A 55760-2020")</f>
        <v/>
      </c>
      <c r="W265">
        <f>HYPERLINK("https://klasma.github.io/Logging_0488/klagomålsmail/A 55760-2020 FSC-klagomål mail.docx", "A 55760-2020")</f>
        <v/>
      </c>
      <c r="X265">
        <f>HYPERLINK("https://klasma.github.io/Logging_0488/tillsyn/A 55760-2020 tillsynsbegäran.docx", "A 55760-2020")</f>
        <v/>
      </c>
      <c r="Y265">
        <f>HYPERLINK("https://klasma.github.io/Logging_0488/tillsynsmail/A 55760-2020 tillsynsbegäran mail.docx", "A 55760-2020")</f>
        <v/>
      </c>
    </row>
    <row r="266" ht="15" customHeight="1">
      <c r="A266" t="inlineStr">
        <is>
          <t>A 56228-2020</t>
        </is>
      </c>
      <c r="B266" s="1" t="n">
        <v>44134</v>
      </c>
      <c r="C266" s="1" t="n">
        <v>45216</v>
      </c>
      <c r="D266" t="inlineStr">
        <is>
          <t>SÖDERMANLANDS LÄN</t>
        </is>
      </c>
      <c r="E266" t="inlineStr">
        <is>
          <t>ESKILSTUNA</t>
        </is>
      </c>
      <c r="G266" t="n">
        <v>2.7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Blåsippa</t>
        </is>
      </c>
      <c r="S266">
        <f>HYPERLINK("https://klasma.github.io/Logging_0484/artfynd/A 56228-2020 artfynd.xlsx", "A 56228-2020")</f>
        <v/>
      </c>
      <c r="T266">
        <f>HYPERLINK("https://klasma.github.io/Logging_0484/kartor/A 56228-2020 karta.png", "A 56228-2020")</f>
        <v/>
      </c>
      <c r="V266">
        <f>HYPERLINK("https://klasma.github.io/Logging_0484/klagomål/A 56228-2020 FSC-klagomål.docx", "A 56228-2020")</f>
        <v/>
      </c>
      <c r="W266">
        <f>HYPERLINK("https://klasma.github.io/Logging_0484/klagomålsmail/A 56228-2020 FSC-klagomål mail.docx", "A 56228-2020")</f>
        <v/>
      </c>
      <c r="X266">
        <f>HYPERLINK("https://klasma.github.io/Logging_0484/tillsyn/A 56228-2020 tillsynsbegäran.docx", "A 56228-2020")</f>
        <v/>
      </c>
      <c r="Y266">
        <f>HYPERLINK("https://klasma.github.io/Logging_0484/tillsynsmail/A 56228-2020 tillsynsbegäran mail.docx", "A 56228-2020")</f>
        <v/>
      </c>
    </row>
    <row r="267" ht="15" customHeight="1">
      <c r="A267" t="inlineStr">
        <is>
          <t>A 58011-2020</t>
        </is>
      </c>
      <c r="B267" s="1" t="n">
        <v>44141</v>
      </c>
      <c r="C267" s="1" t="n">
        <v>45216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Kommuner</t>
        </is>
      </c>
      <c r="G267" t="n">
        <v>11.1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Druvfingersvamp</t>
        </is>
      </c>
      <c r="S267">
        <f>HYPERLINK("https://klasma.github.io/Logging_0486/artfynd/A 58011-2020 artfynd.xlsx", "A 58011-2020")</f>
        <v/>
      </c>
      <c r="T267">
        <f>HYPERLINK("https://klasma.github.io/Logging_0486/kartor/A 58011-2020 karta.png", "A 58011-2020")</f>
        <v/>
      </c>
      <c r="V267">
        <f>HYPERLINK("https://klasma.github.io/Logging_0486/klagomål/A 58011-2020 FSC-klagomål.docx", "A 58011-2020")</f>
        <v/>
      </c>
      <c r="W267">
        <f>HYPERLINK("https://klasma.github.io/Logging_0486/klagomålsmail/A 58011-2020 FSC-klagomål mail.docx", "A 58011-2020")</f>
        <v/>
      </c>
      <c r="X267">
        <f>HYPERLINK("https://klasma.github.io/Logging_0486/tillsyn/A 58011-2020 tillsynsbegäran.docx", "A 58011-2020")</f>
        <v/>
      </c>
      <c r="Y267">
        <f>HYPERLINK("https://klasma.github.io/Logging_0486/tillsynsmail/A 58011-2020 tillsynsbegäran mail.docx", "A 58011-2020")</f>
        <v/>
      </c>
    </row>
    <row r="268" ht="15" customHeight="1">
      <c r="A268" t="inlineStr">
        <is>
          <t>A 64960-2020</t>
        </is>
      </c>
      <c r="B268" s="1" t="n">
        <v>44167</v>
      </c>
      <c r="C268" s="1" t="n">
        <v>45216</v>
      </c>
      <c r="D268" t="inlineStr">
        <is>
          <t>SÖDERMANLANDS LÄN</t>
        </is>
      </c>
      <c r="E268" t="inlineStr">
        <is>
          <t>STRÄNGNÄS</t>
        </is>
      </c>
      <c r="G268" t="n">
        <v>7.7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Knärot</t>
        </is>
      </c>
      <c r="S268">
        <f>HYPERLINK("https://klasma.github.io/Logging_0486/artfynd/A 64960-2020 artfynd.xlsx", "A 64960-2020")</f>
        <v/>
      </c>
      <c r="T268">
        <f>HYPERLINK("https://klasma.github.io/Logging_0486/kartor/A 64960-2020 karta.png", "A 64960-2020")</f>
        <v/>
      </c>
      <c r="U268">
        <f>HYPERLINK("https://klasma.github.io/Logging_0486/knärot/A 64960-2020 karta knärot.png", "A 64960-2020")</f>
        <v/>
      </c>
      <c r="V268">
        <f>HYPERLINK("https://klasma.github.io/Logging_0486/klagomål/A 64960-2020 FSC-klagomål.docx", "A 64960-2020")</f>
        <v/>
      </c>
      <c r="W268">
        <f>HYPERLINK("https://klasma.github.io/Logging_0486/klagomålsmail/A 64960-2020 FSC-klagomål mail.docx", "A 64960-2020")</f>
        <v/>
      </c>
      <c r="X268">
        <f>HYPERLINK("https://klasma.github.io/Logging_0486/tillsyn/A 64960-2020 tillsynsbegäran.docx", "A 64960-2020")</f>
        <v/>
      </c>
      <c r="Y268">
        <f>HYPERLINK("https://klasma.github.io/Logging_0486/tillsynsmail/A 64960-2020 tillsynsbegäran mail.docx", "A 64960-2020")</f>
        <v/>
      </c>
    </row>
    <row r="269" ht="15" customHeight="1">
      <c r="A269" t="inlineStr">
        <is>
          <t>A 66876-2020</t>
        </is>
      </c>
      <c r="B269" s="1" t="n">
        <v>44180</v>
      </c>
      <c r="C269" s="1" t="n">
        <v>45216</v>
      </c>
      <c r="D269" t="inlineStr">
        <is>
          <t>SÖDERMANLANDS LÄN</t>
        </is>
      </c>
      <c r="E269" t="inlineStr">
        <is>
          <t>KATRINEHOLM</t>
        </is>
      </c>
      <c r="G269" t="n">
        <v>3.7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Dvärghäxört</t>
        </is>
      </c>
      <c r="S269">
        <f>HYPERLINK("https://klasma.github.io/Logging_0483/artfynd/A 66876-2020 artfynd.xlsx", "A 66876-2020")</f>
        <v/>
      </c>
      <c r="T269">
        <f>HYPERLINK("https://klasma.github.io/Logging_0483/kartor/A 66876-2020 karta.png", "A 66876-2020")</f>
        <v/>
      </c>
      <c r="V269">
        <f>HYPERLINK("https://klasma.github.io/Logging_0483/klagomål/A 66876-2020 FSC-klagomål.docx", "A 66876-2020")</f>
        <v/>
      </c>
      <c r="W269">
        <f>HYPERLINK("https://klasma.github.io/Logging_0483/klagomålsmail/A 66876-2020 FSC-klagomål mail.docx", "A 66876-2020")</f>
        <v/>
      </c>
      <c r="X269">
        <f>HYPERLINK("https://klasma.github.io/Logging_0483/tillsyn/A 66876-2020 tillsynsbegäran.docx", "A 66876-2020")</f>
        <v/>
      </c>
      <c r="Y269">
        <f>HYPERLINK("https://klasma.github.io/Logging_0483/tillsynsmail/A 66876-2020 tillsynsbegäran mail.docx", "A 66876-2020")</f>
        <v/>
      </c>
    </row>
    <row r="270" ht="15" customHeight="1">
      <c r="A270" t="inlineStr">
        <is>
          <t>A 7130-2021</t>
        </is>
      </c>
      <c r="B270" s="1" t="n">
        <v>44238</v>
      </c>
      <c r="C270" s="1" t="n">
        <v>45216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Kommuner</t>
        </is>
      </c>
      <c r="G270" t="n">
        <v>4.1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Stor aspticka</t>
        </is>
      </c>
      <c r="S270">
        <f>HYPERLINK("https://klasma.github.io/Logging_0480/artfynd/A 7130-2021 artfynd.xlsx", "A 7130-2021")</f>
        <v/>
      </c>
      <c r="T270">
        <f>HYPERLINK("https://klasma.github.io/Logging_0480/kartor/A 7130-2021 karta.png", "A 7130-2021")</f>
        <v/>
      </c>
      <c r="V270">
        <f>HYPERLINK("https://klasma.github.io/Logging_0480/klagomål/A 7130-2021 FSC-klagomål.docx", "A 7130-2021")</f>
        <v/>
      </c>
      <c r="W270">
        <f>HYPERLINK("https://klasma.github.io/Logging_0480/klagomålsmail/A 7130-2021 FSC-klagomål mail.docx", "A 7130-2021")</f>
        <v/>
      </c>
      <c r="X270">
        <f>HYPERLINK("https://klasma.github.io/Logging_0480/tillsyn/A 7130-2021 tillsynsbegäran.docx", "A 7130-2021")</f>
        <v/>
      </c>
      <c r="Y270">
        <f>HYPERLINK("https://klasma.github.io/Logging_0480/tillsynsmail/A 7130-2021 tillsynsbegäran mail.docx", "A 7130-2021")</f>
        <v/>
      </c>
    </row>
    <row r="271" ht="15" customHeight="1">
      <c r="A271" t="inlineStr">
        <is>
          <t>A 11150-2021</t>
        </is>
      </c>
      <c r="B271" s="1" t="n">
        <v>44261</v>
      </c>
      <c r="C271" s="1" t="n">
        <v>45216</v>
      </c>
      <c r="D271" t="inlineStr">
        <is>
          <t>SÖDERMANLANDS LÄN</t>
        </is>
      </c>
      <c r="E271" t="inlineStr">
        <is>
          <t>GNESTA</t>
        </is>
      </c>
      <c r="G271" t="n">
        <v>0.8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HYPERLINK("https://klasma.github.io/Logging_0461/artfynd/A 11150-2021 artfynd.xlsx", "A 11150-2021")</f>
        <v/>
      </c>
      <c r="T271">
        <f>HYPERLINK("https://klasma.github.io/Logging_0461/kartor/A 11150-2021 karta.png", "A 11150-2021")</f>
        <v/>
      </c>
      <c r="V271">
        <f>HYPERLINK("https://klasma.github.io/Logging_0461/klagomål/A 11150-2021 FSC-klagomål.docx", "A 11150-2021")</f>
        <v/>
      </c>
      <c r="W271">
        <f>HYPERLINK("https://klasma.github.io/Logging_0461/klagomålsmail/A 11150-2021 FSC-klagomål mail.docx", "A 11150-2021")</f>
        <v/>
      </c>
      <c r="X271">
        <f>HYPERLINK("https://klasma.github.io/Logging_0461/tillsyn/A 11150-2021 tillsynsbegäran.docx", "A 11150-2021")</f>
        <v/>
      </c>
      <c r="Y271">
        <f>HYPERLINK("https://klasma.github.io/Logging_0461/tillsynsmail/A 11150-2021 tillsynsbegäran mail.docx", "A 11150-2021")</f>
        <v/>
      </c>
    </row>
    <row r="272" ht="15" customHeight="1">
      <c r="A272" t="inlineStr">
        <is>
          <t>A 11354-2021</t>
        </is>
      </c>
      <c r="B272" s="1" t="n">
        <v>44263</v>
      </c>
      <c r="C272" s="1" t="n">
        <v>45216</v>
      </c>
      <c r="D272" t="inlineStr">
        <is>
          <t>SÖDERMANLANDS LÄN</t>
        </is>
      </c>
      <c r="E272" t="inlineStr">
        <is>
          <t>NYKÖPING</t>
        </is>
      </c>
      <c r="G272" t="n">
        <v>4.2</v>
      </c>
      <c r="H272" t="n">
        <v>1</v>
      </c>
      <c r="I272" t="n">
        <v>0</v>
      </c>
      <c r="J272" t="n">
        <v>0</v>
      </c>
      <c r="K272" t="n">
        <v>1</v>
      </c>
      <c r="L272" t="n">
        <v>0</v>
      </c>
      <c r="M272" t="n">
        <v>0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Mellanlummer</t>
        </is>
      </c>
      <c r="S272">
        <f>HYPERLINK("https://klasma.github.io/Logging_0480/artfynd/A 11354-2021 artfynd.xlsx", "A 11354-2021")</f>
        <v/>
      </c>
      <c r="T272">
        <f>HYPERLINK("https://klasma.github.io/Logging_0480/kartor/A 11354-2021 karta.png", "A 11354-2021")</f>
        <v/>
      </c>
      <c r="V272">
        <f>HYPERLINK("https://klasma.github.io/Logging_0480/klagomål/A 11354-2021 FSC-klagomål.docx", "A 11354-2021")</f>
        <v/>
      </c>
      <c r="W272">
        <f>HYPERLINK("https://klasma.github.io/Logging_0480/klagomålsmail/A 11354-2021 FSC-klagomål mail.docx", "A 11354-2021")</f>
        <v/>
      </c>
      <c r="X272">
        <f>HYPERLINK("https://klasma.github.io/Logging_0480/tillsyn/A 11354-2021 tillsynsbegäran.docx", "A 11354-2021")</f>
        <v/>
      </c>
      <c r="Y272">
        <f>HYPERLINK("https://klasma.github.io/Logging_0480/tillsynsmail/A 11354-2021 tillsynsbegäran mail.docx", "A 11354-2021")</f>
        <v/>
      </c>
    </row>
    <row r="273" ht="15" customHeight="1">
      <c r="A273" t="inlineStr">
        <is>
          <t>A 16826-2021</t>
        </is>
      </c>
      <c r="B273" s="1" t="n">
        <v>44295</v>
      </c>
      <c r="C273" s="1" t="n">
        <v>45216</v>
      </c>
      <c r="D273" t="inlineStr">
        <is>
          <t>SÖDERMANLANDS LÄN</t>
        </is>
      </c>
      <c r="E273" t="inlineStr">
        <is>
          <t>GNESTA</t>
        </is>
      </c>
      <c r="G273" t="n">
        <v>13.9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Motaggsvamp</t>
        </is>
      </c>
      <c r="S273">
        <f>HYPERLINK("https://klasma.github.io/Logging_0461/artfynd/A 16826-2021 artfynd.xlsx", "A 16826-2021")</f>
        <v/>
      </c>
      <c r="T273">
        <f>HYPERLINK("https://klasma.github.io/Logging_0461/kartor/A 16826-2021 karta.png", "A 16826-2021")</f>
        <v/>
      </c>
      <c r="V273">
        <f>HYPERLINK("https://klasma.github.io/Logging_0461/klagomål/A 16826-2021 FSC-klagomål.docx", "A 16826-2021")</f>
        <v/>
      </c>
      <c r="W273">
        <f>HYPERLINK("https://klasma.github.io/Logging_0461/klagomålsmail/A 16826-2021 FSC-klagomål mail.docx", "A 16826-2021")</f>
        <v/>
      </c>
      <c r="X273">
        <f>HYPERLINK("https://klasma.github.io/Logging_0461/tillsyn/A 16826-2021 tillsynsbegäran.docx", "A 16826-2021")</f>
        <v/>
      </c>
      <c r="Y273">
        <f>HYPERLINK("https://klasma.github.io/Logging_0461/tillsynsmail/A 16826-2021 tillsynsbegäran mail.docx", "A 16826-2021")</f>
        <v/>
      </c>
    </row>
    <row r="274" ht="15" customHeight="1">
      <c r="A274" t="inlineStr">
        <is>
          <t>A 24223-2021</t>
        </is>
      </c>
      <c r="B274" s="1" t="n">
        <v>44336</v>
      </c>
      <c r="C274" s="1" t="n">
        <v>45216</v>
      </c>
      <c r="D274" t="inlineStr">
        <is>
          <t>SÖDERMANLANDS LÄN</t>
        </is>
      </c>
      <c r="E274" t="inlineStr">
        <is>
          <t>VINGÅKER</t>
        </is>
      </c>
      <c r="G274" t="n">
        <v>4.2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HYPERLINK("https://klasma.github.io/Logging_0428/artfynd/A 24223-2021 artfynd.xlsx", "A 24223-2021")</f>
        <v/>
      </c>
      <c r="T274">
        <f>HYPERLINK("https://klasma.github.io/Logging_0428/kartor/A 24223-2021 karta.png", "A 24223-2021")</f>
        <v/>
      </c>
      <c r="V274">
        <f>HYPERLINK("https://klasma.github.io/Logging_0428/klagomål/A 24223-2021 FSC-klagomål.docx", "A 24223-2021")</f>
        <v/>
      </c>
      <c r="W274">
        <f>HYPERLINK("https://klasma.github.io/Logging_0428/klagomålsmail/A 24223-2021 FSC-klagomål mail.docx", "A 24223-2021")</f>
        <v/>
      </c>
      <c r="X274">
        <f>HYPERLINK("https://klasma.github.io/Logging_0428/tillsyn/A 24223-2021 tillsynsbegäran.docx", "A 24223-2021")</f>
        <v/>
      </c>
      <c r="Y274">
        <f>HYPERLINK("https://klasma.github.io/Logging_0428/tillsynsmail/A 24223-2021 tillsynsbegäran mail.docx", "A 24223-2021")</f>
        <v/>
      </c>
    </row>
    <row r="275" ht="15" customHeight="1">
      <c r="A275" t="inlineStr">
        <is>
          <t>A 24301-2021</t>
        </is>
      </c>
      <c r="B275" s="1" t="n">
        <v>44337</v>
      </c>
      <c r="C275" s="1" t="n">
        <v>45216</v>
      </c>
      <c r="D275" t="inlineStr">
        <is>
          <t>SÖDERMANLANDS LÄN</t>
        </is>
      </c>
      <c r="E275" t="inlineStr">
        <is>
          <t>VINGÅKER</t>
        </is>
      </c>
      <c r="F275" t="inlineStr">
        <is>
          <t>Sveaskog</t>
        </is>
      </c>
      <c r="G275" t="n">
        <v>1.7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Järpe</t>
        </is>
      </c>
      <c r="S275">
        <f>HYPERLINK("https://klasma.github.io/Logging_0428/artfynd/A 24301-2021 artfynd.xlsx", "A 24301-2021")</f>
        <v/>
      </c>
      <c r="T275">
        <f>HYPERLINK("https://klasma.github.io/Logging_0428/kartor/A 24301-2021 karta.png", "A 24301-2021")</f>
        <v/>
      </c>
      <c r="V275">
        <f>HYPERLINK("https://klasma.github.io/Logging_0428/klagomål/A 24301-2021 FSC-klagomål.docx", "A 24301-2021")</f>
        <v/>
      </c>
      <c r="W275">
        <f>HYPERLINK("https://klasma.github.io/Logging_0428/klagomålsmail/A 24301-2021 FSC-klagomål mail.docx", "A 24301-2021")</f>
        <v/>
      </c>
      <c r="X275">
        <f>HYPERLINK("https://klasma.github.io/Logging_0428/tillsyn/A 24301-2021 tillsynsbegäran.docx", "A 24301-2021")</f>
        <v/>
      </c>
      <c r="Y275">
        <f>HYPERLINK("https://klasma.github.io/Logging_0428/tillsynsmail/A 24301-2021 tillsynsbegäran mail.docx", "A 24301-2021")</f>
        <v/>
      </c>
    </row>
    <row r="276" ht="15" customHeight="1">
      <c r="A276" t="inlineStr">
        <is>
          <t>A 30155-2021</t>
        </is>
      </c>
      <c r="B276" s="1" t="n">
        <v>44363</v>
      </c>
      <c r="C276" s="1" t="n">
        <v>45216</v>
      </c>
      <c r="D276" t="inlineStr">
        <is>
          <t>SÖDERMANLANDS LÄN</t>
        </is>
      </c>
      <c r="E276" t="inlineStr">
        <is>
          <t>NYKÖPING</t>
        </is>
      </c>
      <c r="G276" t="n">
        <v>8.5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Havsörn</t>
        </is>
      </c>
      <c r="S276">
        <f>HYPERLINK("https://klasma.github.io/Logging_0480/artfynd/A 30155-2021 artfynd.xlsx", "A 30155-2021")</f>
        <v/>
      </c>
      <c r="T276">
        <f>HYPERLINK("https://klasma.github.io/Logging_0480/kartor/A 30155-2021 karta.png", "A 30155-2021")</f>
        <v/>
      </c>
      <c r="V276">
        <f>HYPERLINK("https://klasma.github.io/Logging_0480/klagomål/A 30155-2021 FSC-klagomål.docx", "A 30155-2021")</f>
        <v/>
      </c>
      <c r="W276">
        <f>HYPERLINK("https://klasma.github.io/Logging_0480/klagomålsmail/A 30155-2021 FSC-klagomål mail.docx", "A 30155-2021")</f>
        <v/>
      </c>
      <c r="X276">
        <f>HYPERLINK("https://klasma.github.io/Logging_0480/tillsyn/A 30155-2021 tillsynsbegäran.docx", "A 30155-2021")</f>
        <v/>
      </c>
      <c r="Y276">
        <f>HYPERLINK("https://klasma.github.io/Logging_0480/tillsynsmail/A 30155-2021 tillsynsbegäran mail.docx", "A 30155-2021")</f>
        <v/>
      </c>
    </row>
    <row r="277" ht="15" customHeight="1">
      <c r="A277" t="inlineStr">
        <is>
          <t>A 33191-2021</t>
        </is>
      </c>
      <c r="B277" s="1" t="n">
        <v>44376</v>
      </c>
      <c r="C277" s="1" t="n">
        <v>45216</v>
      </c>
      <c r="D277" t="inlineStr">
        <is>
          <t>SÖDERMANLANDS LÄN</t>
        </is>
      </c>
      <c r="E277" t="inlineStr">
        <is>
          <t>STRÄNGNÄS</t>
        </is>
      </c>
      <c r="G277" t="n">
        <v>17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Fällmossa</t>
        </is>
      </c>
      <c r="S277">
        <f>HYPERLINK("https://klasma.github.io/Logging_0486/artfynd/A 33191-2021 artfynd.xlsx", "A 33191-2021")</f>
        <v/>
      </c>
      <c r="T277">
        <f>HYPERLINK("https://klasma.github.io/Logging_0486/kartor/A 33191-2021 karta.png", "A 33191-2021")</f>
        <v/>
      </c>
      <c r="V277">
        <f>HYPERLINK("https://klasma.github.io/Logging_0486/klagomål/A 33191-2021 FSC-klagomål.docx", "A 33191-2021")</f>
        <v/>
      </c>
      <c r="W277">
        <f>HYPERLINK("https://klasma.github.io/Logging_0486/klagomålsmail/A 33191-2021 FSC-klagomål mail.docx", "A 33191-2021")</f>
        <v/>
      </c>
      <c r="X277">
        <f>HYPERLINK("https://klasma.github.io/Logging_0486/tillsyn/A 33191-2021 tillsynsbegäran.docx", "A 33191-2021")</f>
        <v/>
      </c>
      <c r="Y277">
        <f>HYPERLINK("https://klasma.github.io/Logging_0486/tillsynsmail/A 33191-2021 tillsynsbegäran mail.docx", "A 33191-2021")</f>
        <v/>
      </c>
    </row>
    <row r="278" ht="15" customHeight="1">
      <c r="A278" t="inlineStr">
        <is>
          <t>A 33759-2021</t>
        </is>
      </c>
      <c r="B278" s="1" t="n">
        <v>44378</v>
      </c>
      <c r="C278" s="1" t="n">
        <v>45216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Allmännings- och besparingsskogar</t>
        </is>
      </c>
      <c r="G278" t="n">
        <v>20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Mattlummer</t>
        </is>
      </c>
      <c r="S278">
        <f>HYPERLINK("https://klasma.github.io/Logging_0484/artfynd/A 33759-2021 artfynd.xlsx", "A 33759-2021")</f>
        <v/>
      </c>
      <c r="T278">
        <f>HYPERLINK("https://klasma.github.io/Logging_0484/kartor/A 33759-2021 karta.png", "A 33759-2021")</f>
        <v/>
      </c>
      <c r="V278">
        <f>HYPERLINK("https://klasma.github.io/Logging_0484/klagomål/A 33759-2021 FSC-klagomål.docx", "A 33759-2021")</f>
        <v/>
      </c>
      <c r="W278">
        <f>HYPERLINK("https://klasma.github.io/Logging_0484/klagomålsmail/A 33759-2021 FSC-klagomål mail.docx", "A 33759-2021")</f>
        <v/>
      </c>
      <c r="X278">
        <f>HYPERLINK("https://klasma.github.io/Logging_0484/tillsyn/A 33759-2021 tillsynsbegäran.docx", "A 33759-2021")</f>
        <v/>
      </c>
      <c r="Y278">
        <f>HYPERLINK("https://klasma.github.io/Logging_0484/tillsynsmail/A 33759-2021 tillsynsbegäran mail.docx", "A 33759-2021")</f>
        <v/>
      </c>
    </row>
    <row r="279" ht="15" customHeight="1">
      <c r="A279" t="inlineStr">
        <is>
          <t>A 37347-2021</t>
        </is>
      </c>
      <c r="B279" s="1" t="n">
        <v>44397</v>
      </c>
      <c r="C279" s="1" t="n">
        <v>45216</v>
      </c>
      <c r="D279" t="inlineStr">
        <is>
          <t>SÖDERMANLANDS LÄN</t>
        </is>
      </c>
      <c r="E279" t="inlineStr">
        <is>
          <t>FLEN</t>
        </is>
      </c>
      <c r="F279" t="inlineStr">
        <is>
          <t>Övriga statliga verk och myndigheter</t>
        </is>
      </c>
      <c r="G279" t="n">
        <v>5.9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Vanlig snok</t>
        </is>
      </c>
      <c r="S279">
        <f>HYPERLINK("https://klasma.github.io/Logging_0482/artfynd/A 37347-2021 artfynd.xlsx", "A 37347-2021")</f>
        <v/>
      </c>
      <c r="T279">
        <f>HYPERLINK("https://klasma.github.io/Logging_0482/kartor/A 37347-2021 karta.png", "A 37347-2021")</f>
        <v/>
      </c>
      <c r="V279">
        <f>HYPERLINK("https://klasma.github.io/Logging_0482/klagomål/A 37347-2021 FSC-klagomål.docx", "A 37347-2021")</f>
        <v/>
      </c>
      <c r="W279">
        <f>HYPERLINK("https://klasma.github.io/Logging_0482/klagomålsmail/A 37347-2021 FSC-klagomål mail.docx", "A 37347-2021")</f>
        <v/>
      </c>
      <c r="X279">
        <f>HYPERLINK("https://klasma.github.io/Logging_0482/tillsyn/A 37347-2021 tillsynsbegäran.docx", "A 37347-2021")</f>
        <v/>
      </c>
      <c r="Y279">
        <f>HYPERLINK("https://klasma.github.io/Logging_0482/tillsynsmail/A 37347-2021 tillsynsbegäran mail.docx", "A 37347-2021")</f>
        <v/>
      </c>
    </row>
    <row r="280" ht="15" customHeight="1">
      <c r="A280" t="inlineStr">
        <is>
          <t>A 37836-2021</t>
        </is>
      </c>
      <c r="B280" s="1" t="n">
        <v>44403</v>
      </c>
      <c r="C280" s="1" t="n">
        <v>45216</v>
      </c>
      <c r="D280" t="inlineStr">
        <is>
          <t>SÖDERMANLANDS LÄN</t>
        </is>
      </c>
      <c r="E280" t="inlineStr">
        <is>
          <t>TROSA</t>
        </is>
      </c>
      <c r="F280" t="inlineStr">
        <is>
          <t>Övriga statliga verk och myndigheter</t>
        </is>
      </c>
      <c r="G280" t="n">
        <v>1.9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Knärot</t>
        </is>
      </c>
      <c r="S280">
        <f>HYPERLINK("https://klasma.github.io/Logging_0488/artfynd/A 37836-2021 artfynd.xlsx", "A 37836-2021")</f>
        <v/>
      </c>
      <c r="T280">
        <f>HYPERLINK("https://klasma.github.io/Logging_0488/kartor/A 37836-2021 karta.png", "A 37836-2021")</f>
        <v/>
      </c>
      <c r="U280">
        <f>HYPERLINK("https://klasma.github.io/Logging_0488/knärot/A 37836-2021 karta knärot.png", "A 37836-2021")</f>
        <v/>
      </c>
      <c r="V280">
        <f>HYPERLINK("https://klasma.github.io/Logging_0488/klagomål/A 37836-2021 FSC-klagomål.docx", "A 37836-2021")</f>
        <v/>
      </c>
      <c r="W280">
        <f>HYPERLINK("https://klasma.github.io/Logging_0488/klagomålsmail/A 37836-2021 FSC-klagomål mail.docx", "A 37836-2021")</f>
        <v/>
      </c>
      <c r="X280">
        <f>HYPERLINK("https://klasma.github.io/Logging_0488/tillsyn/A 37836-2021 tillsynsbegäran.docx", "A 37836-2021")</f>
        <v/>
      </c>
      <c r="Y280">
        <f>HYPERLINK("https://klasma.github.io/Logging_0488/tillsynsmail/A 37836-2021 tillsynsbegäran mail.docx", "A 37836-2021")</f>
        <v/>
      </c>
    </row>
    <row r="281" ht="15" customHeight="1">
      <c r="A281" t="inlineStr">
        <is>
          <t>A 37879-2021</t>
        </is>
      </c>
      <c r="B281" s="1" t="n">
        <v>44403</v>
      </c>
      <c r="C281" s="1" t="n">
        <v>45216</v>
      </c>
      <c r="D281" t="inlineStr">
        <is>
          <t>SÖDERMANLANDS LÄN</t>
        </is>
      </c>
      <c r="E281" t="inlineStr">
        <is>
          <t>NYKÖPING</t>
        </is>
      </c>
      <c r="G281" t="n">
        <v>1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Persiljespindling</t>
        </is>
      </c>
      <c r="S281">
        <f>HYPERLINK("https://klasma.github.io/Logging_0480/artfynd/A 37879-2021 artfynd.xlsx", "A 37879-2021")</f>
        <v/>
      </c>
      <c r="T281">
        <f>HYPERLINK("https://klasma.github.io/Logging_0480/kartor/A 37879-2021 karta.png", "A 37879-2021")</f>
        <v/>
      </c>
      <c r="V281">
        <f>HYPERLINK("https://klasma.github.io/Logging_0480/klagomål/A 37879-2021 FSC-klagomål.docx", "A 37879-2021")</f>
        <v/>
      </c>
      <c r="W281">
        <f>HYPERLINK("https://klasma.github.io/Logging_0480/klagomålsmail/A 37879-2021 FSC-klagomål mail.docx", "A 37879-2021")</f>
        <v/>
      </c>
      <c r="X281">
        <f>HYPERLINK("https://klasma.github.io/Logging_0480/tillsyn/A 37879-2021 tillsynsbegäran.docx", "A 37879-2021")</f>
        <v/>
      </c>
      <c r="Y281">
        <f>HYPERLINK("https://klasma.github.io/Logging_0480/tillsynsmail/A 37879-2021 tillsynsbegäran mail.docx", "A 37879-2021")</f>
        <v/>
      </c>
    </row>
    <row r="282" ht="15" customHeight="1">
      <c r="A282" t="inlineStr">
        <is>
          <t>A 38366-2021</t>
        </is>
      </c>
      <c r="B282" s="1" t="n">
        <v>44406</v>
      </c>
      <c r="C282" s="1" t="n">
        <v>45216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Holmen skog AB</t>
        </is>
      </c>
      <c r="G282" t="n">
        <v>2.6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Skogsklocka</t>
        </is>
      </c>
      <c r="S282">
        <f>HYPERLINK("https://klasma.github.io/Logging_0480/artfynd/A 38366-2021 artfynd.xlsx", "A 38366-2021")</f>
        <v/>
      </c>
      <c r="T282">
        <f>HYPERLINK("https://klasma.github.io/Logging_0480/kartor/A 38366-2021 karta.png", "A 38366-2021")</f>
        <v/>
      </c>
      <c r="V282">
        <f>HYPERLINK("https://klasma.github.io/Logging_0480/klagomål/A 38366-2021 FSC-klagomål.docx", "A 38366-2021")</f>
        <v/>
      </c>
      <c r="W282">
        <f>HYPERLINK("https://klasma.github.io/Logging_0480/klagomålsmail/A 38366-2021 FSC-klagomål mail.docx", "A 38366-2021")</f>
        <v/>
      </c>
      <c r="X282">
        <f>HYPERLINK("https://klasma.github.io/Logging_0480/tillsyn/A 38366-2021 tillsynsbegäran.docx", "A 38366-2021")</f>
        <v/>
      </c>
      <c r="Y282">
        <f>HYPERLINK("https://klasma.github.io/Logging_0480/tillsynsmail/A 38366-2021 tillsynsbegäran mail.docx", "A 38366-2021")</f>
        <v/>
      </c>
    </row>
    <row r="283" ht="15" customHeight="1">
      <c r="A283" t="inlineStr">
        <is>
          <t>A 42903-2021</t>
        </is>
      </c>
      <c r="B283" s="1" t="n">
        <v>44430</v>
      </c>
      <c r="C283" s="1" t="n">
        <v>45216</v>
      </c>
      <c r="D283" t="inlineStr">
        <is>
          <t>SÖDERMANLANDS LÄN</t>
        </is>
      </c>
      <c r="E283" t="inlineStr">
        <is>
          <t>NYKÖPING</t>
        </is>
      </c>
      <c r="G283" t="n">
        <v>20.2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Gullklöver</t>
        </is>
      </c>
      <c r="S283">
        <f>HYPERLINK("https://klasma.github.io/Logging_0480/artfynd/A 42903-2021 artfynd.xlsx", "A 42903-2021")</f>
        <v/>
      </c>
      <c r="T283">
        <f>HYPERLINK("https://klasma.github.io/Logging_0480/kartor/A 42903-2021 karta.png", "A 42903-2021")</f>
        <v/>
      </c>
      <c r="V283">
        <f>HYPERLINK("https://klasma.github.io/Logging_0480/klagomål/A 42903-2021 FSC-klagomål.docx", "A 42903-2021")</f>
        <v/>
      </c>
      <c r="W283">
        <f>HYPERLINK("https://klasma.github.io/Logging_0480/klagomålsmail/A 42903-2021 FSC-klagomål mail.docx", "A 42903-2021")</f>
        <v/>
      </c>
      <c r="X283">
        <f>HYPERLINK("https://klasma.github.io/Logging_0480/tillsyn/A 42903-2021 tillsynsbegäran.docx", "A 42903-2021")</f>
        <v/>
      </c>
      <c r="Y283">
        <f>HYPERLINK("https://klasma.github.io/Logging_0480/tillsynsmail/A 42903-2021 tillsynsbegäran mail.docx", "A 42903-2021")</f>
        <v/>
      </c>
    </row>
    <row r="284" ht="15" customHeight="1">
      <c r="A284" t="inlineStr">
        <is>
          <t>A 43536-2021</t>
        </is>
      </c>
      <c r="B284" s="1" t="n">
        <v>44433</v>
      </c>
      <c r="C284" s="1" t="n">
        <v>45216</v>
      </c>
      <c r="D284" t="inlineStr">
        <is>
          <t>SÖDERMANLANDS LÄN</t>
        </is>
      </c>
      <c r="E284" t="inlineStr">
        <is>
          <t>KATRINEHOLM</t>
        </is>
      </c>
      <c r="G284" t="n">
        <v>6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Pilblad</t>
        </is>
      </c>
      <c r="S284">
        <f>HYPERLINK("https://klasma.github.io/Logging_0483/artfynd/A 43536-2021 artfynd.xlsx", "A 43536-2021")</f>
        <v/>
      </c>
      <c r="T284">
        <f>HYPERLINK("https://klasma.github.io/Logging_0483/kartor/A 43536-2021 karta.png", "A 43536-2021")</f>
        <v/>
      </c>
      <c r="V284">
        <f>HYPERLINK("https://klasma.github.io/Logging_0483/klagomål/A 43536-2021 FSC-klagomål.docx", "A 43536-2021")</f>
        <v/>
      </c>
      <c r="W284">
        <f>HYPERLINK("https://klasma.github.io/Logging_0483/klagomålsmail/A 43536-2021 FSC-klagomål mail.docx", "A 43536-2021")</f>
        <v/>
      </c>
      <c r="X284">
        <f>HYPERLINK("https://klasma.github.io/Logging_0483/tillsyn/A 43536-2021 tillsynsbegäran.docx", "A 43536-2021")</f>
        <v/>
      </c>
      <c r="Y284">
        <f>HYPERLINK("https://klasma.github.io/Logging_0483/tillsynsmail/A 43536-2021 tillsynsbegäran mail.docx", "A 43536-2021")</f>
        <v/>
      </c>
    </row>
    <row r="285" ht="15" customHeight="1">
      <c r="A285" t="inlineStr">
        <is>
          <t>A 47095-2021</t>
        </is>
      </c>
      <c r="B285" s="1" t="n">
        <v>44446</v>
      </c>
      <c r="C285" s="1" t="n">
        <v>45216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1.4</v>
      </c>
      <c r="H285" t="n">
        <v>1</v>
      </c>
      <c r="I285" t="n">
        <v>0</v>
      </c>
      <c r="J285" t="n">
        <v>0</v>
      </c>
      <c r="K285" t="n">
        <v>1</v>
      </c>
      <c r="L285" t="n">
        <v>0</v>
      </c>
      <c r="M285" t="n">
        <v>0</v>
      </c>
      <c r="N285" t="n">
        <v>0</v>
      </c>
      <c r="O285" t="n">
        <v>1</v>
      </c>
      <c r="P285" t="n">
        <v>1</v>
      </c>
      <c r="Q285" t="n">
        <v>1</v>
      </c>
      <c r="R285" s="2" t="inlineStr">
        <is>
          <t>Kricka</t>
        </is>
      </c>
      <c r="S285">
        <f>HYPERLINK("https://klasma.github.io/Logging_0480/artfynd/A 47095-2021 artfynd.xlsx", "A 47095-2021")</f>
        <v/>
      </c>
      <c r="T285">
        <f>HYPERLINK("https://klasma.github.io/Logging_0480/kartor/A 47095-2021 karta.png", "A 47095-2021")</f>
        <v/>
      </c>
      <c r="V285">
        <f>HYPERLINK("https://klasma.github.io/Logging_0480/klagomål/A 47095-2021 FSC-klagomål.docx", "A 47095-2021")</f>
        <v/>
      </c>
      <c r="W285">
        <f>HYPERLINK("https://klasma.github.io/Logging_0480/klagomålsmail/A 47095-2021 FSC-klagomål mail.docx", "A 47095-2021")</f>
        <v/>
      </c>
      <c r="X285">
        <f>HYPERLINK("https://klasma.github.io/Logging_0480/tillsyn/A 47095-2021 tillsynsbegäran.docx", "A 47095-2021")</f>
        <v/>
      </c>
      <c r="Y285">
        <f>HYPERLINK("https://klasma.github.io/Logging_0480/tillsynsmail/A 47095-2021 tillsynsbegäran mail.docx", "A 47095-2021")</f>
        <v/>
      </c>
    </row>
    <row r="286" ht="15" customHeight="1">
      <c r="A286" t="inlineStr">
        <is>
          <t>A 47107-2021</t>
        </is>
      </c>
      <c r="B286" s="1" t="n">
        <v>44446</v>
      </c>
      <c r="C286" s="1" t="n">
        <v>45216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4.9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Lopplummer</t>
        </is>
      </c>
      <c r="S286">
        <f>HYPERLINK("https://klasma.github.io/Logging_0480/artfynd/A 47107-2021 artfynd.xlsx", "A 47107-2021")</f>
        <v/>
      </c>
      <c r="T286">
        <f>HYPERLINK("https://klasma.github.io/Logging_0480/kartor/A 47107-2021 karta.png", "A 47107-2021")</f>
        <v/>
      </c>
      <c r="V286">
        <f>HYPERLINK("https://klasma.github.io/Logging_0480/klagomål/A 47107-2021 FSC-klagomål.docx", "A 47107-2021")</f>
        <v/>
      </c>
      <c r="W286">
        <f>HYPERLINK("https://klasma.github.io/Logging_0480/klagomålsmail/A 47107-2021 FSC-klagomål mail.docx", "A 47107-2021")</f>
        <v/>
      </c>
      <c r="X286">
        <f>HYPERLINK("https://klasma.github.io/Logging_0480/tillsyn/A 47107-2021 tillsynsbegäran.docx", "A 47107-2021")</f>
        <v/>
      </c>
      <c r="Y286">
        <f>HYPERLINK("https://klasma.github.io/Logging_0480/tillsynsmail/A 47107-2021 tillsynsbegäran mail.docx", "A 47107-2021")</f>
        <v/>
      </c>
    </row>
    <row r="287" ht="15" customHeight="1">
      <c r="A287" t="inlineStr">
        <is>
          <t>A 53206-2021</t>
        </is>
      </c>
      <c r="B287" s="1" t="n">
        <v>44468</v>
      </c>
      <c r="C287" s="1" t="n">
        <v>45216</v>
      </c>
      <c r="D287" t="inlineStr">
        <is>
          <t>SÖDERMANLANDS LÄN</t>
        </is>
      </c>
      <c r="E287" t="inlineStr">
        <is>
          <t>ESKILSTUNA</t>
        </is>
      </c>
      <c r="G287" t="n">
        <v>12.8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Zontaggsvamp</t>
        </is>
      </c>
      <c r="S287">
        <f>HYPERLINK("https://klasma.github.io/Logging_0484/artfynd/A 53206-2021 artfynd.xlsx", "A 53206-2021")</f>
        <v/>
      </c>
      <c r="T287">
        <f>HYPERLINK("https://klasma.github.io/Logging_0484/kartor/A 53206-2021 karta.png", "A 53206-2021")</f>
        <v/>
      </c>
      <c r="V287">
        <f>HYPERLINK("https://klasma.github.io/Logging_0484/klagomål/A 53206-2021 FSC-klagomål.docx", "A 53206-2021")</f>
        <v/>
      </c>
      <c r="W287">
        <f>HYPERLINK("https://klasma.github.io/Logging_0484/klagomålsmail/A 53206-2021 FSC-klagomål mail.docx", "A 53206-2021")</f>
        <v/>
      </c>
      <c r="X287">
        <f>HYPERLINK("https://klasma.github.io/Logging_0484/tillsyn/A 53206-2021 tillsynsbegäran.docx", "A 53206-2021")</f>
        <v/>
      </c>
      <c r="Y287">
        <f>HYPERLINK("https://klasma.github.io/Logging_0484/tillsynsmail/A 53206-2021 tillsynsbegäran mail.docx", "A 53206-2021")</f>
        <v/>
      </c>
    </row>
    <row r="288" ht="15" customHeight="1">
      <c r="A288" t="inlineStr">
        <is>
          <t>A 56420-2021</t>
        </is>
      </c>
      <c r="B288" s="1" t="n">
        <v>44480</v>
      </c>
      <c r="C288" s="1" t="n">
        <v>45216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2.8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Björktrast</t>
        </is>
      </c>
      <c r="S288">
        <f>HYPERLINK("https://klasma.github.io/Logging_0480/artfynd/A 56420-2021 artfynd.xlsx", "A 56420-2021")</f>
        <v/>
      </c>
      <c r="T288">
        <f>HYPERLINK("https://klasma.github.io/Logging_0480/kartor/A 56420-2021 karta.png", "A 56420-2021")</f>
        <v/>
      </c>
      <c r="V288">
        <f>HYPERLINK("https://klasma.github.io/Logging_0480/klagomål/A 56420-2021 FSC-klagomål.docx", "A 56420-2021")</f>
        <v/>
      </c>
      <c r="W288">
        <f>HYPERLINK("https://klasma.github.io/Logging_0480/klagomålsmail/A 56420-2021 FSC-klagomål mail.docx", "A 56420-2021")</f>
        <v/>
      </c>
      <c r="X288">
        <f>HYPERLINK("https://klasma.github.io/Logging_0480/tillsyn/A 56420-2021 tillsynsbegäran.docx", "A 56420-2021")</f>
        <v/>
      </c>
      <c r="Y288">
        <f>HYPERLINK("https://klasma.github.io/Logging_0480/tillsynsmail/A 56420-2021 tillsynsbegäran mail.docx", "A 56420-2021")</f>
        <v/>
      </c>
    </row>
    <row r="289" ht="15" customHeight="1">
      <c r="A289" t="inlineStr">
        <is>
          <t>A 56897-2021</t>
        </is>
      </c>
      <c r="B289" s="1" t="n">
        <v>44481</v>
      </c>
      <c r="C289" s="1" t="n">
        <v>45216</v>
      </c>
      <c r="D289" t="inlineStr">
        <is>
          <t>SÖDERMANLANDS LÄN</t>
        </is>
      </c>
      <c r="E289" t="inlineStr">
        <is>
          <t>KATRINEHOLM</t>
        </is>
      </c>
      <c r="F289" t="inlineStr">
        <is>
          <t>Kommuner</t>
        </is>
      </c>
      <c r="G289" t="n">
        <v>9.4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56897-2021 artfynd.xlsx", "A 56897-2021")</f>
        <v/>
      </c>
      <c r="T289">
        <f>HYPERLINK("https://klasma.github.io/Logging_0483/kartor/A 56897-2021 karta.png", "A 56897-2021")</f>
        <v/>
      </c>
      <c r="V289">
        <f>HYPERLINK("https://klasma.github.io/Logging_0483/klagomål/A 56897-2021 FSC-klagomål.docx", "A 56897-2021")</f>
        <v/>
      </c>
      <c r="W289">
        <f>HYPERLINK("https://klasma.github.io/Logging_0483/klagomålsmail/A 56897-2021 FSC-klagomål mail.docx", "A 56897-2021")</f>
        <v/>
      </c>
      <c r="X289">
        <f>HYPERLINK("https://klasma.github.io/Logging_0483/tillsyn/A 56897-2021 tillsynsbegäran.docx", "A 56897-2021")</f>
        <v/>
      </c>
      <c r="Y289">
        <f>HYPERLINK("https://klasma.github.io/Logging_0483/tillsynsmail/A 56897-2021 tillsynsbegäran mail.docx", "A 56897-2021")</f>
        <v/>
      </c>
    </row>
    <row r="290" ht="15" customHeight="1">
      <c r="A290" t="inlineStr">
        <is>
          <t>A 57519-2021</t>
        </is>
      </c>
      <c r="B290" s="1" t="n">
        <v>44483</v>
      </c>
      <c r="C290" s="1" t="n">
        <v>45216</v>
      </c>
      <c r="D290" t="inlineStr">
        <is>
          <t>SÖDERMANLANDS LÄN</t>
        </is>
      </c>
      <c r="E290" t="inlineStr">
        <is>
          <t>KATRINEHOLM</t>
        </is>
      </c>
      <c r="G290" t="n">
        <v>0.7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57519-2021 artfynd.xlsx", "A 57519-2021")</f>
        <v/>
      </c>
      <c r="T290">
        <f>HYPERLINK("https://klasma.github.io/Logging_0483/kartor/A 57519-2021 karta.png", "A 57519-2021")</f>
        <v/>
      </c>
      <c r="V290">
        <f>HYPERLINK("https://klasma.github.io/Logging_0483/klagomål/A 57519-2021 FSC-klagomål.docx", "A 57519-2021")</f>
        <v/>
      </c>
      <c r="W290">
        <f>HYPERLINK("https://klasma.github.io/Logging_0483/klagomålsmail/A 57519-2021 FSC-klagomål mail.docx", "A 57519-2021")</f>
        <v/>
      </c>
      <c r="X290">
        <f>HYPERLINK("https://klasma.github.io/Logging_0483/tillsyn/A 57519-2021 tillsynsbegäran.docx", "A 57519-2021")</f>
        <v/>
      </c>
      <c r="Y290">
        <f>HYPERLINK("https://klasma.github.io/Logging_0483/tillsynsmail/A 57519-2021 tillsynsbegäran mail.docx", "A 57519-2021")</f>
        <v/>
      </c>
    </row>
    <row r="291" ht="15" customHeight="1">
      <c r="A291" t="inlineStr">
        <is>
          <t>A 57766-2021</t>
        </is>
      </c>
      <c r="B291" s="1" t="n">
        <v>44484</v>
      </c>
      <c r="C291" s="1" t="n">
        <v>45216</v>
      </c>
      <c r="D291" t="inlineStr">
        <is>
          <t>SÖDERMANLANDS LÄN</t>
        </is>
      </c>
      <c r="E291" t="inlineStr">
        <is>
          <t>FLEN</t>
        </is>
      </c>
      <c r="G291" t="n">
        <v>9.9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Gullklöver</t>
        </is>
      </c>
      <c r="S291">
        <f>HYPERLINK("https://klasma.github.io/Logging_0482/artfynd/A 57766-2021 artfynd.xlsx", "A 57766-2021")</f>
        <v/>
      </c>
      <c r="T291">
        <f>HYPERLINK("https://klasma.github.io/Logging_0482/kartor/A 57766-2021 karta.png", "A 57766-2021")</f>
        <v/>
      </c>
      <c r="V291">
        <f>HYPERLINK("https://klasma.github.io/Logging_0482/klagomål/A 57766-2021 FSC-klagomål.docx", "A 57766-2021")</f>
        <v/>
      </c>
      <c r="W291">
        <f>HYPERLINK("https://klasma.github.io/Logging_0482/klagomålsmail/A 57766-2021 FSC-klagomål mail.docx", "A 57766-2021")</f>
        <v/>
      </c>
      <c r="X291">
        <f>HYPERLINK("https://klasma.github.io/Logging_0482/tillsyn/A 57766-2021 tillsynsbegäran.docx", "A 57766-2021")</f>
        <v/>
      </c>
      <c r="Y291">
        <f>HYPERLINK("https://klasma.github.io/Logging_0482/tillsynsmail/A 57766-2021 tillsynsbegäran mail.docx", "A 57766-2021")</f>
        <v/>
      </c>
    </row>
    <row r="292" ht="15" customHeight="1">
      <c r="A292" t="inlineStr">
        <is>
          <t>A 61071-2021</t>
        </is>
      </c>
      <c r="B292" s="1" t="n">
        <v>44497</v>
      </c>
      <c r="C292" s="1" t="n">
        <v>45216</v>
      </c>
      <c r="D292" t="inlineStr">
        <is>
          <t>SÖDERMANLANDS LÄN</t>
        </is>
      </c>
      <c r="E292" t="inlineStr">
        <is>
          <t>NYKÖPING</t>
        </is>
      </c>
      <c r="G292" t="n">
        <v>3.8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Bronshjon</t>
        </is>
      </c>
      <c r="S292">
        <f>HYPERLINK("https://klasma.github.io/Logging_0480/artfynd/A 61071-2021 artfynd.xlsx", "A 61071-2021")</f>
        <v/>
      </c>
      <c r="T292">
        <f>HYPERLINK("https://klasma.github.io/Logging_0480/kartor/A 61071-2021 karta.png", "A 61071-2021")</f>
        <v/>
      </c>
      <c r="V292">
        <f>HYPERLINK("https://klasma.github.io/Logging_0480/klagomål/A 61071-2021 FSC-klagomål.docx", "A 61071-2021")</f>
        <v/>
      </c>
      <c r="W292">
        <f>HYPERLINK("https://klasma.github.io/Logging_0480/klagomålsmail/A 61071-2021 FSC-klagomål mail.docx", "A 61071-2021")</f>
        <v/>
      </c>
      <c r="X292">
        <f>HYPERLINK("https://klasma.github.io/Logging_0480/tillsyn/A 61071-2021 tillsynsbegäran.docx", "A 61071-2021")</f>
        <v/>
      </c>
      <c r="Y292">
        <f>HYPERLINK("https://klasma.github.io/Logging_0480/tillsynsmail/A 61071-2021 tillsynsbegäran mail.docx", "A 61071-2021")</f>
        <v/>
      </c>
    </row>
    <row r="293" ht="15" customHeight="1">
      <c r="A293" t="inlineStr">
        <is>
          <t>A 62141-2021</t>
        </is>
      </c>
      <c r="B293" s="1" t="n">
        <v>44502</v>
      </c>
      <c r="C293" s="1" t="n">
        <v>45216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13.7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Mattlummer</t>
        </is>
      </c>
      <c r="S293">
        <f>HYPERLINK("https://klasma.github.io/Logging_0484/artfynd/A 62141-2021 artfynd.xlsx", "A 62141-2021")</f>
        <v/>
      </c>
      <c r="T293">
        <f>HYPERLINK("https://klasma.github.io/Logging_0484/kartor/A 62141-2021 karta.png", "A 62141-2021")</f>
        <v/>
      </c>
      <c r="V293">
        <f>HYPERLINK("https://klasma.github.io/Logging_0484/klagomål/A 62141-2021 FSC-klagomål.docx", "A 62141-2021")</f>
        <v/>
      </c>
      <c r="W293">
        <f>HYPERLINK("https://klasma.github.io/Logging_0484/klagomålsmail/A 62141-2021 FSC-klagomål mail.docx", "A 62141-2021")</f>
        <v/>
      </c>
      <c r="X293">
        <f>HYPERLINK("https://klasma.github.io/Logging_0484/tillsyn/A 62141-2021 tillsynsbegäran.docx", "A 62141-2021")</f>
        <v/>
      </c>
      <c r="Y293">
        <f>HYPERLINK("https://klasma.github.io/Logging_0484/tillsynsmail/A 62141-2021 tillsynsbegäran mail.docx", "A 62141-2021")</f>
        <v/>
      </c>
    </row>
    <row r="294" ht="15" customHeight="1">
      <c r="A294" t="inlineStr">
        <is>
          <t>A 62355-2021</t>
        </is>
      </c>
      <c r="B294" s="1" t="n">
        <v>44503</v>
      </c>
      <c r="C294" s="1" t="n">
        <v>45216</v>
      </c>
      <c r="D294" t="inlineStr">
        <is>
          <t>SÖDERMANLANDS LÄN</t>
        </is>
      </c>
      <c r="E294" t="inlineStr">
        <is>
          <t>FLEN</t>
        </is>
      </c>
      <c r="G294" t="n">
        <v>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Svinrot</t>
        </is>
      </c>
      <c r="S294">
        <f>HYPERLINK("https://klasma.github.io/Logging_0482/artfynd/A 62355-2021 artfynd.xlsx", "A 62355-2021")</f>
        <v/>
      </c>
      <c r="T294">
        <f>HYPERLINK("https://klasma.github.io/Logging_0482/kartor/A 62355-2021 karta.png", "A 62355-2021")</f>
        <v/>
      </c>
      <c r="V294">
        <f>HYPERLINK("https://klasma.github.io/Logging_0482/klagomål/A 62355-2021 FSC-klagomål.docx", "A 62355-2021")</f>
        <v/>
      </c>
      <c r="W294">
        <f>HYPERLINK("https://klasma.github.io/Logging_0482/klagomålsmail/A 62355-2021 FSC-klagomål mail.docx", "A 62355-2021")</f>
        <v/>
      </c>
      <c r="X294">
        <f>HYPERLINK("https://klasma.github.io/Logging_0482/tillsyn/A 62355-2021 tillsynsbegäran.docx", "A 62355-2021")</f>
        <v/>
      </c>
      <c r="Y294">
        <f>HYPERLINK("https://klasma.github.io/Logging_0482/tillsynsmail/A 62355-2021 tillsynsbegäran mail.docx", "A 62355-2021")</f>
        <v/>
      </c>
    </row>
    <row r="295" ht="15" customHeight="1">
      <c r="A295" t="inlineStr">
        <is>
          <t>A 62535-2021</t>
        </is>
      </c>
      <c r="B295" s="1" t="n">
        <v>44503</v>
      </c>
      <c r="C295" s="1" t="n">
        <v>45216</v>
      </c>
      <c r="D295" t="inlineStr">
        <is>
          <t>SÖDERMANLANDS LÄN</t>
        </is>
      </c>
      <c r="E295" t="inlineStr">
        <is>
          <t>FLEN</t>
        </is>
      </c>
      <c r="G295" t="n">
        <v>0.6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HYPERLINK("https://klasma.github.io/Logging_0482/artfynd/A 62535-2021 artfynd.xlsx", "A 62535-2021")</f>
        <v/>
      </c>
      <c r="T295">
        <f>HYPERLINK("https://klasma.github.io/Logging_0482/kartor/A 62535-2021 karta.png", "A 62535-2021")</f>
        <v/>
      </c>
      <c r="V295">
        <f>HYPERLINK("https://klasma.github.io/Logging_0482/klagomål/A 62535-2021 FSC-klagomål.docx", "A 62535-2021")</f>
        <v/>
      </c>
      <c r="W295">
        <f>HYPERLINK("https://klasma.github.io/Logging_0482/klagomålsmail/A 62535-2021 FSC-klagomål mail.docx", "A 62535-2021")</f>
        <v/>
      </c>
      <c r="X295">
        <f>HYPERLINK("https://klasma.github.io/Logging_0482/tillsyn/A 62535-2021 tillsynsbegäran.docx", "A 62535-2021")</f>
        <v/>
      </c>
      <c r="Y295">
        <f>HYPERLINK("https://klasma.github.io/Logging_0482/tillsynsmail/A 62535-2021 tillsynsbegäran mail.docx", "A 62535-2021")</f>
        <v/>
      </c>
    </row>
    <row r="296" ht="15" customHeight="1">
      <c r="A296" t="inlineStr">
        <is>
          <t>A 62716-2021</t>
        </is>
      </c>
      <c r="B296" s="1" t="n">
        <v>44503</v>
      </c>
      <c r="C296" s="1" t="n">
        <v>45216</v>
      </c>
      <c r="D296" t="inlineStr">
        <is>
          <t>SÖDERMANLANDS LÄN</t>
        </is>
      </c>
      <c r="E296" t="inlineStr">
        <is>
          <t>NYKÖPING</t>
        </is>
      </c>
      <c r="G296" t="n">
        <v>2.4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Mattlummer</t>
        </is>
      </c>
      <c r="S296">
        <f>HYPERLINK("https://klasma.github.io/Logging_0480/artfynd/A 62716-2021 artfynd.xlsx", "A 62716-2021")</f>
        <v/>
      </c>
      <c r="T296">
        <f>HYPERLINK("https://klasma.github.io/Logging_0480/kartor/A 62716-2021 karta.png", "A 62716-2021")</f>
        <v/>
      </c>
      <c r="V296">
        <f>HYPERLINK("https://klasma.github.io/Logging_0480/klagomål/A 62716-2021 FSC-klagomål.docx", "A 62716-2021")</f>
        <v/>
      </c>
      <c r="W296">
        <f>HYPERLINK("https://klasma.github.io/Logging_0480/klagomålsmail/A 62716-2021 FSC-klagomål mail.docx", "A 62716-2021")</f>
        <v/>
      </c>
      <c r="X296">
        <f>HYPERLINK("https://klasma.github.io/Logging_0480/tillsyn/A 62716-2021 tillsynsbegäran.docx", "A 62716-2021")</f>
        <v/>
      </c>
      <c r="Y296">
        <f>HYPERLINK("https://klasma.github.io/Logging_0480/tillsynsmail/A 62716-2021 tillsynsbegäran mail.docx", "A 62716-2021")</f>
        <v/>
      </c>
    </row>
    <row r="297" ht="15" customHeight="1">
      <c r="A297" t="inlineStr">
        <is>
          <t>A 63029-2021</t>
        </is>
      </c>
      <c r="B297" s="1" t="n">
        <v>44505</v>
      </c>
      <c r="C297" s="1" t="n">
        <v>45216</v>
      </c>
      <c r="D297" t="inlineStr">
        <is>
          <t>SÖDERMANLANDS LÄN</t>
        </is>
      </c>
      <c r="E297" t="inlineStr">
        <is>
          <t>TROSA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Bredbrämad bastardsvärmare</t>
        </is>
      </c>
      <c r="S297">
        <f>HYPERLINK("https://klasma.github.io/Logging_0488/artfynd/A 63029-2021 artfynd.xlsx", "A 63029-2021")</f>
        <v/>
      </c>
      <c r="T297">
        <f>HYPERLINK("https://klasma.github.io/Logging_0488/kartor/A 63029-2021 karta.png", "A 63029-2021")</f>
        <v/>
      </c>
      <c r="V297">
        <f>HYPERLINK("https://klasma.github.io/Logging_0488/klagomål/A 63029-2021 FSC-klagomål.docx", "A 63029-2021")</f>
        <v/>
      </c>
      <c r="W297">
        <f>HYPERLINK("https://klasma.github.io/Logging_0488/klagomålsmail/A 63029-2021 FSC-klagomål mail.docx", "A 63029-2021")</f>
        <v/>
      </c>
      <c r="X297">
        <f>HYPERLINK("https://klasma.github.io/Logging_0488/tillsyn/A 63029-2021 tillsynsbegäran.docx", "A 63029-2021")</f>
        <v/>
      </c>
      <c r="Y297">
        <f>HYPERLINK("https://klasma.github.io/Logging_0488/tillsynsmail/A 63029-2021 tillsynsbegäran mail.docx", "A 63029-2021")</f>
        <v/>
      </c>
    </row>
    <row r="298" ht="15" customHeight="1">
      <c r="A298" t="inlineStr">
        <is>
          <t>A 63301-2021</t>
        </is>
      </c>
      <c r="B298" s="1" t="n">
        <v>44505</v>
      </c>
      <c r="C298" s="1" t="n">
        <v>45216</v>
      </c>
      <c r="D298" t="inlineStr">
        <is>
          <t>SÖDERMANLANDS LÄN</t>
        </is>
      </c>
      <c r="E298" t="inlineStr">
        <is>
          <t>STRÄNGNÄS</t>
        </is>
      </c>
      <c r="G298" t="n">
        <v>11.6</v>
      </c>
      <c r="H298" t="n">
        <v>1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Nästrot</t>
        </is>
      </c>
      <c r="S298">
        <f>HYPERLINK("https://klasma.github.io/Logging_0486/artfynd/A 63301-2021 artfynd.xlsx", "A 63301-2021")</f>
        <v/>
      </c>
      <c r="T298">
        <f>HYPERLINK("https://klasma.github.io/Logging_0486/kartor/A 63301-2021 karta.png", "A 63301-2021")</f>
        <v/>
      </c>
      <c r="V298">
        <f>HYPERLINK("https://klasma.github.io/Logging_0486/klagomål/A 63301-2021 FSC-klagomål.docx", "A 63301-2021")</f>
        <v/>
      </c>
      <c r="W298">
        <f>HYPERLINK("https://klasma.github.io/Logging_0486/klagomålsmail/A 63301-2021 FSC-klagomål mail.docx", "A 63301-2021")</f>
        <v/>
      </c>
      <c r="X298">
        <f>HYPERLINK("https://klasma.github.io/Logging_0486/tillsyn/A 63301-2021 tillsynsbegäran.docx", "A 63301-2021")</f>
        <v/>
      </c>
      <c r="Y298">
        <f>HYPERLINK("https://klasma.github.io/Logging_0486/tillsynsmail/A 63301-2021 tillsynsbegäran mail.docx", "A 63301-2021")</f>
        <v/>
      </c>
    </row>
    <row r="299" ht="15" customHeight="1">
      <c r="A299" t="inlineStr">
        <is>
          <t>A 65184-2021</t>
        </is>
      </c>
      <c r="B299" s="1" t="n">
        <v>44512</v>
      </c>
      <c r="C299" s="1" t="n">
        <v>45216</v>
      </c>
      <c r="D299" t="inlineStr">
        <is>
          <t>SÖDERMANLANDS LÄN</t>
        </is>
      </c>
      <c r="E299" t="inlineStr">
        <is>
          <t>KATRINEHOLM</t>
        </is>
      </c>
      <c r="G299" t="n">
        <v>1.8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Gulsparv</t>
        </is>
      </c>
      <c r="S299">
        <f>HYPERLINK("https://klasma.github.io/Logging_0483/artfynd/A 65184-2021 artfynd.xlsx", "A 65184-2021")</f>
        <v/>
      </c>
      <c r="T299">
        <f>HYPERLINK("https://klasma.github.io/Logging_0483/kartor/A 65184-2021 karta.png", "A 65184-2021")</f>
        <v/>
      </c>
      <c r="V299">
        <f>HYPERLINK("https://klasma.github.io/Logging_0483/klagomål/A 65184-2021 FSC-klagomål.docx", "A 65184-2021")</f>
        <v/>
      </c>
      <c r="W299">
        <f>HYPERLINK("https://klasma.github.io/Logging_0483/klagomålsmail/A 65184-2021 FSC-klagomål mail.docx", "A 65184-2021")</f>
        <v/>
      </c>
      <c r="X299">
        <f>HYPERLINK("https://klasma.github.io/Logging_0483/tillsyn/A 65184-2021 tillsynsbegäran.docx", "A 65184-2021")</f>
        <v/>
      </c>
      <c r="Y299">
        <f>HYPERLINK("https://klasma.github.io/Logging_0483/tillsynsmail/A 65184-2021 tillsynsbegäran mail.docx", "A 65184-2021")</f>
        <v/>
      </c>
    </row>
    <row r="300" ht="15" customHeight="1">
      <c r="A300" t="inlineStr">
        <is>
          <t>A 65380-2021</t>
        </is>
      </c>
      <c r="B300" s="1" t="n">
        <v>44515</v>
      </c>
      <c r="C300" s="1" t="n">
        <v>45216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5.4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Blåsippa</t>
        </is>
      </c>
      <c r="S300">
        <f>HYPERLINK("https://klasma.github.io/Logging_0484/artfynd/A 65380-2021 artfynd.xlsx", "A 65380-2021")</f>
        <v/>
      </c>
      <c r="T300">
        <f>HYPERLINK("https://klasma.github.io/Logging_0484/kartor/A 65380-2021 karta.png", "A 65380-2021")</f>
        <v/>
      </c>
      <c r="V300">
        <f>HYPERLINK("https://klasma.github.io/Logging_0484/klagomål/A 65380-2021 FSC-klagomål.docx", "A 65380-2021")</f>
        <v/>
      </c>
      <c r="W300">
        <f>HYPERLINK("https://klasma.github.io/Logging_0484/klagomålsmail/A 65380-2021 FSC-klagomål mail.docx", "A 65380-2021")</f>
        <v/>
      </c>
      <c r="X300">
        <f>HYPERLINK("https://klasma.github.io/Logging_0484/tillsyn/A 65380-2021 tillsynsbegäran.docx", "A 65380-2021")</f>
        <v/>
      </c>
      <c r="Y300">
        <f>HYPERLINK("https://klasma.github.io/Logging_0484/tillsynsmail/A 65380-2021 tillsynsbegäran mail.docx", "A 65380-2021")</f>
        <v/>
      </c>
    </row>
    <row r="301" ht="15" customHeight="1">
      <c r="A301" t="inlineStr">
        <is>
          <t>A 65330-2021</t>
        </is>
      </c>
      <c r="B301" s="1" t="n">
        <v>44515</v>
      </c>
      <c r="C301" s="1" t="n">
        <v>45216</v>
      </c>
      <c r="D301" t="inlineStr">
        <is>
          <t>SÖDERMANLANDS LÄN</t>
        </is>
      </c>
      <c r="E301" t="inlineStr">
        <is>
          <t>STRÄNGNÄS</t>
        </is>
      </c>
      <c r="G301" t="n">
        <v>6.4</v>
      </c>
      <c r="H301" t="n">
        <v>1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Duvhök</t>
        </is>
      </c>
      <c r="S301">
        <f>HYPERLINK("https://klasma.github.io/Logging_0486/artfynd/A 65330-2021 artfynd.xlsx", "A 65330-2021")</f>
        <v/>
      </c>
      <c r="T301">
        <f>HYPERLINK("https://klasma.github.io/Logging_0486/kartor/A 65330-2021 karta.png", "A 65330-2021")</f>
        <v/>
      </c>
      <c r="V301">
        <f>HYPERLINK("https://klasma.github.io/Logging_0486/klagomål/A 65330-2021 FSC-klagomål.docx", "A 65330-2021")</f>
        <v/>
      </c>
      <c r="W301">
        <f>HYPERLINK("https://klasma.github.io/Logging_0486/klagomålsmail/A 65330-2021 FSC-klagomål mail.docx", "A 65330-2021")</f>
        <v/>
      </c>
      <c r="X301">
        <f>HYPERLINK("https://klasma.github.io/Logging_0486/tillsyn/A 65330-2021 tillsynsbegäran.docx", "A 65330-2021")</f>
        <v/>
      </c>
      <c r="Y301">
        <f>HYPERLINK("https://klasma.github.io/Logging_0486/tillsynsmail/A 65330-2021 tillsynsbegäran mail.docx", "A 65330-2021")</f>
        <v/>
      </c>
    </row>
    <row r="302" ht="15" customHeight="1">
      <c r="A302" t="inlineStr">
        <is>
          <t>A 65889-2021</t>
        </is>
      </c>
      <c r="B302" s="1" t="n">
        <v>44517</v>
      </c>
      <c r="C302" s="1" t="n">
        <v>45216</v>
      </c>
      <c r="D302" t="inlineStr">
        <is>
          <t>SÖDERMANLANDS LÄN</t>
        </is>
      </c>
      <c r="E302" t="inlineStr">
        <is>
          <t>NYKÖPING</t>
        </is>
      </c>
      <c r="G302" t="n">
        <v>4.8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Backstarr</t>
        </is>
      </c>
      <c r="S302">
        <f>HYPERLINK("https://klasma.github.io/Logging_0480/artfynd/A 65889-2021 artfynd.xlsx", "A 65889-2021")</f>
        <v/>
      </c>
      <c r="T302">
        <f>HYPERLINK("https://klasma.github.io/Logging_0480/kartor/A 65889-2021 karta.png", "A 65889-2021")</f>
        <v/>
      </c>
      <c r="V302">
        <f>HYPERLINK("https://klasma.github.io/Logging_0480/klagomål/A 65889-2021 FSC-klagomål.docx", "A 65889-2021")</f>
        <v/>
      </c>
      <c r="W302">
        <f>HYPERLINK("https://klasma.github.io/Logging_0480/klagomålsmail/A 65889-2021 FSC-klagomål mail.docx", "A 65889-2021")</f>
        <v/>
      </c>
      <c r="X302">
        <f>HYPERLINK("https://klasma.github.io/Logging_0480/tillsyn/A 65889-2021 tillsynsbegäran.docx", "A 65889-2021")</f>
        <v/>
      </c>
      <c r="Y302">
        <f>HYPERLINK("https://klasma.github.io/Logging_0480/tillsynsmail/A 65889-2021 tillsynsbegäran mail.docx", "A 65889-2021")</f>
        <v/>
      </c>
    </row>
    <row r="303" ht="15" customHeight="1">
      <c r="A303" t="inlineStr">
        <is>
          <t>A 65892-2021</t>
        </is>
      </c>
      <c r="B303" s="1" t="n">
        <v>44517</v>
      </c>
      <c r="C303" s="1" t="n">
        <v>45216</v>
      </c>
      <c r="D303" t="inlineStr">
        <is>
          <t>SÖDERMANLANDS LÄN</t>
        </is>
      </c>
      <c r="E303" t="inlineStr">
        <is>
          <t>NYKÖPING</t>
        </is>
      </c>
      <c r="G303" t="n">
        <v>1.9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Mattlummer</t>
        </is>
      </c>
      <c r="S303">
        <f>HYPERLINK("https://klasma.github.io/Logging_0480/artfynd/A 65892-2021 artfynd.xlsx", "A 65892-2021")</f>
        <v/>
      </c>
      <c r="T303">
        <f>HYPERLINK("https://klasma.github.io/Logging_0480/kartor/A 65892-2021 karta.png", "A 65892-2021")</f>
        <v/>
      </c>
      <c r="V303">
        <f>HYPERLINK("https://klasma.github.io/Logging_0480/klagomål/A 65892-2021 FSC-klagomål.docx", "A 65892-2021")</f>
        <v/>
      </c>
      <c r="W303">
        <f>HYPERLINK("https://klasma.github.io/Logging_0480/klagomålsmail/A 65892-2021 FSC-klagomål mail.docx", "A 65892-2021")</f>
        <v/>
      </c>
      <c r="X303">
        <f>HYPERLINK("https://klasma.github.io/Logging_0480/tillsyn/A 65892-2021 tillsynsbegäran.docx", "A 65892-2021")</f>
        <v/>
      </c>
      <c r="Y303">
        <f>HYPERLINK("https://klasma.github.io/Logging_0480/tillsynsmail/A 65892-2021 tillsynsbegäran mail.docx", "A 65892-2021")</f>
        <v/>
      </c>
    </row>
    <row r="304" ht="15" customHeight="1">
      <c r="A304" t="inlineStr">
        <is>
          <t>A 66246-2021</t>
        </is>
      </c>
      <c r="B304" s="1" t="n">
        <v>44518</v>
      </c>
      <c r="C304" s="1" t="n">
        <v>45216</v>
      </c>
      <c r="D304" t="inlineStr">
        <is>
          <t>SÖDERMANLANDS LÄN</t>
        </is>
      </c>
      <c r="E304" t="inlineStr">
        <is>
          <t>VINGÅKER</t>
        </is>
      </c>
      <c r="G304" t="n">
        <v>5.2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Dropptaggsvamp</t>
        </is>
      </c>
      <c r="S304">
        <f>HYPERLINK("https://klasma.github.io/Logging_0428/artfynd/A 66246-2021 artfynd.xlsx", "A 66246-2021")</f>
        <v/>
      </c>
      <c r="T304">
        <f>HYPERLINK("https://klasma.github.io/Logging_0428/kartor/A 66246-2021 karta.png", "A 66246-2021")</f>
        <v/>
      </c>
      <c r="V304">
        <f>HYPERLINK("https://klasma.github.io/Logging_0428/klagomål/A 66246-2021 FSC-klagomål.docx", "A 66246-2021")</f>
        <v/>
      </c>
      <c r="W304">
        <f>HYPERLINK("https://klasma.github.io/Logging_0428/klagomålsmail/A 66246-2021 FSC-klagomål mail.docx", "A 66246-2021")</f>
        <v/>
      </c>
      <c r="X304">
        <f>HYPERLINK("https://klasma.github.io/Logging_0428/tillsyn/A 66246-2021 tillsynsbegäran.docx", "A 66246-2021")</f>
        <v/>
      </c>
      <c r="Y304">
        <f>HYPERLINK("https://klasma.github.io/Logging_0428/tillsynsmail/A 66246-2021 tillsynsbegäran mail.docx", "A 66246-2021")</f>
        <v/>
      </c>
    </row>
    <row r="305" ht="15" customHeight="1">
      <c r="A305" t="inlineStr">
        <is>
          <t>A 66243-2021</t>
        </is>
      </c>
      <c r="B305" s="1" t="n">
        <v>44518</v>
      </c>
      <c r="C305" s="1" t="n">
        <v>45216</v>
      </c>
      <c r="D305" t="inlineStr">
        <is>
          <t>SÖDERMANLANDS LÄN</t>
        </is>
      </c>
      <c r="E305" t="inlineStr">
        <is>
          <t>VINGÅKER</t>
        </is>
      </c>
      <c r="G305" t="n">
        <v>7.8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HYPERLINK("https://klasma.github.io/Logging_0428/artfynd/A 66243-2021 artfynd.xlsx", "A 66243-2021")</f>
        <v/>
      </c>
      <c r="T305">
        <f>HYPERLINK("https://klasma.github.io/Logging_0428/kartor/A 66243-2021 karta.png", "A 66243-2021")</f>
        <v/>
      </c>
      <c r="V305">
        <f>HYPERLINK("https://klasma.github.io/Logging_0428/klagomål/A 66243-2021 FSC-klagomål.docx", "A 66243-2021")</f>
        <v/>
      </c>
      <c r="W305">
        <f>HYPERLINK("https://klasma.github.io/Logging_0428/klagomålsmail/A 66243-2021 FSC-klagomål mail.docx", "A 66243-2021")</f>
        <v/>
      </c>
      <c r="X305">
        <f>HYPERLINK("https://klasma.github.io/Logging_0428/tillsyn/A 66243-2021 tillsynsbegäran.docx", "A 66243-2021")</f>
        <v/>
      </c>
      <c r="Y305">
        <f>HYPERLINK("https://klasma.github.io/Logging_0428/tillsynsmail/A 66243-2021 tillsynsbegäran mail.docx", "A 66243-2021")</f>
        <v/>
      </c>
    </row>
    <row r="306" ht="15" customHeight="1">
      <c r="A306" t="inlineStr">
        <is>
          <t>A 67819-2021</t>
        </is>
      </c>
      <c r="B306" s="1" t="n">
        <v>44525</v>
      </c>
      <c r="C306" s="1" t="n">
        <v>45216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Sveaskog</t>
        </is>
      </c>
      <c r="G306" t="n">
        <v>1.1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HYPERLINK("https://klasma.github.io/Logging_0480/artfynd/A 67819-2021 artfynd.xlsx", "A 67819-2021")</f>
        <v/>
      </c>
      <c r="T306">
        <f>HYPERLINK("https://klasma.github.io/Logging_0480/kartor/A 67819-2021 karta.png", "A 67819-2021")</f>
        <v/>
      </c>
      <c r="V306">
        <f>HYPERLINK("https://klasma.github.io/Logging_0480/klagomål/A 67819-2021 FSC-klagomål.docx", "A 67819-2021")</f>
        <v/>
      </c>
      <c r="W306">
        <f>HYPERLINK("https://klasma.github.io/Logging_0480/klagomålsmail/A 67819-2021 FSC-klagomål mail.docx", "A 67819-2021")</f>
        <v/>
      </c>
      <c r="X306">
        <f>HYPERLINK("https://klasma.github.io/Logging_0480/tillsyn/A 67819-2021 tillsynsbegäran.docx", "A 67819-2021")</f>
        <v/>
      </c>
      <c r="Y306">
        <f>HYPERLINK("https://klasma.github.io/Logging_0480/tillsynsmail/A 67819-2021 tillsynsbegäran mail.docx", "A 67819-2021")</f>
        <v/>
      </c>
    </row>
    <row r="307" ht="15" customHeight="1">
      <c r="A307" t="inlineStr">
        <is>
          <t>A 69612-2021</t>
        </is>
      </c>
      <c r="B307" s="1" t="n">
        <v>44531</v>
      </c>
      <c r="C307" s="1" t="n">
        <v>45216</v>
      </c>
      <c r="D307" t="inlineStr">
        <is>
          <t>SÖDERMANLANDS LÄN</t>
        </is>
      </c>
      <c r="E307" t="inlineStr">
        <is>
          <t>NYKÖPING</t>
        </is>
      </c>
      <c r="G307" t="n">
        <v>9.199999999999999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HYPERLINK("https://klasma.github.io/Logging_0480/artfynd/A 69612-2021 artfynd.xlsx", "A 69612-2021")</f>
        <v/>
      </c>
      <c r="T307">
        <f>HYPERLINK("https://klasma.github.io/Logging_0480/kartor/A 69612-2021 karta.png", "A 69612-2021")</f>
        <v/>
      </c>
      <c r="V307">
        <f>HYPERLINK("https://klasma.github.io/Logging_0480/klagomål/A 69612-2021 FSC-klagomål.docx", "A 69612-2021")</f>
        <v/>
      </c>
      <c r="W307">
        <f>HYPERLINK("https://klasma.github.io/Logging_0480/klagomålsmail/A 69612-2021 FSC-klagomål mail.docx", "A 69612-2021")</f>
        <v/>
      </c>
      <c r="X307">
        <f>HYPERLINK("https://klasma.github.io/Logging_0480/tillsyn/A 69612-2021 tillsynsbegäran.docx", "A 69612-2021")</f>
        <v/>
      </c>
      <c r="Y307">
        <f>HYPERLINK("https://klasma.github.io/Logging_0480/tillsynsmail/A 69612-2021 tillsynsbegäran mail.docx", "A 69612-2021")</f>
        <v/>
      </c>
    </row>
    <row r="308" ht="15" customHeight="1">
      <c r="A308" t="inlineStr">
        <is>
          <t>A 70039-2021</t>
        </is>
      </c>
      <c r="B308" s="1" t="n">
        <v>44533</v>
      </c>
      <c r="C308" s="1" t="n">
        <v>45216</v>
      </c>
      <c r="D308" t="inlineStr">
        <is>
          <t>SÖDERMANLANDS LÄN</t>
        </is>
      </c>
      <c r="E308" t="inlineStr">
        <is>
          <t>FLEN</t>
        </is>
      </c>
      <c r="G308" t="n">
        <v>6.7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Svedjenäva</t>
        </is>
      </c>
      <c r="S308">
        <f>HYPERLINK("https://klasma.github.io/Logging_0482/artfynd/A 70039-2021 artfynd.xlsx", "A 70039-2021")</f>
        <v/>
      </c>
      <c r="T308">
        <f>HYPERLINK("https://klasma.github.io/Logging_0482/kartor/A 70039-2021 karta.png", "A 70039-2021")</f>
        <v/>
      </c>
      <c r="V308">
        <f>HYPERLINK("https://klasma.github.io/Logging_0482/klagomål/A 70039-2021 FSC-klagomål.docx", "A 70039-2021")</f>
        <v/>
      </c>
      <c r="W308">
        <f>HYPERLINK("https://klasma.github.io/Logging_0482/klagomålsmail/A 70039-2021 FSC-klagomål mail.docx", "A 70039-2021")</f>
        <v/>
      </c>
      <c r="X308">
        <f>HYPERLINK("https://klasma.github.io/Logging_0482/tillsyn/A 70039-2021 tillsynsbegäran.docx", "A 70039-2021")</f>
        <v/>
      </c>
      <c r="Y308">
        <f>HYPERLINK("https://klasma.github.io/Logging_0482/tillsynsmail/A 70039-2021 tillsynsbegäran mail.docx", "A 70039-2021")</f>
        <v/>
      </c>
    </row>
    <row r="309" ht="15" customHeight="1">
      <c r="A309" t="inlineStr">
        <is>
          <t>A 72851-2021</t>
        </is>
      </c>
      <c r="B309" s="1" t="n">
        <v>44546</v>
      </c>
      <c r="C309" s="1" t="n">
        <v>45216</v>
      </c>
      <c r="D309" t="inlineStr">
        <is>
          <t>SÖDERMANLANDS LÄN</t>
        </is>
      </c>
      <c r="E309" t="inlineStr">
        <is>
          <t>KATRINEHOLM</t>
        </is>
      </c>
      <c r="G309" t="n">
        <v>0.7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Klasefibbla</t>
        </is>
      </c>
      <c r="S309">
        <f>HYPERLINK("https://klasma.github.io/Logging_0483/artfynd/A 72851-2021 artfynd.xlsx", "A 72851-2021")</f>
        <v/>
      </c>
      <c r="T309">
        <f>HYPERLINK("https://klasma.github.io/Logging_0483/kartor/A 72851-2021 karta.png", "A 72851-2021")</f>
        <v/>
      </c>
      <c r="V309">
        <f>HYPERLINK("https://klasma.github.io/Logging_0483/klagomål/A 72851-2021 FSC-klagomål.docx", "A 72851-2021")</f>
        <v/>
      </c>
      <c r="W309">
        <f>HYPERLINK("https://klasma.github.io/Logging_0483/klagomålsmail/A 72851-2021 FSC-klagomål mail.docx", "A 72851-2021")</f>
        <v/>
      </c>
      <c r="X309">
        <f>HYPERLINK("https://klasma.github.io/Logging_0483/tillsyn/A 72851-2021 tillsynsbegäran.docx", "A 72851-2021")</f>
        <v/>
      </c>
      <c r="Y309">
        <f>HYPERLINK("https://klasma.github.io/Logging_0483/tillsynsmail/A 72851-2021 tillsynsbegäran mail.docx", "A 72851-2021")</f>
        <v/>
      </c>
    </row>
    <row r="310" ht="15" customHeight="1">
      <c r="A310" t="inlineStr">
        <is>
          <t>A 2012-2022</t>
        </is>
      </c>
      <c r="B310" s="1" t="n">
        <v>44575</v>
      </c>
      <c r="C310" s="1" t="n">
        <v>45216</v>
      </c>
      <c r="D310" t="inlineStr">
        <is>
          <t>SÖDERMANLANDS LÄN</t>
        </is>
      </c>
      <c r="E310" t="inlineStr">
        <is>
          <t>GNESTA</t>
        </is>
      </c>
      <c r="G310" t="n">
        <v>5.3</v>
      </c>
      <c r="H310" t="n">
        <v>1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Fläcknycklar</t>
        </is>
      </c>
      <c r="S310">
        <f>HYPERLINK("https://klasma.github.io/Logging_0461/artfynd/A 2012-2022 artfynd.xlsx", "A 2012-2022")</f>
        <v/>
      </c>
      <c r="T310">
        <f>HYPERLINK("https://klasma.github.io/Logging_0461/kartor/A 2012-2022 karta.png", "A 2012-2022")</f>
        <v/>
      </c>
      <c r="V310">
        <f>HYPERLINK("https://klasma.github.io/Logging_0461/klagomål/A 2012-2022 FSC-klagomål.docx", "A 2012-2022")</f>
        <v/>
      </c>
      <c r="W310">
        <f>HYPERLINK("https://klasma.github.io/Logging_0461/klagomålsmail/A 2012-2022 FSC-klagomål mail.docx", "A 2012-2022")</f>
        <v/>
      </c>
      <c r="X310">
        <f>HYPERLINK("https://klasma.github.io/Logging_0461/tillsyn/A 2012-2022 tillsynsbegäran.docx", "A 2012-2022")</f>
        <v/>
      </c>
      <c r="Y310">
        <f>HYPERLINK("https://klasma.github.io/Logging_0461/tillsynsmail/A 2012-2022 tillsynsbegäran mail.docx", "A 2012-2022")</f>
        <v/>
      </c>
    </row>
    <row r="311" ht="15" customHeight="1">
      <c r="A311" t="inlineStr">
        <is>
          <t>A 3162-2022</t>
        </is>
      </c>
      <c r="B311" s="1" t="n">
        <v>44582</v>
      </c>
      <c r="C311" s="1" t="n">
        <v>45216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2.6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Ullticka</t>
        </is>
      </c>
      <c r="S311">
        <f>HYPERLINK("https://klasma.github.io/Logging_0484/artfynd/A 3162-2022 artfynd.xlsx", "A 3162-2022")</f>
        <v/>
      </c>
      <c r="T311">
        <f>HYPERLINK("https://klasma.github.io/Logging_0484/kartor/A 3162-2022 karta.png", "A 3162-2022")</f>
        <v/>
      </c>
      <c r="V311">
        <f>HYPERLINK("https://klasma.github.io/Logging_0484/klagomål/A 3162-2022 FSC-klagomål.docx", "A 3162-2022")</f>
        <v/>
      </c>
      <c r="W311">
        <f>HYPERLINK("https://klasma.github.io/Logging_0484/klagomålsmail/A 3162-2022 FSC-klagomål mail.docx", "A 3162-2022")</f>
        <v/>
      </c>
      <c r="X311">
        <f>HYPERLINK("https://klasma.github.io/Logging_0484/tillsyn/A 3162-2022 tillsynsbegäran.docx", "A 3162-2022")</f>
        <v/>
      </c>
      <c r="Y311">
        <f>HYPERLINK("https://klasma.github.io/Logging_0484/tillsynsmail/A 3162-2022 tillsynsbegäran mail.docx", "A 3162-2022")</f>
        <v/>
      </c>
    </row>
    <row r="312" ht="15" customHeight="1">
      <c r="A312" t="inlineStr">
        <is>
          <t>A 6076-2022</t>
        </is>
      </c>
      <c r="B312" s="1" t="n">
        <v>44599</v>
      </c>
      <c r="C312" s="1" t="n">
        <v>45216</v>
      </c>
      <c r="D312" t="inlineStr">
        <is>
          <t>SÖDERMANLANDS LÄN</t>
        </is>
      </c>
      <c r="E312" t="inlineStr">
        <is>
          <t>KATRINEHOLM</t>
        </is>
      </c>
      <c r="G312" t="n">
        <v>3.3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Svart trolldruva</t>
        </is>
      </c>
      <c r="S312">
        <f>HYPERLINK("https://klasma.github.io/Logging_0483/artfynd/A 6076-2022 artfynd.xlsx", "A 6076-2022")</f>
        <v/>
      </c>
      <c r="T312">
        <f>HYPERLINK("https://klasma.github.io/Logging_0483/kartor/A 6076-2022 karta.png", "A 6076-2022")</f>
        <v/>
      </c>
      <c r="V312">
        <f>HYPERLINK("https://klasma.github.io/Logging_0483/klagomål/A 6076-2022 FSC-klagomål.docx", "A 6076-2022")</f>
        <v/>
      </c>
      <c r="W312">
        <f>HYPERLINK("https://klasma.github.io/Logging_0483/klagomålsmail/A 6076-2022 FSC-klagomål mail.docx", "A 6076-2022")</f>
        <v/>
      </c>
      <c r="X312">
        <f>HYPERLINK("https://klasma.github.io/Logging_0483/tillsyn/A 6076-2022 tillsynsbegäran.docx", "A 6076-2022")</f>
        <v/>
      </c>
      <c r="Y312">
        <f>HYPERLINK("https://klasma.github.io/Logging_0483/tillsynsmail/A 6076-2022 tillsynsbegäran mail.docx", "A 6076-2022")</f>
        <v/>
      </c>
    </row>
    <row r="313" ht="15" customHeight="1">
      <c r="A313" t="inlineStr">
        <is>
          <t>A 7767-2022</t>
        </is>
      </c>
      <c r="B313" s="1" t="n">
        <v>44608</v>
      </c>
      <c r="C313" s="1" t="n">
        <v>45216</v>
      </c>
      <c r="D313" t="inlineStr">
        <is>
          <t>SÖDERMANLANDS LÄN</t>
        </is>
      </c>
      <c r="E313" t="inlineStr">
        <is>
          <t>VINGÅKER</t>
        </is>
      </c>
      <c r="G313" t="n">
        <v>11.5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Blomkålssvamp</t>
        </is>
      </c>
      <c r="S313">
        <f>HYPERLINK("https://klasma.github.io/Logging_0428/artfynd/A 7767-2022 artfynd.xlsx", "A 7767-2022")</f>
        <v/>
      </c>
      <c r="T313">
        <f>HYPERLINK("https://klasma.github.io/Logging_0428/kartor/A 7767-2022 karta.png", "A 7767-2022")</f>
        <v/>
      </c>
      <c r="V313">
        <f>HYPERLINK("https://klasma.github.io/Logging_0428/klagomål/A 7767-2022 FSC-klagomål.docx", "A 7767-2022")</f>
        <v/>
      </c>
      <c r="W313">
        <f>HYPERLINK("https://klasma.github.io/Logging_0428/klagomålsmail/A 7767-2022 FSC-klagomål mail.docx", "A 7767-2022")</f>
        <v/>
      </c>
      <c r="X313">
        <f>HYPERLINK("https://klasma.github.io/Logging_0428/tillsyn/A 7767-2022 tillsynsbegäran.docx", "A 7767-2022")</f>
        <v/>
      </c>
      <c r="Y313">
        <f>HYPERLINK("https://klasma.github.io/Logging_0428/tillsynsmail/A 7767-2022 tillsynsbegäran mail.docx", "A 7767-2022")</f>
        <v/>
      </c>
    </row>
    <row r="314" ht="15" customHeight="1">
      <c r="A314" t="inlineStr">
        <is>
          <t>A 7883-2022</t>
        </is>
      </c>
      <c r="B314" s="1" t="n">
        <v>44608</v>
      </c>
      <c r="C314" s="1" t="n">
        <v>45216</v>
      </c>
      <c r="D314" t="inlineStr">
        <is>
          <t>SÖDERMANLANDS LÄN</t>
        </is>
      </c>
      <c r="E314" t="inlineStr">
        <is>
          <t>FLEN</t>
        </is>
      </c>
      <c r="F314" t="inlineStr">
        <is>
          <t>Övriga statliga verk och myndigheter</t>
        </is>
      </c>
      <c r="G314" t="n">
        <v>2.2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Plattlummer</t>
        </is>
      </c>
      <c r="S314">
        <f>HYPERLINK("https://klasma.github.io/Logging_0482/artfynd/A 7883-2022 artfynd.xlsx", "A 7883-2022")</f>
        <v/>
      </c>
      <c r="T314">
        <f>HYPERLINK("https://klasma.github.io/Logging_0482/kartor/A 7883-2022 karta.png", "A 7883-2022")</f>
        <v/>
      </c>
      <c r="V314">
        <f>HYPERLINK("https://klasma.github.io/Logging_0482/klagomål/A 7883-2022 FSC-klagomål.docx", "A 7883-2022")</f>
        <v/>
      </c>
      <c r="W314">
        <f>HYPERLINK("https://klasma.github.io/Logging_0482/klagomålsmail/A 7883-2022 FSC-klagomål mail.docx", "A 7883-2022")</f>
        <v/>
      </c>
      <c r="X314">
        <f>HYPERLINK("https://klasma.github.io/Logging_0482/tillsyn/A 7883-2022 tillsynsbegäran.docx", "A 7883-2022")</f>
        <v/>
      </c>
      <c r="Y314">
        <f>HYPERLINK("https://klasma.github.io/Logging_0482/tillsynsmail/A 7883-2022 tillsynsbegäran mail.docx", "A 7883-2022")</f>
        <v/>
      </c>
    </row>
    <row r="315" ht="15" customHeight="1">
      <c r="A315" t="inlineStr">
        <is>
          <t>A 9973-2022</t>
        </is>
      </c>
      <c r="B315" s="1" t="n">
        <v>44621</v>
      </c>
      <c r="C315" s="1" t="n">
        <v>45216</v>
      </c>
      <c r="D315" t="inlineStr">
        <is>
          <t>SÖDERMANLANDS LÄN</t>
        </is>
      </c>
      <c r="E315" t="inlineStr">
        <is>
          <t>NYKÖPING</t>
        </is>
      </c>
      <c r="G315" t="n">
        <v>18.3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Grön sköldmossa</t>
        </is>
      </c>
      <c r="S315">
        <f>HYPERLINK("https://klasma.github.io/Logging_0480/artfynd/A 9973-2022 artfynd.xlsx", "A 9973-2022")</f>
        <v/>
      </c>
      <c r="T315">
        <f>HYPERLINK("https://klasma.github.io/Logging_0480/kartor/A 9973-2022 karta.png", "A 9973-2022")</f>
        <v/>
      </c>
      <c r="V315">
        <f>HYPERLINK("https://klasma.github.io/Logging_0480/klagomål/A 9973-2022 FSC-klagomål.docx", "A 9973-2022")</f>
        <v/>
      </c>
      <c r="W315">
        <f>HYPERLINK("https://klasma.github.io/Logging_0480/klagomålsmail/A 9973-2022 FSC-klagomål mail.docx", "A 9973-2022")</f>
        <v/>
      </c>
      <c r="X315">
        <f>HYPERLINK("https://klasma.github.io/Logging_0480/tillsyn/A 9973-2022 tillsynsbegäran.docx", "A 9973-2022")</f>
        <v/>
      </c>
      <c r="Y315">
        <f>HYPERLINK("https://klasma.github.io/Logging_0480/tillsynsmail/A 9973-2022 tillsynsbegäran mail.docx", "A 9973-2022")</f>
        <v/>
      </c>
    </row>
    <row r="316" ht="15" customHeight="1">
      <c r="A316" t="inlineStr">
        <is>
          <t>A 10770-2022</t>
        </is>
      </c>
      <c r="B316" s="1" t="n">
        <v>44624</v>
      </c>
      <c r="C316" s="1" t="n">
        <v>45216</v>
      </c>
      <c r="D316" t="inlineStr">
        <is>
          <t>SÖDERMANLANDS LÄN</t>
        </is>
      </c>
      <c r="E316" t="inlineStr">
        <is>
          <t>FLEN</t>
        </is>
      </c>
      <c r="G316" t="n">
        <v>2.3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Svinrot</t>
        </is>
      </c>
      <c r="S316">
        <f>HYPERLINK("https://klasma.github.io/Logging_0482/artfynd/A 10770-2022 artfynd.xlsx", "A 10770-2022")</f>
        <v/>
      </c>
      <c r="T316">
        <f>HYPERLINK("https://klasma.github.io/Logging_0482/kartor/A 10770-2022 karta.png", "A 10770-2022")</f>
        <v/>
      </c>
      <c r="V316">
        <f>HYPERLINK("https://klasma.github.io/Logging_0482/klagomål/A 10770-2022 FSC-klagomål.docx", "A 10770-2022")</f>
        <v/>
      </c>
      <c r="W316">
        <f>HYPERLINK("https://klasma.github.io/Logging_0482/klagomålsmail/A 10770-2022 FSC-klagomål mail.docx", "A 10770-2022")</f>
        <v/>
      </c>
      <c r="X316">
        <f>HYPERLINK("https://klasma.github.io/Logging_0482/tillsyn/A 10770-2022 tillsynsbegäran.docx", "A 10770-2022")</f>
        <v/>
      </c>
      <c r="Y316">
        <f>HYPERLINK("https://klasma.github.io/Logging_0482/tillsynsmail/A 10770-2022 tillsynsbegäran mail.docx", "A 10770-2022")</f>
        <v/>
      </c>
    </row>
    <row r="317" ht="15" customHeight="1">
      <c r="A317" t="inlineStr">
        <is>
          <t>A 10789-2022</t>
        </is>
      </c>
      <c r="B317" s="1" t="n">
        <v>44624</v>
      </c>
      <c r="C317" s="1" t="n">
        <v>45216</v>
      </c>
      <c r="D317" t="inlineStr">
        <is>
          <t>SÖDERMANLANDS LÄN</t>
        </is>
      </c>
      <c r="E317" t="inlineStr">
        <is>
          <t>FLEN</t>
        </is>
      </c>
      <c r="G317" t="n">
        <v>1.1</v>
      </c>
      <c r="H317" t="n">
        <v>1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Bombmurkla</t>
        </is>
      </c>
      <c r="S317">
        <f>HYPERLINK("https://klasma.github.io/Logging_0482/artfynd/A 10789-2022 artfynd.xlsx", "A 10789-2022")</f>
        <v/>
      </c>
      <c r="T317">
        <f>HYPERLINK("https://klasma.github.io/Logging_0482/kartor/A 10789-2022 karta.png", "A 10789-2022")</f>
        <v/>
      </c>
      <c r="V317">
        <f>HYPERLINK("https://klasma.github.io/Logging_0482/klagomål/A 10789-2022 FSC-klagomål.docx", "A 10789-2022")</f>
        <v/>
      </c>
      <c r="W317">
        <f>HYPERLINK("https://klasma.github.io/Logging_0482/klagomålsmail/A 10789-2022 FSC-klagomål mail.docx", "A 10789-2022")</f>
        <v/>
      </c>
      <c r="X317">
        <f>HYPERLINK("https://klasma.github.io/Logging_0482/tillsyn/A 10789-2022 tillsynsbegäran.docx", "A 10789-2022")</f>
        <v/>
      </c>
      <c r="Y317">
        <f>HYPERLINK("https://klasma.github.io/Logging_0482/tillsynsmail/A 10789-2022 tillsynsbegäran mail.docx", "A 10789-2022")</f>
        <v/>
      </c>
    </row>
    <row r="318" ht="15" customHeight="1">
      <c r="A318" t="inlineStr">
        <is>
          <t>A 11751-2022</t>
        </is>
      </c>
      <c r="B318" s="1" t="n">
        <v>44634</v>
      </c>
      <c r="C318" s="1" t="n">
        <v>45216</v>
      </c>
      <c r="D318" t="inlineStr">
        <is>
          <t>SÖDERMANLANDS LÄN</t>
        </is>
      </c>
      <c r="E318" t="inlineStr">
        <is>
          <t>NYKÖPING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Ljungögontröst</t>
        </is>
      </c>
      <c r="S318">
        <f>HYPERLINK("https://klasma.github.io/Logging_0480/artfynd/A 11751-2022 artfynd.xlsx", "A 11751-2022")</f>
        <v/>
      </c>
      <c r="T318">
        <f>HYPERLINK("https://klasma.github.io/Logging_0480/kartor/A 11751-2022 karta.png", "A 11751-2022")</f>
        <v/>
      </c>
      <c r="V318">
        <f>HYPERLINK("https://klasma.github.io/Logging_0480/klagomål/A 11751-2022 FSC-klagomål.docx", "A 11751-2022")</f>
        <v/>
      </c>
      <c r="W318">
        <f>HYPERLINK("https://klasma.github.io/Logging_0480/klagomålsmail/A 11751-2022 FSC-klagomål mail.docx", "A 11751-2022")</f>
        <v/>
      </c>
      <c r="X318">
        <f>HYPERLINK("https://klasma.github.io/Logging_0480/tillsyn/A 11751-2022 tillsynsbegäran.docx", "A 11751-2022")</f>
        <v/>
      </c>
      <c r="Y318">
        <f>HYPERLINK("https://klasma.github.io/Logging_0480/tillsynsmail/A 11751-2022 tillsynsbegäran mail.docx", "A 11751-2022")</f>
        <v/>
      </c>
    </row>
    <row r="319" ht="15" customHeight="1">
      <c r="A319" t="inlineStr">
        <is>
          <t>A 13464-2022</t>
        </is>
      </c>
      <c r="B319" s="1" t="n">
        <v>44645</v>
      </c>
      <c r="C319" s="1" t="n">
        <v>45216</v>
      </c>
      <c r="D319" t="inlineStr">
        <is>
          <t>SÖDERMANLANDS LÄN</t>
        </is>
      </c>
      <c r="E319" t="inlineStr">
        <is>
          <t>NYKÖPING</t>
        </is>
      </c>
      <c r="G319" t="n">
        <v>12.6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Grönpyrola</t>
        </is>
      </c>
      <c r="S319">
        <f>HYPERLINK("https://klasma.github.io/Logging_0480/artfynd/A 13464-2022 artfynd.xlsx", "A 13464-2022")</f>
        <v/>
      </c>
      <c r="T319">
        <f>HYPERLINK("https://klasma.github.io/Logging_0480/kartor/A 13464-2022 karta.png", "A 13464-2022")</f>
        <v/>
      </c>
      <c r="V319">
        <f>HYPERLINK("https://klasma.github.io/Logging_0480/klagomål/A 13464-2022 FSC-klagomål.docx", "A 13464-2022")</f>
        <v/>
      </c>
      <c r="W319">
        <f>HYPERLINK("https://klasma.github.io/Logging_0480/klagomålsmail/A 13464-2022 FSC-klagomål mail.docx", "A 13464-2022")</f>
        <v/>
      </c>
      <c r="X319">
        <f>HYPERLINK("https://klasma.github.io/Logging_0480/tillsyn/A 13464-2022 tillsynsbegäran.docx", "A 13464-2022")</f>
        <v/>
      </c>
      <c r="Y319">
        <f>HYPERLINK("https://klasma.github.io/Logging_0480/tillsynsmail/A 13464-2022 tillsynsbegäran mail.docx", "A 13464-2022")</f>
        <v/>
      </c>
    </row>
    <row r="320" ht="15" customHeight="1">
      <c r="A320" t="inlineStr">
        <is>
          <t>A 15960-2022</t>
        </is>
      </c>
      <c r="B320" s="1" t="n">
        <v>44664</v>
      </c>
      <c r="C320" s="1" t="n">
        <v>45216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Allmännings- och besparingsskogar</t>
        </is>
      </c>
      <c r="G320" t="n">
        <v>11.9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Scharlakansvårskål agg.</t>
        </is>
      </c>
      <c r="S320">
        <f>HYPERLINK("https://klasma.github.io/Logging_0484/artfynd/A 15960-2022 artfynd.xlsx", "A 15960-2022")</f>
        <v/>
      </c>
      <c r="T320">
        <f>HYPERLINK("https://klasma.github.io/Logging_0484/kartor/A 15960-2022 karta.png", "A 15960-2022")</f>
        <v/>
      </c>
      <c r="V320">
        <f>HYPERLINK("https://klasma.github.io/Logging_0484/klagomål/A 15960-2022 FSC-klagomål.docx", "A 15960-2022")</f>
        <v/>
      </c>
      <c r="W320">
        <f>HYPERLINK("https://klasma.github.io/Logging_0484/klagomålsmail/A 15960-2022 FSC-klagomål mail.docx", "A 15960-2022")</f>
        <v/>
      </c>
      <c r="X320">
        <f>HYPERLINK("https://klasma.github.io/Logging_0484/tillsyn/A 15960-2022 tillsynsbegäran.docx", "A 15960-2022")</f>
        <v/>
      </c>
      <c r="Y320">
        <f>HYPERLINK("https://klasma.github.io/Logging_0484/tillsynsmail/A 15960-2022 tillsynsbegäran mail.docx", "A 15960-2022")</f>
        <v/>
      </c>
    </row>
    <row r="321" ht="15" customHeight="1">
      <c r="A321" t="inlineStr">
        <is>
          <t>A 16458-2022</t>
        </is>
      </c>
      <c r="B321" s="1" t="n">
        <v>44671</v>
      </c>
      <c r="C321" s="1" t="n">
        <v>45216</v>
      </c>
      <c r="D321" t="inlineStr">
        <is>
          <t>SÖDERMANLANDS LÄN</t>
        </is>
      </c>
      <c r="E321" t="inlineStr">
        <is>
          <t>KATRINEHOLM</t>
        </is>
      </c>
      <c r="G321" t="n">
        <v>16.4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Duvhök</t>
        </is>
      </c>
      <c r="S321">
        <f>HYPERLINK("https://klasma.github.io/Logging_0483/artfynd/A 16458-2022 artfynd.xlsx", "A 16458-2022")</f>
        <v/>
      </c>
      <c r="T321">
        <f>HYPERLINK("https://klasma.github.io/Logging_0483/kartor/A 16458-2022 karta.png", "A 16458-2022")</f>
        <v/>
      </c>
      <c r="V321">
        <f>HYPERLINK("https://klasma.github.io/Logging_0483/klagomål/A 16458-2022 FSC-klagomål.docx", "A 16458-2022")</f>
        <v/>
      </c>
      <c r="W321">
        <f>HYPERLINK("https://klasma.github.io/Logging_0483/klagomålsmail/A 16458-2022 FSC-klagomål mail.docx", "A 16458-2022")</f>
        <v/>
      </c>
      <c r="X321">
        <f>HYPERLINK("https://klasma.github.io/Logging_0483/tillsyn/A 16458-2022 tillsynsbegäran.docx", "A 16458-2022")</f>
        <v/>
      </c>
      <c r="Y321">
        <f>HYPERLINK("https://klasma.github.io/Logging_0483/tillsynsmail/A 16458-2022 tillsynsbegäran mail.docx", "A 16458-2022")</f>
        <v/>
      </c>
    </row>
    <row r="322" ht="15" customHeight="1">
      <c r="A322" t="inlineStr">
        <is>
          <t>A 24454-2022</t>
        </is>
      </c>
      <c r="B322" s="1" t="n">
        <v>44726</v>
      </c>
      <c r="C322" s="1" t="n">
        <v>45216</v>
      </c>
      <c r="D322" t="inlineStr">
        <is>
          <t>SÖDERMANLANDS LÄN</t>
        </is>
      </c>
      <c r="E322" t="inlineStr">
        <is>
          <t>STRÄNGNÄS</t>
        </is>
      </c>
      <c r="G322" t="n">
        <v>12.5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Järpe</t>
        </is>
      </c>
      <c r="S322">
        <f>HYPERLINK("https://klasma.github.io/Logging_0486/artfynd/A 24454-2022 artfynd.xlsx", "A 24454-2022")</f>
        <v/>
      </c>
      <c r="T322">
        <f>HYPERLINK("https://klasma.github.io/Logging_0486/kartor/A 24454-2022 karta.png", "A 24454-2022")</f>
        <v/>
      </c>
      <c r="V322">
        <f>HYPERLINK("https://klasma.github.io/Logging_0486/klagomål/A 24454-2022 FSC-klagomål.docx", "A 24454-2022")</f>
        <v/>
      </c>
      <c r="W322">
        <f>HYPERLINK("https://klasma.github.io/Logging_0486/klagomålsmail/A 24454-2022 FSC-klagomål mail.docx", "A 24454-2022")</f>
        <v/>
      </c>
      <c r="X322">
        <f>HYPERLINK("https://klasma.github.io/Logging_0486/tillsyn/A 24454-2022 tillsynsbegäran.docx", "A 24454-2022")</f>
        <v/>
      </c>
      <c r="Y322">
        <f>HYPERLINK("https://klasma.github.io/Logging_0486/tillsynsmail/A 24454-2022 tillsynsbegäran mail.docx", "A 24454-2022")</f>
        <v/>
      </c>
    </row>
    <row r="323" ht="15" customHeight="1">
      <c r="A323" t="inlineStr">
        <is>
          <t>A 25724-2022</t>
        </is>
      </c>
      <c r="B323" s="1" t="n">
        <v>44733</v>
      </c>
      <c r="C323" s="1" t="n">
        <v>45216</v>
      </c>
      <c r="D323" t="inlineStr">
        <is>
          <t>SÖDERMANLANDS LÄN</t>
        </is>
      </c>
      <c r="E323" t="inlineStr">
        <is>
          <t>KATRINEHOLM</t>
        </is>
      </c>
      <c r="G323" t="n">
        <v>0.8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Kamjordstjärna</t>
        </is>
      </c>
      <c r="S323">
        <f>HYPERLINK("https://klasma.github.io/Logging_0483/artfynd/A 25724-2022 artfynd.xlsx", "A 25724-2022")</f>
        <v/>
      </c>
      <c r="T323">
        <f>HYPERLINK("https://klasma.github.io/Logging_0483/kartor/A 25724-2022 karta.png", "A 25724-2022")</f>
        <v/>
      </c>
      <c r="V323">
        <f>HYPERLINK("https://klasma.github.io/Logging_0483/klagomål/A 25724-2022 FSC-klagomål.docx", "A 25724-2022")</f>
        <v/>
      </c>
      <c r="W323">
        <f>HYPERLINK("https://klasma.github.io/Logging_0483/klagomålsmail/A 25724-2022 FSC-klagomål mail.docx", "A 25724-2022")</f>
        <v/>
      </c>
      <c r="X323">
        <f>HYPERLINK("https://klasma.github.io/Logging_0483/tillsyn/A 25724-2022 tillsynsbegäran.docx", "A 25724-2022")</f>
        <v/>
      </c>
      <c r="Y323">
        <f>HYPERLINK("https://klasma.github.io/Logging_0483/tillsynsmail/A 25724-2022 tillsynsbegäran mail.docx", "A 25724-2022")</f>
        <v/>
      </c>
    </row>
    <row r="324" ht="15" customHeight="1">
      <c r="A324" t="inlineStr">
        <is>
          <t>A 30727-2022</t>
        </is>
      </c>
      <c r="B324" s="1" t="n">
        <v>44763</v>
      </c>
      <c r="C324" s="1" t="n">
        <v>45216</v>
      </c>
      <c r="D324" t="inlineStr">
        <is>
          <t>SÖDERMANLANDS LÄN</t>
        </is>
      </c>
      <c r="E324" t="inlineStr">
        <is>
          <t>KATRINEHOLM</t>
        </is>
      </c>
      <c r="F324" t="inlineStr">
        <is>
          <t>Allmännings- och besparingsskogar</t>
        </is>
      </c>
      <c r="G324" t="n">
        <v>6.6</v>
      </c>
      <c r="H324" t="n">
        <v>1</v>
      </c>
      <c r="I324" t="n">
        <v>0</v>
      </c>
      <c r="J324" t="n">
        <v>0</v>
      </c>
      <c r="K324" t="n">
        <v>1</v>
      </c>
      <c r="L324" t="n">
        <v>0</v>
      </c>
      <c r="M324" t="n">
        <v>0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Knärot</t>
        </is>
      </c>
      <c r="S324">
        <f>HYPERLINK("https://klasma.github.io/Logging_0483/artfynd/A 30727-2022 artfynd.xlsx", "A 30727-2022")</f>
        <v/>
      </c>
      <c r="T324">
        <f>HYPERLINK("https://klasma.github.io/Logging_0483/kartor/A 30727-2022 karta.png", "A 30727-2022")</f>
        <v/>
      </c>
      <c r="U324">
        <f>HYPERLINK("https://klasma.github.io/Logging_0483/knärot/A 30727-2022 karta knärot.png", "A 30727-2022")</f>
        <v/>
      </c>
      <c r="V324">
        <f>HYPERLINK("https://klasma.github.io/Logging_0483/klagomål/A 30727-2022 FSC-klagomål.docx", "A 30727-2022")</f>
        <v/>
      </c>
      <c r="W324">
        <f>HYPERLINK("https://klasma.github.io/Logging_0483/klagomålsmail/A 30727-2022 FSC-klagomål mail.docx", "A 30727-2022")</f>
        <v/>
      </c>
      <c r="X324">
        <f>HYPERLINK("https://klasma.github.io/Logging_0483/tillsyn/A 30727-2022 tillsynsbegäran.docx", "A 30727-2022")</f>
        <v/>
      </c>
      <c r="Y324">
        <f>HYPERLINK("https://klasma.github.io/Logging_0483/tillsynsmail/A 30727-2022 tillsynsbegäran mail.docx", "A 30727-2022")</f>
        <v/>
      </c>
    </row>
    <row r="325" ht="15" customHeight="1">
      <c r="A325" t="inlineStr">
        <is>
          <t>A 32252-2022</t>
        </is>
      </c>
      <c r="B325" s="1" t="n">
        <v>44781</v>
      </c>
      <c r="C325" s="1" t="n">
        <v>45216</v>
      </c>
      <c r="D325" t="inlineStr">
        <is>
          <t>SÖDERMANLANDS LÄN</t>
        </is>
      </c>
      <c r="E325" t="inlineStr">
        <is>
          <t>GNESTA</t>
        </is>
      </c>
      <c r="G325" t="n">
        <v>17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Svavelriska</t>
        </is>
      </c>
      <c r="S325">
        <f>HYPERLINK("https://klasma.github.io/Logging_0461/artfynd/A 32252-2022 artfynd.xlsx", "A 32252-2022")</f>
        <v/>
      </c>
      <c r="T325">
        <f>HYPERLINK("https://klasma.github.io/Logging_0461/kartor/A 32252-2022 karta.png", "A 32252-2022")</f>
        <v/>
      </c>
      <c r="V325">
        <f>HYPERLINK("https://klasma.github.io/Logging_0461/klagomål/A 32252-2022 FSC-klagomål.docx", "A 32252-2022")</f>
        <v/>
      </c>
      <c r="W325">
        <f>HYPERLINK("https://klasma.github.io/Logging_0461/klagomålsmail/A 32252-2022 FSC-klagomål mail.docx", "A 32252-2022")</f>
        <v/>
      </c>
      <c r="X325">
        <f>HYPERLINK("https://klasma.github.io/Logging_0461/tillsyn/A 32252-2022 tillsynsbegäran.docx", "A 32252-2022")</f>
        <v/>
      </c>
      <c r="Y325">
        <f>HYPERLINK("https://klasma.github.io/Logging_0461/tillsynsmail/A 32252-2022 tillsynsbegäran mail.docx", "A 32252-2022")</f>
        <v/>
      </c>
    </row>
    <row r="326" ht="15" customHeight="1">
      <c r="A326" t="inlineStr">
        <is>
          <t>A 33751-2022</t>
        </is>
      </c>
      <c r="B326" s="1" t="n">
        <v>44789</v>
      </c>
      <c r="C326" s="1" t="n">
        <v>45216</v>
      </c>
      <c r="D326" t="inlineStr">
        <is>
          <t>SÖDERMANLANDS LÄN</t>
        </is>
      </c>
      <c r="E326" t="inlineStr">
        <is>
          <t>STRÄNGNÄS</t>
        </is>
      </c>
      <c r="G326" t="n">
        <v>2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Grönpyrola</t>
        </is>
      </c>
      <c r="S326">
        <f>HYPERLINK("https://klasma.github.io/Logging_0486/artfynd/A 33751-2022 artfynd.xlsx", "A 33751-2022")</f>
        <v/>
      </c>
      <c r="T326">
        <f>HYPERLINK("https://klasma.github.io/Logging_0486/kartor/A 33751-2022 karta.png", "A 33751-2022")</f>
        <v/>
      </c>
      <c r="V326">
        <f>HYPERLINK("https://klasma.github.io/Logging_0486/klagomål/A 33751-2022 FSC-klagomål.docx", "A 33751-2022")</f>
        <v/>
      </c>
      <c r="W326">
        <f>HYPERLINK("https://klasma.github.io/Logging_0486/klagomålsmail/A 33751-2022 FSC-klagomål mail.docx", "A 33751-2022")</f>
        <v/>
      </c>
      <c r="X326">
        <f>HYPERLINK("https://klasma.github.io/Logging_0486/tillsyn/A 33751-2022 tillsynsbegäran.docx", "A 33751-2022")</f>
        <v/>
      </c>
      <c r="Y326">
        <f>HYPERLINK("https://klasma.github.io/Logging_0486/tillsynsmail/A 33751-2022 tillsynsbegäran mail.docx", "A 33751-2022")</f>
        <v/>
      </c>
    </row>
    <row r="327" ht="15" customHeight="1">
      <c r="A327" t="inlineStr">
        <is>
          <t>A 33825-2022</t>
        </is>
      </c>
      <c r="B327" s="1" t="n">
        <v>44790</v>
      </c>
      <c r="C327" s="1" t="n">
        <v>45216</v>
      </c>
      <c r="D327" t="inlineStr">
        <is>
          <t>SÖDERMANLANDS LÄN</t>
        </is>
      </c>
      <c r="E327" t="inlineStr">
        <is>
          <t>GNESTA</t>
        </is>
      </c>
      <c r="G327" t="n">
        <v>5.7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Mattlummer</t>
        </is>
      </c>
      <c r="S327">
        <f>HYPERLINK("https://klasma.github.io/Logging_0461/artfynd/A 33825-2022 artfynd.xlsx", "A 33825-2022")</f>
        <v/>
      </c>
      <c r="T327">
        <f>HYPERLINK("https://klasma.github.io/Logging_0461/kartor/A 33825-2022 karta.png", "A 33825-2022")</f>
        <v/>
      </c>
      <c r="V327">
        <f>HYPERLINK("https://klasma.github.io/Logging_0461/klagomål/A 33825-2022 FSC-klagomål.docx", "A 33825-2022")</f>
        <v/>
      </c>
      <c r="W327">
        <f>HYPERLINK("https://klasma.github.io/Logging_0461/klagomålsmail/A 33825-2022 FSC-klagomål mail.docx", "A 33825-2022")</f>
        <v/>
      </c>
      <c r="X327">
        <f>HYPERLINK("https://klasma.github.io/Logging_0461/tillsyn/A 33825-2022 tillsynsbegäran.docx", "A 33825-2022")</f>
        <v/>
      </c>
      <c r="Y327">
        <f>HYPERLINK("https://klasma.github.io/Logging_0461/tillsynsmail/A 33825-2022 tillsynsbegäran mail.docx", "A 33825-2022")</f>
        <v/>
      </c>
    </row>
    <row r="328" ht="15" customHeight="1">
      <c r="A328" t="inlineStr">
        <is>
          <t>A 34498-2022</t>
        </is>
      </c>
      <c r="B328" s="1" t="n">
        <v>44792</v>
      </c>
      <c r="C328" s="1" t="n">
        <v>45216</v>
      </c>
      <c r="D328" t="inlineStr">
        <is>
          <t>SÖDERMANLANDS LÄN</t>
        </is>
      </c>
      <c r="E328" t="inlineStr">
        <is>
          <t>FLEN</t>
        </is>
      </c>
      <c r="G328" t="n">
        <v>1.5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Gullklöver</t>
        </is>
      </c>
      <c r="S328">
        <f>HYPERLINK("https://klasma.github.io/Logging_0482/artfynd/A 34498-2022 artfynd.xlsx", "A 34498-2022")</f>
        <v/>
      </c>
      <c r="T328">
        <f>HYPERLINK("https://klasma.github.io/Logging_0482/kartor/A 34498-2022 karta.png", "A 34498-2022")</f>
        <v/>
      </c>
      <c r="V328">
        <f>HYPERLINK("https://klasma.github.io/Logging_0482/klagomål/A 34498-2022 FSC-klagomål.docx", "A 34498-2022")</f>
        <v/>
      </c>
      <c r="W328">
        <f>HYPERLINK("https://klasma.github.io/Logging_0482/klagomålsmail/A 34498-2022 FSC-klagomål mail.docx", "A 34498-2022")</f>
        <v/>
      </c>
      <c r="X328">
        <f>HYPERLINK("https://klasma.github.io/Logging_0482/tillsyn/A 34498-2022 tillsynsbegäran.docx", "A 34498-2022")</f>
        <v/>
      </c>
      <c r="Y328">
        <f>HYPERLINK("https://klasma.github.io/Logging_0482/tillsynsmail/A 34498-2022 tillsynsbegäran mail.docx", "A 34498-2022")</f>
        <v/>
      </c>
    </row>
    <row r="329" ht="15" customHeight="1">
      <c r="A329" t="inlineStr">
        <is>
          <t>A 35278-2022</t>
        </is>
      </c>
      <c r="B329" s="1" t="n">
        <v>44798</v>
      </c>
      <c r="C329" s="1" t="n">
        <v>45216</v>
      </c>
      <c r="D329" t="inlineStr">
        <is>
          <t>SÖDERMANLANDS LÄN</t>
        </is>
      </c>
      <c r="E329" t="inlineStr">
        <is>
          <t>FLEN</t>
        </is>
      </c>
      <c r="G329" t="n">
        <v>2.3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Grönvit nattviol</t>
        </is>
      </c>
      <c r="S329">
        <f>HYPERLINK("https://klasma.github.io/Logging_0482/artfynd/A 35278-2022 artfynd.xlsx", "A 35278-2022")</f>
        <v/>
      </c>
      <c r="T329">
        <f>HYPERLINK("https://klasma.github.io/Logging_0482/kartor/A 35278-2022 karta.png", "A 35278-2022")</f>
        <v/>
      </c>
      <c r="V329">
        <f>HYPERLINK("https://klasma.github.io/Logging_0482/klagomål/A 35278-2022 FSC-klagomål.docx", "A 35278-2022")</f>
        <v/>
      </c>
      <c r="W329">
        <f>HYPERLINK("https://klasma.github.io/Logging_0482/klagomålsmail/A 35278-2022 FSC-klagomål mail.docx", "A 35278-2022")</f>
        <v/>
      </c>
      <c r="X329">
        <f>HYPERLINK("https://klasma.github.io/Logging_0482/tillsyn/A 35278-2022 tillsynsbegäran.docx", "A 35278-2022")</f>
        <v/>
      </c>
      <c r="Y329">
        <f>HYPERLINK("https://klasma.github.io/Logging_0482/tillsynsmail/A 35278-2022 tillsynsbegäran mail.docx", "A 35278-2022")</f>
        <v/>
      </c>
    </row>
    <row r="330" ht="15" customHeight="1">
      <c r="A330" t="inlineStr">
        <is>
          <t>A 36155-2022</t>
        </is>
      </c>
      <c r="B330" s="1" t="n">
        <v>44803</v>
      </c>
      <c r="C330" s="1" t="n">
        <v>45216</v>
      </c>
      <c r="D330" t="inlineStr">
        <is>
          <t>SÖDERMANLANDS LÄN</t>
        </is>
      </c>
      <c r="E330" t="inlineStr">
        <is>
          <t>ESKILSTUNA</t>
        </is>
      </c>
      <c r="G330" t="n">
        <v>5.2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HYPERLINK("https://klasma.github.io/Logging_0484/artfynd/A 36155-2022 artfynd.xlsx", "A 36155-2022")</f>
        <v/>
      </c>
      <c r="T330">
        <f>HYPERLINK("https://klasma.github.io/Logging_0484/kartor/A 36155-2022 karta.png", "A 36155-2022")</f>
        <v/>
      </c>
      <c r="V330">
        <f>HYPERLINK("https://klasma.github.io/Logging_0484/klagomål/A 36155-2022 FSC-klagomål.docx", "A 36155-2022")</f>
        <v/>
      </c>
      <c r="W330">
        <f>HYPERLINK("https://klasma.github.io/Logging_0484/klagomålsmail/A 36155-2022 FSC-klagomål mail.docx", "A 36155-2022")</f>
        <v/>
      </c>
      <c r="X330">
        <f>HYPERLINK("https://klasma.github.io/Logging_0484/tillsyn/A 36155-2022 tillsynsbegäran.docx", "A 36155-2022")</f>
        <v/>
      </c>
      <c r="Y330">
        <f>HYPERLINK("https://klasma.github.io/Logging_0484/tillsynsmail/A 36155-2022 tillsynsbegäran mail.docx", "A 36155-2022")</f>
        <v/>
      </c>
    </row>
    <row r="331" ht="15" customHeight="1">
      <c r="A331" t="inlineStr">
        <is>
          <t>A 36220-2022</t>
        </is>
      </c>
      <c r="B331" s="1" t="n">
        <v>44803</v>
      </c>
      <c r="C331" s="1" t="n">
        <v>45216</v>
      </c>
      <c r="D331" t="inlineStr">
        <is>
          <t>SÖDERMANLANDS LÄN</t>
        </is>
      </c>
      <c r="E331" t="inlineStr">
        <is>
          <t>KATRINEHOLM</t>
        </is>
      </c>
      <c r="G331" t="n">
        <v>3.1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Granbräken</t>
        </is>
      </c>
      <c r="S331">
        <f>HYPERLINK("https://klasma.github.io/Logging_0483/artfynd/A 36220-2022 artfynd.xlsx", "A 36220-2022")</f>
        <v/>
      </c>
      <c r="T331">
        <f>HYPERLINK("https://klasma.github.io/Logging_0483/kartor/A 36220-2022 karta.png", "A 36220-2022")</f>
        <v/>
      </c>
      <c r="V331">
        <f>HYPERLINK("https://klasma.github.io/Logging_0483/klagomål/A 36220-2022 FSC-klagomål.docx", "A 36220-2022")</f>
        <v/>
      </c>
      <c r="W331">
        <f>HYPERLINK("https://klasma.github.io/Logging_0483/klagomålsmail/A 36220-2022 FSC-klagomål mail.docx", "A 36220-2022")</f>
        <v/>
      </c>
      <c r="X331">
        <f>HYPERLINK("https://klasma.github.io/Logging_0483/tillsyn/A 36220-2022 tillsynsbegäran.docx", "A 36220-2022")</f>
        <v/>
      </c>
      <c r="Y331">
        <f>HYPERLINK("https://klasma.github.io/Logging_0483/tillsynsmail/A 36220-2022 tillsynsbegäran mail.docx", "A 36220-2022")</f>
        <v/>
      </c>
    </row>
    <row r="332" ht="15" customHeight="1">
      <c r="A332" t="inlineStr">
        <is>
          <t>A 36140-2022</t>
        </is>
      </c>
      <c r="B332" s="1" t="n">
        <v>44803</v>
      </c>
      <c r="C332" s="1" t="n">
        <v>45216</v>
      </c>
      <c r="D332" t="inlineStr">
        <is>
          <t>SÖDERMANLANDS LÄN</t>
        </is>
      </c>
      <c r="E332" t="inlineStr">
        <is>
          <t>ESKILSTUNA</t>
        </is>
      </c>
      <c r="G332" t="n">
        <v>5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HYPERLINK("https://klasma.github.io/Logging_0484/artfynd/A 36140-2022 artfynd.xlsx", "A 36140-2022")</f>
        <v/>
      </c>
      <c r="T332">
        <f>HYPERLINK("https://klasma.github.io/Logging_0484/kartor/A 36140-2022 karta.png", "A 36140-2022")</f>
        <v/>
      </c>
      <c r="V332">
        <f>HYPERLINK("https://klasma.github.io/Logging_0484/klagomål/A 36140-2022 FSC-klagomål.docx", "A 36140-2022")</f>
        <v/>
      </c>
      <c r="W332">
        <f>HYPERLINK("https://klasma.github.io/Logging_0484/klagomålsmail/A 36140-2022 FSC-klagomål mail.docx", "A 36140-2022")</f>
        <v/>
      </c>
      <c r="X332">
        <f>HYPERLINK("https://klasma.github.io/Logging_0484/tillsyn/A 36140-2022 tillsynsbegäran.docx", "A 36140-2022")</f>
        <v/>
      </c>
      <c r="Y332">
        <f>HYPERLINK("https://klasma.github.io/Logging_0484/tillsynsmail/A 36140-2022 tillsynsbegäran mail.docx", "A 36140-2022")</f>
        <v/>
      </c>
    </row>
    <row r="333" ht="15" customHeight="1">
      <c r="A333" t="inlineStr">
        <is>
          <t>A 36996-2022</t>
        </is>
      </c>
      <c r="B333" s="1" t="n">
        <v>44806</v>
      </c>
      <c r="C333" s="1" t="n">
        <v>45216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1.8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Vågbandad barkbock</t>
        </is>
      </c>
      <c r="S333">
        <f>HYPERLINK("https://klasma.github.io/Logging_0480/artfynd/A 36996-2022 artfynd.xlsx", "A 36996-2022")</f>
        <v/>
      </c>
      <c r="T333">
        <f>HYPERLINK("https://klasma.github.io/Logging_0480/kartor/A 36996-2022 karta.png", "A 36996-2022")</f>
        <v/>
      </c>
      <c r="V333">
        <f>HYPERLINK("https://klasma.github.io/Logging_0480/klagomål/A 36996-2022 FSC-klagomål.docx", "A 36996-2022")</f>
        <v/>
      </c>
      <c r="W333">
        <f>HYPERLINK("https://klasma.github.io/Logging_0480/klagomålsmail/A 36996-2022 FSC-klagomål mail.docx", "A 36996-2022")</f>
        <v/>
      </c>
      <c r="X333">
        <f>HYPERLINK("https://klasma.github.io/Logging_0480/tillsyn/A 36996-2022 tillsynsbegäran.docx", "A 36996-2022")</f>
        <v/>
      </c>
      <c r="Y333">
        <f>HYPERLINK("https://klasma.github.io/Logging_0480/tillsynsmail/A 36996-2022 tillsynsbegäran mail.docx", "A 36996-2022")</f>
        <v/>
      </c>
    </row>
    <row r="334" ht="15" customHeight="1">
      <c r="A334" t="inlineStr">
        <is>
          <t>A 39740-2022</t>
        </is>
      </c>
      <c r="B334" s="1" t="n">
        <v>44817</v>
      </c>
      <c r="C334" s="1" t="n">
        <v>45216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3.4</v>
      </c>
      <c r="H334" t="n">
        <v>1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Blåsippa</t>
        </is>
      </c>
      <c r="S334">
        <f>HYPERLINK("https://klasma.github.io/Logging_0480/artfynd/A 39740-2022 artfynd.xlsx", "A 39740-2022")</f>
        <v/>
      </c>
      <c r="T334">
        <f>HYPERLINK("https://klasma.github.io/Logging_0480/kartor/A 39740-2022 karta.png", "A 39740-2022")</f>
        <v/>
      </c>
      <c r="V334">
        <f>HYPERLINK("https://klasma.github.io/Logging_0480/klagomål/A 39740-2022 FSC-klagomål.docx", "A 39740-2022")</f>
        <v/>
      </c>
      <c r="W334">
        <f>HYPERLINK("https://klasma.github.io/Logging_0480/klagomålsmail/A 39740-2022 FSC-klagomål mail.docx", "A 39740-2022")</f>
        <v/>
      </c>
      <c r="X334">
        <f>HYPERLINK("https://klasma.github.io/Logging_0480/tillsyn/A 39740-2022 tillsynsbegäran.docx", "A 39740-2022")</f>
        <v/>
      </c>
      <c r="Y334">
        <f>HYPERLINK("https://klasma.github.io/Logging_0480/tillsynsmail/A 39740-2022 tillsynsbegäran mail.docx", "A 39740-2022")</f>
        <v/>
      </c>
    </row>
    <row r="335" ht="15" customHeight="1">
      <c r="A335" t="inlineStr">
        <is>
          <t>A 41511-2022</t>
        </is>
      </c>
      <c r="B335" s="1" t="n">
        <v>44827</v>
      </c>
      <c r="C335" s="1" t="n">
        <v>45216</v>
      </c>
      <c r="D335" t="inlineStr">
        <is>
          <t>SÖDERMANLANDS LÄN</t>
        </is>
      </c>
      <c r="E335" t="inlineStr">
        <is>
          <t>STRÄNGNÄS</t>
        </is>
      </c>
      <c r="F335" t="inlineStr">
        <is>
          <t>Övriga Aktiebolag</t>
        </is>
      </c>
      <c r="G335" t="n">
        <v>5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Tallticka</t>
        </is>
      </c>
      <c r="S335">
        <f>HYPERLINK("https://klasma.github.io/Logging_0486/artfynd/A 41511-2022 artfynd.xlsx", "A 41511-2022")</f>
        <v/>
      </c>
      <c r="T335">
        <f>HYPERLINK("https://klasma.github.io/Logging_0486/kartor/A 41511-2022 karta.png", "A 41511-2022")</f>
        <v/>
      </c>
      <c r="V335">
        <f>HYPERLINK("https://klasma.github.io/Logging_0486/klagomål/A 41511-2022 FSC-klagomål.docx", "A 41511-2022")</f>
        <v/>
      </c>
      <c r="W335">
        <f>HYPERLINK("https://klasma.github.io/Logging_0486/klagomålsmail/A 41511-2022 FSC-klagomål mail.docx", "A 41511-2022")</f>
        <v/>
      </c>
      <c r="X335">
        <f>HYPERLINK("https://klasma.github.io/Logging_0486/tillsyn/A 41511-2022 tillsynsbegäran.docx", "A 41511-2022")</f>
        <v/>
      </c>
      <c r="Y335">
        <f>HYPERLINK("https://klasma.github.io/Logging_0486/tillsynsmail/A 41511-2022 tillsynsbegäran mail.docx", "A 41511-2022")</f>
        <v/>
      </c>
    </row>
    <row r="336" ht="15" customHeight="1">
      <c r="A336" t="inlineStr">
        <is>
          <t>A 42227-2022</t>
        </is>
      </c>
      <c r="B336" s="1" t="n">
        <v>44830</v>
      </c>
      <c r="C336" s="1" t="n">
        <v>45216</v>
      </c>
      <c r="D336" t="inlineStr">
        <is>
          <t>SÖDERMANLANDS LÄN</t>
        </is>
      </c>
      <c r="E336" t="inlineStr">
        <is>
          <t>GNESTA</t>
        </is>
      </c>
      <c r="G336" t="n">
        <v>4.8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Sotlav</t>
        </is>
      </c>
      <c r="S336">
        <f>HYPERLINK("https://klasma.github.io/Logging_0461/artfynd/A 42227-2022 artfynd.xlsx", "A 42227-2022")</f>
        <v/>
      </c>
      <c r="T336">
        <f>HYPERLINK("https://klasma.github.io/Logging_0461/kartor/A 42227-2022 karta.png", "A 42227-2022")</f>
        <v/>
      </c>
      <c r="V336">
        <f>HYPERLINK("https://klasma.github.io/Logging_0461/klagomål/A 42227-2022 FSC-klagomål.docx", "A 42227-2022")</f>
        <v/>
      </c>
      <c r="W336">
        <f>HYPERLINK("https://klasma.github.io/Logging_0461/klagomålsmail/A 42227-2022 FSC-klagomål mail.docx", "A 42227-2022")</f>
        <v/>
      </c>
      <c r="X336">
        <f>HYPERLINK("https://klasma.github.io/Logging_0461/tillsyn/A 42227-2022 tillsynsbegäran.docx", "A 42227-2022")</f>
        <v/>
      </c>
      <c r="Y336">
        <f>HYPERLINK("https://klasma.github.io/Logging_0461/tillsynsmail/A 42227-2022 tillsynsbegäran mail.docx", "A 42227-2022")</f>
        <v/>
      </c>
    </row>
    <row r="337" ht="15" customHeight="1">
      <c r="A337" t="inlineStr">
        <is>
          <t>A 42745-2022</t>
        </is>
      </c>
      <c r="B337" s="1" t="n">
        <v>44831</v>
      </c>
      <c r="C337" s="1" t="n">
        <v>45216</v>
      </c>
      <c r="D337" t="inlineStr">
        <is>
          <t>SÖDERMANLANDS LÄN</t>
        </is>
      </c>
      <c r="E337" t="inlineStr">
        <is>
          <t>KATRINEHOLM</t>
        </is>
      </c>
      <c r="G337" t="n">
        <v>4.6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Svedjenäva</t>
        </is>
      </c>
      <c r="S337">
        <f>HYPERLINK("https://klasma.github.io/Logging_0483/artfynd/A 42745-2022 artfynd.xlsx", "A 42745-2022")</f>
        <v/>
      </c>
      <c r="T337">
        <f>HYPERLINK("https://klasma.github.io/Logging_0483/kartor/A 42745-2022 karta.png", "A 42745-2022")</f>
        <v/>
      </c>
      <c r="V337">
        <f>HYPERLINK("https://klasma.github.io/Logging_0483/klagomål/A 42745-2022 FSC-klagomål.docx", "A 42745-2022")</f>
        <v/>
      </c>
      <c r="W337">
        <f>HYPERLINK("https://klasma.github.io/Logging_0483/klagomålsmail/A 42745-2022 FSC-klagomål mail.docx", "A 42745-2022")</f>
        <v/>
      </c>
      <c r="X337">
        <f>HYPERLINK("https://klasma.github.io/Logging_0483/tillsyn/A 42745-2022 tillsynsbegäran.docx", "A 42745-2022")</f>
        <v/>
      </c>
      <c r="Y337">
        <f>HYPERLINK("https://klasma.github.io/Logging_0483/tillsynsmail/A 42745-2022 tillsynsbegäran mail.docx", "A 42745-2022")</f>
        <v/>
      </c>
    </row>
    <row r="338" ht="15" customHeight="1">
      <c r="A338" t="inlineStr">
        <is>
          <t>A 43547-2022</t>
        </is>
      </c>
      <c r="B338" s="1" t="n">
        <v>44834</v>
      </c>
      <c r="C338" s="1" t="n">
        <v>45216</v>
      </c>
      <c r="D338" t="inlineStr">
        <is>
          <t>SÖDERMANLANDS LÄN</t>
        </is>
      </c>
      <c r="E338" t="inlineStr">
        <is>
          <t>ESKILSTUNA</t>
        </is>
      </c>
      <c r="G338" t="n">
        <v>3.2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HYPERLINK("https://klasma.github.io/Logging_0484/artfynd/A 43547-2022 artfynd.xlsx", "A 43547-2022")</f>
        <v/>
      </c>
      <c r="T338">
        <f>HYPERLINK("https://klasma.github.io/Logging_0484/kartor/A 43547-2022 karta.png", "A 43547-2022")</f>
        <v/>
      </c>
      <c r="U338">
        <f>HYPERLINK("https://klasma.github.io/Logging_0484/knärot/A 43547-2022 karta knärot.png", "A 43547-2022")</f>
        <v/>
      </c>
      <c r="V338">
        <f>HYPERLINK("https://klasma.github.io/Logging_0484/klagomål/A 43547-2022 FSC-klagomål.docx", "A 43547-2022")</f>
        <v/>
      </c>
      <c r="W338">
        <f>HYPERLINK("https://klasma.github.io/Logging_0484/klagomålsmail/A 43547-2022 FSC-klagomål mail.docx", "A 43547-2022")</f>
        <v/>
      </c>
      <c r="X338">
        <f>HYPERLINK("https://klasma.github.io/Logging_0484/tillsyn/A 43547-2022 tillsynsbegäran.docx", "A 43547-2022")</f>
        <v/>
      </c>
      <c r="Y338">
        <f>HYPERLINK("https://klasma.github.io/Logging_0484/tillsynsmail/A 43547-2022 tillsynsbegäran mail.docx", "A 43547-2022")</f>
        <v/>
      </c>
    </row>
    <row r="339" ht="15" customHeight="1">
      <c r="A339" t="inlineStr">
        <is>
          <t>A 44782-2022</t>
        </is>
      </c>
      <c r="B339" s="1" t="n">
        <v>44839</v>
      </c>
      <c r="C339" s="1" t="n">
        <v>45216</v>
      </c>
      <c r="D339" t="inlineStr">
        <is>
          <t>SÖDERMANLANDS LÄN</t>
        </is>
      </c>
      <c r="E339" t="inlineStr">
        <is>
          <t>GNESTA</t>
        </is>
      </c>
      <c r="G339" t="n">
        <v>5.6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Bredbrämad bastardsvärmare</t>
        </is>
      </c>
      <c r="S339">
        <f>HYPERLINK("https://klasma.github.io/Logging_0461/artfynd/A 44782-2022 artfynd.xlsx", "A 44782-2022")</f>
        <v/>
      </c>
      <c r="T339">
        <f>HYPERLINK("https://klasma.github.io/Logging_0461/kartor/A 44782-2022 karta.png", "A 44782-2022")</f>
        <v/>
      </c>
      <c r="V339">
        <f>HYPERLINK("https://klasma.github.io/Logging_0461/klagomål/A 44782-2022 FSC-klagomål.docx", "A 44782-2022")</f>
        <v/>
      </c>
      <c r="W339">
        <f>HYPERLINK("https://klasma.github.io/Logging_0461/klagomålsmail/A 44782-2022 FSC-klagomål mail.docx", "A 44782-2022")</f>
        <v/>
      </c>
      <c r="X339">
        <f>HYPERLINK("https://klasma.github.io/Logging_0461/tillsyn/A 44782-2022 tillsynsbegäran.docx", "A 44782-2022")</f>
        <v/>
      </c>
      <c r="Y339">
        <f>HYPERLINK("https://klasma.github.io/Logging_0461/tillsynsmail/A 44782-2022 tillsynsbegäran mail.docx", "A 44782-2022")</f>
        <v/>
      </c>
    </row>
    <row r="340" ht="15" customHeight="1">
      <c r="A340" t="inlineStr">
        <is>
          <t>A 44262-2022</t>
        </is>
      </c>
      <c r="B340" s="1" t="n">
        <v>44839</v>
      </c>
      <c r="C340" s="1" t="n">
        <v>45216</v>
      </c>
      <c r="D340" t="inlineStr">
        <is>
          <t>SÖDERMANLANDS LÄN</t>
        </is>
      </c>
      <c r="E340" t="inlineStr">
        <is>
          <t>KATRINEHOLM</t>
        </is>
      </c>
      <c r="G340" t="n">
        <v>0.1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Bombmurkla</t>
        </is>
      </c>
      <c r="S340">
        <f>HYPERLINK("https://klasma.github.io/Logging_0483/artfynd/A 44262-2022 artfynd.xlsx", "A 44262-2022")</f>
        <v/>
      </c>
      <c r="T340">
        <f>HYPERLINK("https://klasma.github.io/Logging_0483/kartor/A 44262-2022 karta.png", "A 44262-2022")</f>
        <v/>
      </c>
      <c r="V340">
        <f>HYPERLINK("https://klasma.github.io/Logging_0483/klagomål/A 44262-2022 FSC-klagomål.docx", "A 44262-2022")</f>
        <v/>
      </c>
      <c r="W340">
        <f>HYPERLINK("https://klasma.github.io/Logging_0483/klagomålsmail/A 44262-2022 FSC-klagomål mail.docx", "A 44262-2022")</f>
        <v/>
      </c>
      <c r="X340">
        <f>HYPERLINK("https://klasma.github.io/Logging_0483/tillsyn/A 44262-2022 tillsynsbegäran.docx", "A 44262-2022")</f>
        <v/>
      </c>
      <c r="Y340">
        <f>HYPERLINK("https://klasma.github.io/Logging_0483/tillsynsmail/A 44262-2022 tillsynsbegäran mail.docx", "A 44262-2022")</f>
        <v/>
      </c>
    </row>
    <row r="341" ht="15" customHeight="1">
      <c r="A341" t="inlineStr">
        <is>
          <t>A 44664-2022</t>
        </is>
      </c>
      <c r="B341" s="1" t="n">
        <v>44840</v>
      </c>
      <c r="C341" s="1" t="n">
        <v>45216</v>
      </c>
      <c r="D341" t="inlineStr">
        <is>
          <t>SÖDERMANLANDS LÄN</t>
        </is>
      </c>
      <c r="E341" t="inlineStr">
        <is>
          <t>ESKILSTUNA</t>
        </is>
      </c>
      <c r="G341" t="n">
        <v>20.8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HYPERLINK("https://klasma.github.io/Logging_0484/artfynd/A 44664-2022 artfynd.xlsx", "A 44664-2022")</f>
        <v/>
      </c>
      <c r="T341">
        <f>HYPERLINK("https://klasma.github.io/Logging_0484/kartor/A 44664-2022 karta.png", "A 44664-2022")</f>
        <v/>
      </c>
      <c r="U341">
        <f>HYPERLINK("https://klasma.github.io/Logging_0484/knärot/A 44664-2022 karta knärot.png", "A 44664-2022")</f>
        <v/>
      </c>
      <c r="V341">
        <f>HYPERLINK("https://klasma.github.io/Logging_0484/klagomål/A 44664-2022 FSC-klagomål.docx", "A 44664-2022")</f>
        <v/>
      </c>
      <c r="W341">
        <f>HYPERLINK("https://klasma.github.io/Logging_0484/klagomålsmail/A 44664-2022 FSC-klagomål mail.docx", "A 44664-2022")</f>
        <v/>
      </c>
      <c r="X341">
        <f>HYPERLINK("https://klasma.github.io/Logging_0484/tillsyn/A 44664-2022 tillsynsbegäran.docx", "A 44664-2022")</f>
        <v/>
      </c>
      <c r="Y341">
        <f>HYPERLINK("https://klasma.github.io/Logging_0484/tillsynsmail/A 44664-2022 tillsynsbegäran mail.docx", "A 44664-2022")</f>
        <v/>
      </c>
    </row>
    <row r="342" ht="15" customHeight="1">
      <c r="A342" t="inlineStr">
        <is>
          <t>A 45656-2022</t>
        </is>
      </c>
      <c r="B342" s="1" t="n">
        <v>44841</v>
      </c>
      <c r="C342" s="1" t="n">
        <v>45216</v>
      </c>
      <c r="D342" t="inlineStr">
        <is>
          <t>SÖDERMANLANDS LÄN</t>
        </is>
      </c>
      <c r="E342" t="inlineStr">
        <is>
          <t>GNESTA</t>
        </is>
      </c>
      <c r="G342" t="n">
        <v>3.8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Mattlummer</t>
        </is>
      </c>
      <c r="S342">
        <f>HYPERLINK("https://klasma.github.io/Logging_0461/artfynd/A 45656-2022 artfynd.xlsx", "A 45656-2022")</f>
        <v/>
      </c>
      <c r="T342">
        <f>HYPERLINK("https://klasma.github.io/Logging_0461/kartor/A 45656-2022 karta.png", "A 45656-2022")</f>
        <v/>
      </c>
      <c r="V342">
        <f>HYPERLINK("https://klasma.github.io/Logging_0461/klagomål/A 45656-2022 FSC-klagomål.docx", "A 45656-2022")</f>
        <v/>
      </c>
      <c r="W342">
        <f>HYPERLINK("https://klasma.github.io/Logging_0461/klagomålsmail/A 45656-2022 FSC-klagomål mail.docx", "A 45656-2022")</f>
        <v/>
      </c>
      <c r="X342">
        <f>HYPERLINK("https://klasma.github.io/Logging_0461/tillsyn/A 45656-2022 tillsynsbegäran.docx", "A 45656-2022")</f>
        <v/>
      </c>
      <c r="Y342">
        <f>HYPERLINK("https://klasma.github.io/Logging_0461/tillsynsmail/A 45656-2022 tillsynsbegäran mail.docx", "A 45656-2022")</f>
        <v/>
      </c>
    </row>
    <row r="343" ht="15" customHeight="1">
      <c r="A343" t="inlineStr">
        <is>
          <t>A 47648-2022</t>
        </is>
      </c>
      <c r="B343" s="1" t="n">
        <v>44854</v>
      </c>
      <c r="C343" s="1" t="n">
        <v>45216</v>
      </c>
      <c r="D343" t="inlineStr">
        <is>
          <t>SÖDERMANLANDS LÄN</t>
        </is>
      </c>
      <c r="E343" t="inlineStr">
        <is>
          <t>ESKILSTUNA</t>
        </is>
      </c>
      <c r="G343" t="n">
        <v>1.8</v>
      </c>
      <c r="H343" t="n">
        <v>1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Grönsångare</t>
        </is>
      </c>
      <c r="S343">
        <f>HYPERLINK("https://klasma.github.io/Logging_0484/artfynd/A 47648-2022 artfynd.xlsx", "A 47648-2022")</f>
        <v/>
      </c>
      <c r="T343">
        <f>HYPERLINK("https://klasma.github.io/Logging_0484/kartor/A 47648-2022 karta.png", "A 47648-2022")</f>
        <v/>
      </c>
      <c r="V343">
        <f>HYPERLINK("https://klasma.github.io/Logging_0484/klagomål/A 47648-2022 FSC-klagomål.docx", "A 47648-2022")</f>
        <v/>
      </c>
      <c r="W343">
        <f>HYPERLINK("https://klasma.github.io/Logging_0484/klagomålsmail/A 47648-2022 FSC-klagomål mail.docx", "A 47648-2022")</f>
        <v/>
      </c>
      <c r="X343">
        <f>HYPERLINK("https://klasma.github.io/Logging_0484/tillsyn/A 47648-2022 tillsynsbegäran.docx", "A 47648-2022")</f>
        <v/>
      </c>
      <c r="Y343">
        <f>HYPERLINK("https://klasma.github.io/Logging_0484/tillsynsmail/A 47648-2022 tillsynsbegäran mail.docx", "A 47648-2022")</f>
        <v/>
      </c>
    </row>
    <row r="344" ht="15" customHeight="1">
      <c r="A344" t="inlineStr">
        <is>
          <t>A 48822-2022</t>
        </is>
      </c>
      <c r="B344" s="1" t="n">
        <v>44854</v>
      </c>
      <c r="C344" s="1" t="n">
        <v>45216</v>
      </c>
      <c r="D344" t="inlineStr">
        <is>
          <t>SÖDERMANLANDS LÄN</t>
        </is>
      </c>
      <c r="E344" t="inlineStr">
        <is>
          <t>KATRINEHOLM</t>
        </is>
      </c>
      <c r="G344" t="n">
        <v>8.6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Vågbandad barkbock</t>
        </is>
      </c>
      <c r="S344">
        <f>HYPERLINK("https://klasma.github.io/Logging_0483/artfynd/A 48822-2022 artfynd.xlsx", "A 48822-2022")</f>
        <v/>
      </c>
      <c r="T344">
        <f>HYPERLINK("https://klasma.github.io/Logging_0483/kartor/A 48822-2022 karta.png", "A 48822-2022")</f>
        <v/>
      </c>
      <c r="V344">
        <f>HYPERLINK("https://klasma.github.io/Logging_0483/klagomål/A 48822-2022 FSC-klagomål.docx", "A 48822-2022")</f>
        <v/>
      </c>
      <c r="W344">
        <f>HYPERLINK("https://klasma.github.io/Logging_0483/klagomålsmail/A 48822-2022 FSC-klagomål mail.docx", "A 48822-2022")</f>
        <v/>
      </c>
      <c r="X344">
        <f>HYPERLINK("https://klasma.github.io/Logging_0483/tillsyn/A 48822-2022 tillsynsbegäran.docx", "A 48822-2022")</f>
        <v/>
      </c>
      <c r="Y344">
        <f>HYPERLINK("https://klasma.github.io/Logging_0483/tillsynsmail/A 48822-2022 tillsynsbegäran mail.docx", "A 48822-2022")</f>
        <v/>
      </c>
    </row>
    <row r="345" ht="15" customHeight="1">
      <c r="A345" t="inlineStr">
        <is>
          <t>A 49442-2022</t>
        </is>
      </c>
      <c r="B345" s="1" t="n">
        <v>44861</v>
      </c>
      <c r="C345" s="1" t="n">
        <v>45216</v>
      </c>
      <c r="D345" t="inlineStr">
        <is>
          <t>SÖDERMANLANDS LÄN</t>
        </is>
      </c>
      <c r="E345" t="inlineStr">
        <is>
          <t>GNESTA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1</v>
      </c>
      <c r="L345" t="n">
        <v>0</v>
      </c>
      <c r="M345" t="n">
        <v>0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Streckvaxskivling</t>
        </is>
      </c>
      <c r="S345">
        <f>HYPERLINK("https://klasma.github.io/Logging_0461/artfynd/A 49442-2022 artfynd.xlsx", "A 49442-2022")</f>
        <v/>
      </c>
      <c r="T345">
        <f>HYPERLINK("https://klasma.github.io/Logging_0461/kartor/A 49442-2022 karta.png", "A 49442-2022")</f>
        <v/>
      </c>
      <c r="V345">
        <f>HYPERLINK("https://klasma.github.io/Logging_0461/klagomål/A 49442-2022 FSC-klagomål.docx", "A 49442-2022")</f>
        <v/>
      </c>
      <c r="W345">
        <f>HYPERLINK("https://klasma.github.io/Logging_0461/klagomålsmail/A 49442-2022 FSC-klagomål mail.docx", "A 49442-2022")</f>
        <v/>
      </c>
      <c r="X345">
        <f>HYPERLINK("https://klasma.github.io/Logging_0461/tillsyn/A 49442-2022 tillsynsbegäran.docx", "A 49442-2022")</f>
        <v/>
      </c>
      <c r="Y345">
        <f>HYPERLINK("https://klasma.github.io/Logging_0461/tillsynsmail/A 49442-2022 tillsynsbegäran mail.docx", "A 49442-2022")</f>
        <v/>
      </c>
    </row>
    <row r="346" ht="15" customHeight="1">
      <c r="A346" t="inlineStr">
        <is>
          <t>A 49460-2022</t>
        </is>
      </c>
      <c r="B346" s="1" t="n">
        <v>44861</v>
      </c>
      <c r="C346" s="1" t="n">
        <v>45216</v>
      </c>
      <c r="D346" t="inlineStr">
        <is>
          <t>SÖDERMANLANDS LÄN</t>
        </is>
      </c>
      <c r="E346" t="inlineStr">
        <is>
          <t>GNESTA</t>
        </is>
      </c>
      <c r="G346" t="n">
        <v>8.5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Slåtterfibbla</t>
        </is>
      </c>
      <c r="S346">
        <f>HYPERLINK("https://klasma.github.io/Logging_0461/artfynd/A 49460-2022 artfynd.xlsx", "A 49460-2022")</f>
        <v/>
      </c>
      <c r="T346">
        <f>HYPERLINK("https://klasma.github.io/Logging_0461/kartor/A 49460-2022 karta.png", "A 49460-2022")</f>
        <v/>
      </c>
      <c r="V346">
        <f>HYPERLINK("https://klasma.github.io/Logging_0461/klagomål/A 49460-2022 FSC-klagomål.docx", "A 49460-2022")</f>
        <v/>
      </c>
      <c r="W346">
        <f>HYPERLINK("https://klasma.github.io/Logging_0461/klagomålsmail/A 49460-2022 FSC-klagomål mail.docx", "A 49460-2022")</f>
        <v/>
      </c>
      <c r="X346">
        <f>HYPERLINK("https://klasma.github.io/Logging_0461/tillsyn/A 49460-2022 tillsynsbegäran.docx", "A 49460-2022")</f>
        <v/>
      </c>
      <c r="Y346">
        <f>HYPERLINK("https://klasma.github.io/Logging_0461/tillsynsmail/A 49460-2022 tillsynsbegäran mail.docx", "A 49460-2022")</f>
        <v/>
      </c>
    </row>
    <row r="347" ht="15" customHeight="1">
      <c r="A347" t="inlineStr">
        <is>
          <t>A 50202-2022</t>
        </is>
      </c>
      <c r="B347" s="1" t="n">
        <v>44865</v>
      </c>
      <c r="C347" s="1" t="n">
        <v>45216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5.8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Gullklöver</t>
        </is>
      </c>
      <c r="S347">
        <f>HYPERLINK("https://klasma.github.io/Logging_0482/artfynd/A 50202-2022 artfynd.xlsx", "A 50202-2022")</f>
        <v/>
      </c>
      <c r="T347">
        <f>HYPERLINK("https://klasma.github.io/Logging_0482/kartor/A 50202-2022 karta.png", "A 50202-2022")</f>
        <v/>
      </c>
      <c r="V347">
        <f>HYPERLINK("https://klasma.github.io/Logging_0482/klagomål/A 50202-2022 FSC-klagomål.docx", "A 50202-2022")</f>
        <v/>
      </c>
      <c r="W347">
        <f>HYPERLINK("https://klasma.github.io/Logging_0482/klagomålsmail/A 50202-2022 FSC-klagomål mail.docx", "A 50202-2022")</f>
        <v/>
      </c>
      <c r="X347">
        <f>HYPERLINK("https://klasma.github.io/Logging_0482/tillsyn/A 50202-2022 tillsynsbegäran.docx", "A 50202-2022")</f>
        <v/>
      </c>
      <c r="Y347">
        <f>HYPERLINK("https://klasma.github.io/Logging_0482/tillsynsmail/A 50202-2022 tillsynsbegäran mail.docx", "A 50202-2022")</f>
        <v/>
      </c>
    </row>
    <row r="348" ht="15" customHeight="1">
      <c r="A348" t="inlineStr">
        <is>
          <t>A 56074-2022</t>
        </is>
      </c>
      <c r="B348" s="1" t="n">
        <v>44889</v>
      </c>
      <c r="C348" s="1" t="n">
        <v>45216</v>
      </c>
      <c r="D348" t="inlineStr">
        <is>
          <t>SÖDERMANLANDS LÄN</t>
        </is>
      </c>
      <c r="E348" t="inlineStr">
        <is>
          <t>KATRINEHOLM</t>
        </is>
      </c>
      <c r="G348" t="n">
        <v>13.6</v>
      </c>
      <c r="H348" t="n">
        <v>1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Revlummer</t>
        </is>
      </c>
      <c r="S348">
        <f>HYPERLINK("https://klasma.github.io/Logging_0483/artfynd/A 56074-2022 artfynd.xlsx", "A 56074-2022")</f>
        <v/>
      </c>
      <c r="T348">
        <f>HYPERLINK("https://klasma.github.io/Logging_0483/kartor/A 56074-2022 karta.png", "A 56074-2022")</f>
        <v/>
      </c>
      <c r="V348">
        <f>HYPERLINK("https://klasma.github.io/Logging_0483/klagomål/A 56074-2022 FSC-klagomål.docx", "A 56074-2022")</f>
        <v/>
      </c>
      <c r="W348">
        <f>HYPERLINK("https://klasma.github.io/Logging_0483/klagomålsmail/A 56074-2022 FSC-klagomål mail.docx", "A 56074-2022")</f>
        <v/>
      </c>
      <c r="X348">
        <f>HYPERLINK("https://klasma.github.io/Logging_0483/tillsyn/A 56074-2022 tillsynsbegäran.docx", "A 56074-2022")</f>
        <v/>
      </c>
      <c r="Y348">
        <f>HYPERLINK("https://klasma.github.io/Logging_0483/tillsynsmail/A 56074-2022 tillsynsbegäran mail.docx", "A 56074-2022")</f>
        <v/>
      </c>
    </row>
    <row r="349" ht="15" customHeight="1">
      <c r="A349" t="inlineStr">
        <is>
          <t>A 56791-2022</t>
        </is>
      </c>
      <c r="B349" s="1" t="n">
        <v>44894</v>
      </c>
      <c r="C349" s="1" t="n">
        <v>45216</v>
      </c>
      <c r="D349" t="inlineStr">
        <is>
          <t>SÖDERMANLANDS LÄN</t>
        </is>
      </c>
      <c r="E349" t="inlineStr">
        <is>
          <t>GNESTA</t>
        </is>
      </c>
      <c r="G349" t="n">
        <v>3</v>
      </c>
      <c r="H349" t="n">
        <v>0</v>
      </c>
      <c r="I349" t="n">
        <v>0</v>
      </c>
      <c r="J349" t="n">
        <v>1</v>
      </c>
      <c r="K349" t="n">
        <v>0</v>
      </c>
      <c r="L349" t="n">
        <v>0</v>
      </c>
      <c r="M349" t="n">
        <v>0</v>
      </c>
      <c r="N349" t="n">
        <v>0</v>
      </c>
      <c r="O349" t="n">
        <v>1</v>
      </c>
      <c r="P349" t="n">
        <v>0</v>
      </c>
      <c r="Q349" t="n">
        <v>1</v>
      </c>
      <c r="R349" s="2" t="inlineStr">
        <is>
          <t>Vedtrappmossa</t>
        </is>
      </c>
      <c r="S349">
        <f>HYPERLINK("https://klasma.github.io/Logging_0461/artfynd/A 56791-2022 artfynd.xlsx", "A 56791-2022")</f>
        <v/>
      </c>
      <c r="T349">
        <f>HYPERLINK("https://klasma.github.io/Logging_0461/kartor/A 56791-2022 karta.png", "A 56791-2022")</f>
        <v/>
      </c>
      <c r="V349">
        <f>HYPERLINK("https://klasma.github.io/Logging_0461/klagomål/A 56791-2022 FSC-klagomål.docx", "A 56791-2022")</f>
        <v/>
      </c>
      <c r="W349">
        <f>HYPERLINK("https://klasma.github.io/Logging_0461/klagomålsmail/A 56791-2022 FSC-klagomål mail.docx", "A 56791-2022")</f>
        <v/>
      </c>
      <c r="X349">
        <f>HYPERLINK("https://klasma.github.io/Logging_0461/tillsyn/A 56791-2022 tillsynsbegäran.docx", "A 56791-2022")</f>
        <v/>
      </c>
      <c r="Y349">
        <f>HYPERLINK("https://klasma.github.io/Logging_0461/tillsynsmail/A 56791-2022 tillsynsbegäran mail.docx", "A 56791-2022")</f>
        <v/>
      </c>
    </row>
    <row r="350" ht="15" customHeight="1">
      <c r="A350" t="inlineStr">
        <is>
          <t>A 60591-2022</t>
        </is>
      </c>
      <c r="B350" s="1" t="n">
        <v>44911</v>
      </c>
      <c r="C350" s="1" t="n">
        <v>45216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1.3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Grönpyrola</t>
        </is>
      </c>
      <c r="S350">
        <f>HYPERLINK("https://klasma.github.io/Logging_0482/artfynd/A 60591-2022 artfynd.xlsx", "A 60591-2022")</f>
        <v/>
      </c>
      <c r="T350">
        <f>HYPERLINK("https://klasma.github.io/Logging_0482/kartor/A 60591-2022 karta.png", "A 60591-2022")</f>
        <v/>
      </c>
      <c r="V350">
        <f>HYPERLINK("https://klasma.github.io/Logging_0482/klagomål/A 60591-2022 FSC-klagomål.docx", "A 60591-2022")</f>
        <v/>
      </c>
      <c r="W350">
        <f>HYPERLINK("https://klasma.github.io/Logging_0482/klagomålsmail/A 60591-2022 FSC-klagomål mail.docx", "A 60591-2022")</f>
        <v/>
      </c>
      <c r="X350">
        <f>HYPERLINK("https://klasma.github.io/Logging_0482/tillsyn/A 60591-2022 tillsynsbegäran.docx", "A 60591-2022")</f>
        <v/>
      </c>
      <c r="Y350">
        <f>HYPERLINK("https://klasma.github.io/Logging_0482/tillsynsmail/A 60591-2022 tillsynsbegäran mail.docx", "A 60591-2022")</f>
        <v/>
      </c>
    </row>
    <row r="351" ht="15" customHeight="1">
      <c r="A351" t="inlineStr">
        <is>
          <t>A 61986-2022</t>
        </is>
      </c>
      <c r="B351" s="1" t="n">
        <v>44918</v>
      </c>
      <c r="C351" s="1" t="n">
        <v>45216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7.5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Mattlummer</t>
        </is>
      </c>
      <c r="S351">
        <f>HYPERLINK("https://klasma.github.io/Logging_0461/artfynd/A 61986-2022 artfynd.xlsx", "A 61986-2022")</f>
        <v/>
      </c>
      <c r="T351">
        <f>HYPERLINK("https://klasma.github.io/Logging_0461/kartor/A 61986-2022 karta.png", "A 61986-2022")</f>
        <v/>
      </c>
      <c r="V351">
        <f>HYPERLINK("https://klasma.github.io/Logging_0461/klagomål/A 61986-2022 FSC-klagomål.docx", "A 61986-2022")</f>
        <v/>
      </c>
      <c r="W351">
        <f>HYPERLINK("https://klasma.github.io/Logging_0461/klagomålsmail/A 61986-2022 FSC-klagomål mail.docx", "A 61986-2022")</f>
        <v/>
      </c>
      <c r="X351">
        <f>HYPERLINK("https://klasma.github.io/Logging_0461/tillsyn/A 61986-2022 tillsynsbegäran.docx", "A 61986-2022")</f>
        <v/>
      </c>
      <c r="Y351">
        <f>HYPERLINK("https://klasma.github.io/Logging_0461/tillsynsmail/A 61986-2022 tillsynsbegäran mail.docx", "A 61986-2022")</f>
        <v/>
      </c>
    </row>
    <row r="352" ht="15" customHeight="1">
      <c r="A352" t="inlineStr">
        <is>
          <t>A 62007-2022</t>
        </is>
      </c>
      <c r="B352" s="1" t="n">
        <v>44918</v>
      </c>
      <c r="C352" s="1" t="n">
        <v>45216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Orange taggsvamp</t>
        </is>
      </c>
      <c r="S352">
        <f>HYPERLINK("https://klasma.github.io/Logging_0461/artfynd/A 62007-2022 artfynd.xlsx", "A 62007-2022")</f>
        <v/>
      </c>
      <c r="T352">
        <f>HYPERLINK("https://klasma.github.io/Logging_0461/kartor/A 62007-2022 karta.png", "A 62007-2022")</f>
        <v/>
      </c>
      <c r="V352">
        <f>HYPERLINK("https://klasma.github.io/Logging_0461/klagomål/A 62007-2022 FSC-klagomål.docx", "A 62007-2022")</f>
        <v/>
      </c>
      <c r="W352">
        <f>HYPERLINK("https://klasma.github.io/Logging_0461/klagomålsmail/A 62007-2022 FSC-klagomål mail.docx", "A 62007-2022")</f>
        <v/>
      </c>
      <c r="X352">
        <f>HYPERLINK("https://klasma.github.io/Logging_0461/tillsyn/A 62007-2022 tillsynsbegäran.docx", "A 62007-2022")</f>
        <v/>
      </c>
      <c r="Y352">
        <f>HYPERLINK("https://klasma.github.io/Logging_0461/tillsynsmail/A 62007-2022 tillsynsbegäran mail.docx", "A 62007-2022")</f>
        <v/>
      </c>
    </row>
    <row r="353" ht="15" customHeight="1">
      <c r="A353" t="inlineStr">
        <is>
          <t>A 61987-2022</t>
        </is>
      </c>
      <c r="B353" s="1" t="n">
        <v>44918</v>
      </c>
      <c r="C353" s="1" t="n">
        <v>45216</v>
      </c>
      <c r="D353" t="inlineStr">
        <is>
          <t>SÖDERMANLANDS LÄN</t>
        </is>
      </c>
      <c r="E353" t="inlineStr">
        <is>
          <t>ESKILSTUNA</t>
        </is>
      </c>
      <c r="G353" t="n">
        <v>4.3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HYPERLINK("https://klasma.github.io/Logging_0484/artfynd/A 61987-2022 artfynd.xlsx", "A 61987-2022")</f>
        <v/>
      </c>
      <c r="T353">
        <f>HYPERLINK("https://klasma.github.io/Logging_0484/kartor/A 61987-2022 karta.png", "A 61987-2022")</f>
        <v/>
      </c>
      <c r="V353">
        <f>HYPERLINK("https://klasma.github.io/Logging_0484/klagomål/A 61987-2022 FSC-klagomål.docx", "A 61987-2022")</f>
        <v/>
      </c>
      <c r="W353">
        <f>HYPERLINK("https://klasma.github.io/Logging_0484/klagomålsmail/A 61987-2022 FSC-klagomål mail.docx", "A 61987-2022")</f>
        <v/>
      </c>
      <c r="X353">
        <f>HYPERLINK("https://klasma.github.io/Logging_0484/tillsyn/A 61987-2022 tillsynsbegäran.docx", "A 61987-2022")</f>
        <v/>
      </c>
      <c r="Y353">
        <f>HYPERLINK("https://klasma.github.io/Logging_0484/tillsynsmail/A 61987-2022 tillsynsbegäran mail.docx", "A 61987-2022")</f>
        <v/>
      </c>
    </row>
    <row r="354" ht="15" customHeight="1">
      <c r="A354" t="inlineStr">
        <is>
          <t>A 692-2023</t>
        </is>
      </c>
      <c r="B354" s="1" t="n">
        <v>44930</v>
      </c>
      <c r="C354" s="1" t="n">
        <v>45216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19.8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Åttafläckig praktbagge</t>
        </is>
      </c>
      <c r="S354">
        <f>HYPERLINK("https://klasma.github.io/Logging_0486/artfynd/A 692-2023 artfynd.xlsx", "A 692-2023")</f>
        <v/>
      </c>
      <c r="T354">
        <f>HYPERLINK("https://klasma.github.io/Logging_0486/kartor/A 692-2023 karta.png", "A 692-2023")</f>
        <v/>
      </c>
      <c r="V354">
        <f>HYPERLINK("https://klasma.github.io/Logging_0486/klagomål/A 692-2023 FSC-klagomål.docx", "A 692-2023")</f>
        <v/>
      </c>
      <c r="W354">
        <f>HYPERLINK("https://klasma.github.io/Logging_0486/klagomålsmail/A 692-2023 FSC-klagomål mail.docx", "A 692-2023")</f>
        <v/>
      </c>
      <c r="X354">
        <f>HYPERLINK("https://klasma.github.io/Logging_0486/tillsyn/A 692-2023 tillsynsbegäran.docx", "A 692-2023")</f>
        <v/>
      </c>
      <c r="Y354">
        <f>HYPERLINK("https://klasma.github.io/Logging_0486/tillsynsmail/A 692-2023 tillsynsbegäran mail.docx", "A 692-2023")</f>
        <v/>
      </c>
    </row>
    <row r="355" ht="15" customHeight="1">
      <c r="A355" t="inlineStr">
        <is>
          <t>A 882-2023</t>
        </is>
      </c>
      <c r="B355" s="1" t="n">
        <v>44931</v>
      </c>
      <c r="C355" s="1" t="n">
        <v>45216</v>
      </c>
      <c r="D355" t="inlineStr">
        <is>
          <t>SÖDERMANLANDS LÄN</t>
        </is>
      </c>
      <c r="E355" t="inlineStr">
        <is>
          <t>FLEN</t>
        </is>
      </c>
      <c r="F355" t="inlineStr">
        <is>
          <t>Holmen skog AB</t>
        </is>
      </c>
      <c r="G355" t="n">
        <v>0.9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Aspvedgnagare</t>
        </is>
      </c>
      <c r="S355">
        <f>HYPERLINK("https://klasma.github.io/Logging_0482/artfynd/A 882-2023 artfynd.xlsx", "A 882-2023")</f>
        <v/>
      </c>
      <c r="T355">
        <f>HYPERLINK("https://klasma.github.io/Logging_0482/kartor/A 882-2023 karta.png", "A 882-2023")</f>
        <v/>
      </c>
      <c r="V355">
        <f>HYPERLINK("https://klasma.github.io/Logging_0482/klagomål/A 882-2023 FSC-klagomål.docx", "A 882-2023")</f>
        <v/>
      </c>
      <c r="W355">
        <f>HYPERLINK("https://klasma.github.io/Logging_0482/klagomålsmail/A 882-2023 FSC-klagomål mail.docx", "A 882-2023")</f>
        <v/>
      </c>
      <c r="X355">
        <f>HYPERLINK("https://klasma.github.io/Logging_0482/tillsyn/A 882-2023 tillsynsbegäran.docx", "A 882-2023")</f>
        <v/>
      </c>
      <c r="Y355">
        <f>HYPERLINK("https://klasma.github.io/Logging_0482/tillsynsmail/A 882-2023 tillsynsbegäran mail.docx", "A 882-2023")</f>
        <v/>
      </c>
    </row>
    <row r="356" ht="15" customHeight="1">
      <c r="A356" t="inlineStr">
        <is>
          <t>A 2303-2023</t>
        </is>
      </c>
      <c r="B356" s="1" t="n">
        <v>44942</v>
      </c>
      <c r="C356" s="1" t="n">
        <v>45216</v>
      </c>
      <c r="D356" t="inlineStr">
        <is>
          <t>SÖDERMANLANDS LÄN</t>
        </is>
      </c>
      <c r="E356" t="inlineStr">
        <is>
          <t>STRÄNGNÄS</t>
        </is>
      </c>
      <c r="F356" t="inlineStr">
        <is>
          <t>Övriga Aktiebolag</t>
        </is>
      </c>
      <c r="G356" t="n">
        <v>7.1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Grönvit nattviol</t>
        </is>
      </c>
      <c r="S356">
        <f>HYPERLINK("https://klasma.github.io/Logging_0486/artfynd/A 2303-2023 artfynd.xlsx", "A 2303-2023")</f>
        <v/>
      </c>
      <c r="T356">
        <f>HYPERLINK("https://klasma.github.io/Logging_0486/kartor/A 2303-2023 karta.png", "A 2303-2023")</f>
        <v/>
      </c>
      <c r="V356">
        <f>HYPERLINK("https://klasma.github.io/Logging_0486/klagomål/A 2303-2023 FSC-klagomål.docx", "A 2303-2023")</f>
        <v/>
      </c>
      <c r="W356">
        <f>HYPERLINK("https://klasma.github.io/Logging_0486/klagomålsmail/A 2303-2023 FSC-klagomål mail.docx", "A 2303-2023")</f>
        <v/>
      </c>
      <c r="X356">
        <f>HYPERLINK("https://klasma.github.io/Logging_0486/tillsyn/A 2303-2023 tillsynsbegäran.docx", "A 2303-2023")</f>
        <v/>
      </c>
      <c r="Y356">
        <f>HYPERLINK("https://klasma.github.io/Logging_0486/tillsynsmail/A 2303-2023 tillsynsbegäran mail.docx", "A 2303-2023")</f>
        <v/>
      </c>
    </row>
    <row r="357" ht="15" customHeight="1">
      <c r="A357" t="inlineStr">
        <is>
          <t>A 2842-2023</t>
        </is>
      </c>
      <c r="B357" s="1" t="n">
        <v>44945</v>
      </c>
      <c r="C357" s="1" t="n">
        <v>45216</v>
      </c>
      <c r="D357" t="inlineStr">
        <is>
          <t>SÖDERMANLANDS LÄN</t>
        </is>
      </c>
      <c r="E357" t="inlineStr">
        <is>
          <t>NYKÖPING</t>
        </is>
      </c>
      <c r="G357" t="n">
        <v>6.7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Svavelriska</t>
        </is>
      </c>
      <c r="S357">
        <f>HYPERLINK("https://klasma.github.io/Logging_0480/artfynd/A 2842-2023 artfynd.xlsx", "A 2842-2023")</f>
        <v/>
      </c>
      <c r="T357">
        <f>HYPERLINK("https://klasma.github.io/Logging_0480/kartor/A 2842-2023 karta.png", "A 2842-2023")</f>
        <v/>
      </c>
      <c r="V357">
        <f>HYPERLINK("https://klasma.github.io/Logging_0480/klagomål/A 2842-2023 FSC-klagomål.docx", "A 2842-2023")</f>
        <v/>
      </c>
      <c r="W357">
        <f>HYPERLINK("https://klasma.github.io/Logging_0480/klagomålsmail/A 2842-2023 FSC-klagomål mail.docx", "A 2842-2023")</f>
        <v/>
      </c>
      <c r="X357">
        <f>HYPERLINK("https://klasma.github.io/Logging_0480/tillsyn/A 2842-2023 tillsynsbegäran.docx", "A 2842-2023")</f>
        <v/>
      </c>
      <c r="Y357">
        <f>HYPERLINK("https://klasma.github.io/Logging_0480/tillsynsmail/A 2842-2023 tillsynsbegäran mail.docx", "A 2842-2023")</f>
        <v/>
      </c>
    </row>
    <row r="358" ht="15" customHeight="1">
      <c r="A358" t="inlineStr">
        <is>
          <t>A 4699-2023</t>
        </is>
      </c>
      <c r="B358" s="1" t="n">
        <v>44957</v>
      </c>
      <c r="C358" s="1" t="n">
        <v>45216</v>
      </c>
      <c r="D358" t="inlineStr">
        <is>
          <t>SÖDERMANLANDS LÄN</t>
        </is>
      </c>
      <c r="E358" t="inlineStr">
        <is>
          <t>FLEN</t>
        </is>
      </c>
      <c r="G358" t="n">
        <v>1.4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Gullviva</t>
        </is>
      </c>
      <c r="S358">
        <f>HYPERLINK("https://klasma.github.io/Logging_0482/artfynd/A 4699-2023 artfynd.xlsx", "A 4699-2023")</f>
        <v/>
      </c>
      <c r="T358">
        <f>HYPERLINK("https://klasma.github.io/Logging_0482/kartor/A 4699-2023 karta.png", "A 4699-2023")</f>
        <v/>
      </c>
      <c r="V358">
        <f>HYPERLINK("https://klasma.github.io/Logging_0482/klagomål/A 4699-2023 FSC-klagomål.docx", "A 4699-2023")</f>
        <v/>
      </c>
      <c r="W358">
        <f>HYPERLINK("https://klasma.github.io/Logging_0482/klagomålsmail/A 4699-2023 FSC-klagomål mail.docx", "A 4699-2023")</f>
        <v/>
      </c>
      <c r="X358">
        <f>HYPERLINK("https://klasma.github.io/Logging_0482/tillsyn/A 4699-2023 tillsynsbegäran.docx", "A 4699-2023")</f>
        <v/>
      </c>
      <c r="Y358">
        <f>HYPERLINK("https://klasma.github.io/Logging_0482/tillsynsmail/A 4699-2023 tillsynsbegäran mail.docx", "A 4699-2023")</f>
        <v/>
      </c>
    </row>
    <row r="359" ht="15" customHeight="1">
      <c r="A359" t="inlineStr">
        <is>
          <t>A 7506-2023</t>
        </is>
      </c>
      <c r="B359" s="1" t="n">
        <v>44971</v>
      </c>
      <c r="C359" s="1" t="n">
        <v>45216</v>
      </c>
      <c r="D359" t="inlineStr">
        <is>
          <t>SÖDERMANLANDS LÄN</t>
        </is>
      </c>
      <c r="E359" t="inlineStr">
        <is>
          <t>FLEN</t>
        </is>
      </c>
      <c r="G359" t="n">
        <v>3.3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Svinrot</t>
        </is>
      </c>
      <c r="S359">
        <f>HYPERLINK("https://klasma.github.io/Logging_0482/artfynd/A 7506-2023 artfynd.xlsx", "A 7506-2023")</f>
        <v/>
      </c>
      <c r="T359">
        <f>HYPERLINK("https://klasma.github.io/Logging_0482/kartor/A 7506-2023 karta.png", "A 7506-2023")</f>
        <v/>
      </c>
      <c r="V359">
        <f>HYPERLINK("https://klasma.github.io/Logging_0482/klagomål/A 7506-2023 FSC-klagomål.docx", "A 7506-2023")</f>
        <v/>
      </c>
      <c r="W359">
        <f>HYPERLINK("https://klasma.github.io/Logging_0482/klagomålsmail/A 7506-2023 FSC-klagomål mail.docx", "A 7506-2023")</f>
        <v/>
      </c>
      <c r="X359">
        <f>HYPERLINK("https://klasma.github.io/Logging_0482/tillsyn/A 7506-2023 tillsynsbegäran.docx", "A 7506-2023")</f>
        <v/>
      </c>
      <c r="Y359">
        <f>HYPERLINK("https://klasma.github.io/Logging_0482/tillsynsmail/A 7506-2023 tillsynsbegäran mail.docx", "A 7506-2023")</f>
        <v/>
      </c>
    </row>
    <row r="360" ht="15" customHeight="1">
      <c r="A360" t="inlineStr">
        <is>
          <t>A 7661-2023</t>
        </is>
      </c>
      <c r="B360" s="1" t="n">
        <v>44972</v>
      </c>
      <c r="C360" s="1" t="n">
        <v>45216</v>
      </c>
      <c r="D360" t="inlineStr">
        <is>
          <t>SÖDERMANLANDS LÄN</t>
        </is>
      </c>
      <c r="E360" t="inlineStr">
        <is>
          <t>GNESTA</t>
        </is>
      </c>
      <c r="G360" t="n">
        <v>2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Blåsippa</t>
        </is>
      </c>
      <c r="S360">
        <f>HYPERLINK("https://klasma.github.io/Logging_0461/artfynd/A 7661-2023 artfynd.xlsx", "A 7661-2023")</f>
        <v/>
      </c>
      <c r="T360">
        <f>HYPERLINK("https://klasma.github.io/Logging_0461/kartor/A 7661-2023 karta.png", "A 7661-2023")</f>
        <v/>
      </c>
      <c r="V360">
        <f>HYPERLINK("https://klasma.github.io/Logging_0461/klagomål/A 7661-2023 FSC-klagomål.docx", "A 7661-2023")</f>
        <v/>
      </c>
      <c r="W360">
        <f>HYPERLINK("https://klasma.github.io/Logging_0461/klagomålsmail/A 7661-2023 FSC-klagomål mail.docx", "A 7661-2023")</f>
        <v/>
      </c>
      <c r="X360">
        <f>HYPERLINK("https://klasma.github.io/Logging_0461/tillsyn/A 7661-2023 tillsynsbegäran.docx", "A 7661-2023")</f>
        <v/>
      </c>
      <c r="Y360">
        <f>HYPERLINK("https://klasma.github.io/Logging_0461/tillsynsmail/A 7661-2023 tillsynsbegäran mail.docx", "A 7661-2023")</f>
        <v/>
      </c>
    </row>
    <row r="361" ht="15" customHeight="1">
      <c r="A361" t="inlineStr">
        <is>
          <t>A 7681-2023</t>
        </is>
      </c>
      <c r="B361" s="1" t="n">
        <v>44972</v>
      </c>
      <c r="C361" s="1" t="n">
        <v>45216</v>
      </c>
      <c r="D361" t="inlineStr">
        <is>
          <t>SÖDERMANLANDS LÄN</t>
        </is>
      </c>
      <c r="E361" t="inlineStr">
        <is>
          <t>GNESTA</t>
        </is>
      </c>
      <c r="G361" t="n">
        <v>2.3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HYPERLINK("https://klasma.github.io/Logging_0461/artfynd/A 7681-2023 artfynd.xlsx", "A 7681-2023")</f>
        <v/>
      </c>
      <c r="T361">
        <f>HYPERLINK("https://klasma.github.io/Logging_0461/kartor/A 7681-2023 karta.png", "A 7681-2023")</f>
        <v/>
      </c>
      <c r="V361">
        <f>HYPERLINK("https://klasma.github.io/Logging_0461/klagomål/A 7681-2023 FSC-klagomål.docx", "A 7681-2023")</f>
        <v/>
      </c>
      <c r="W361">
        <f>HYPERLINK("https://klasma.github.io/Logging_0461/klagomålsmail/A 7681-2023 FSC-klagomål mail.docx", "A 7681-2023")</f>
        <v/>
      </c>
      <c r="X361">
        <f>HYPERLINK("https://klasma.github.io/Logging_0461/tillsyn/A 7681-2023 tillsynsbegäran.docx", "A 7681-2023")</f>
        <v/>
      </c>
      <c r="Y361">
        <f>HYPERLINK("https://klasma.github.io/Logging_0461/tillsynsmail/A 7681-2023 tillsynsbegäran mail.docx", "A 7681-2023")</f>
        <v/>
      </c>
    </row>
    <row r="362" ht="15" customHeight="1">
      <c r="A362" t="inlineStr">
        <is>
          <t>A 8019-2023</t>
        </is>
      </c>
      <c r="B362" s="1" t="n">
        <v>44973</v>
      </c>
      <c r="C362" s="1" t="n">
        <v>45216</v>
      </c>
      <c r="D362" t="inlineStr">
        <is>
          <t>SÖDERMANLANDS LÄN</t>
        </is>
      </c>
      <c r="E362" t="inlineStr">
        <is>
          <t>GNESTA</t>
        </is>
      </c>
      <c r="G362" t="n">
        <v>3.9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Klasefibbla</t>
        </is>
      </c>
      <c r="S362">
        <f>HYPERLINK("https://klasma.github.io/Logging_0461/artfynd/A 8019-2023 artfynd.xlsx", "A 8019-2023")</f>
        <v/>
      </c>
      <c r="T362">
        <f>HYPERLINK("https://klasma.github.io/Logging_0461/kartor/A 8019-2023 karta.png", "A 8019-2023")</f>
        <v/>
      </c>
      <c r="V362">
        <f>HYPERLINK("https://klasma.github.io/Logging_0461/klagomål/A 8019-2023 FSC-klagomål.docx", "A 8019-2023")</f>
        <v/>
      </c>
      <c r="W362">
        <f>HYPERLINK("https://klasma.github.io/Logging_0461/klagomålsmail/A 8019-2023 FSC-klagomål mail.docx", "A 8019-2023")</f>
        <v/>
      </c>
      <c r="X362">
        <f>HYPERLINK("https://klasma.github.io/Logging_0461/tillsyn/A 8019-2023 tillsynsbegäran.docx", "A 8019-2023")</f>
        <v/>
      </c>
      <c r="Y362">
        <f>HYPERLINK("https://klasma.github.io/Logging_0461/tillsynsmail/A 8019-2023 tillsynsbegäran mail.docx", "A 8019-2023")</f>
        <v/>
      </c>
    </row>
    <row r="363" ht="15" customHeight="1">
      <c r="A363" t="inlineStr">
        <is>
          <t>A 7741-2023</t>
        </is>
      </c>
      <c r="B363" s="1" t="n">
        <v>44973</v>
      </c>
      <c r="C363" s="1" t="n">
        <v>45216</v>
      </c>
      <c r="D363" t="inlineStr">
        <is>
          <t>SÖDERMANLANDS LÄN</t>
        </is>
      </c>
      <c r="E363" t="inlineStr">
        <is>
          <t>GNESTA</t>
        </is>
      </c>
      <c r="G363" t="n">
        <v>3.4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Blåsippa</t>
        </is>
      </c>
      <c r="S363">
        <f>HYPERLINK("https://klasma.github.io/Logging_0461/artfynd/A 7741-2023 artfynd.xlsx", "A 7741-2023")</f>
        <v/>
      </c>
      <c r="T363">
        <f>HYPERLINK("https://klasma.github.io/Logging_0461/kartor/A 7741-2023 karta.png", "A 7741-2023")</f>
        <v/>
      </c>
      <c r="V363">
        <f>HYPERLINK("https://klasma.github.io/Logging_0461/klagomål/A 7741-2023 FSC-klagomål.docx", "A 7741-2023")</f>
        <v/>
      </c>
      <c r="W363">
        <f>HYPERLINK("https://klasma.github.io/Logging_0461/klagomålsmail/A 7741-2023 FSC-klagomål mail.docx", "A 7741-2023")</f>
        <v/>
      </c>
      <c r="X363">
        <f>HYPERLINK("https://klasma.github.io/Logging_0461/tillsyn/A 7741-2023 tillsynsbegäran.docx", "A 7741-2023")</f>
        <v/>
      </c>
      <c r="Y363">
        <f>HYPERLINK("https://klasma.github.io/Logging_0461/tillsynsmail/A 7741-2023 tillsynsbegäran mail.docx", "A 7741-2023")</f>
        <v/>
      </c>
    </row>
    <row r="364" ht="15" customHeight="1">
      <c r="A364" t="inlineStr">
        <is>
          <t>A 7739-2023</t>
        </is>
      </c>
      <c r="B364" s="1" t="n">
        <v>44973</v>
      </c>
      <c r="C364" s="1" t="n">
        <v>45216</v>
      </c>
      <c r="D364" t="inlineStr">
        <is>
          <t>SÖDERMANLANDS LÄN</t>
        </is>
      </c>
      <c r="E364" t="inlineStr">
        <is>
          <t>GNESTA</t>
        </is>
      </c>
      <c r="G364" t="n">
        <v>4.7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Nattviol</t>
        </is>
      </c>
      <c r="S364">
        <f>HYPERLINK("https://klasma.github.io/Logging_0461/artfynd/A 7739-2023 artfynd.xlsx", "A 7739-2023")</f>
        <v/>
      </c>
      <c r="T364">
        <f>HYPERLINK("https://klasma.github.io/Logging_0461/kartor/A 7739-2023 karta.png", "A 7739-2023")</f>
        <v/>
      </c>
      <c r="V364">
        <f>HYPERLINK("https://klasma.github.io/Logging_0461/klagomål/A 7739-2023 FSC-klagomål.docx", "A 7739-2023")</f>
        <v/>
      </c>
      <c r="W364">
        <f>HYPERLINK("https://klasma.github.io/Logging_0461/klagomålsmail/A 7739-2023 FSC-klagomål mail.docx", "A 7739-2023")</f>
        <v/>
      </c>
      <c r="X364">
        <f>HYPERLINK("https://klasma.github.io/Logging_0461/tillsyn/A 7739-2023 tillsynsbegäran.docx", "A 7739-2023")</f>
        <v/>
      </c>
      <c r="Y364">
        <f>HYPERLINK("https://klasma.github.io/Logging_0461/tillsynsmail/A 7739-2023 tillsynsbegäran mail.docx", "A 7739-2023")</f>
        <v/>
      </c>
    </row>
    <row r="365" ht="15" customHeight="1">
      <c r="A365" t="inlineStr">
        <is>
          <t>A 9303-2023</t>
        </is>
      </c>
      <c r="B365" s="1" t="n">
        <v>44980</v>
      </c>
      <c r="C365" s="1" t="n">
        <v>45216</v>
      </c>
      <c r="D365" t="inlineStr">
        <is>
          <t>SÖDERMANLANDS LÄN</t>
        </is>
      </c>
      <c r="E365" t="inlineStr">
        <is>
          <t>GNESTA</t>
        </is>
      </c>
      <c r="G365" t="n">
        <v>0.7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Zontaggsvamp</t>
        </is>
      </c>
      <c r="S365">
        <f>HYPERLINK("https://klasma.github.io/Logging_0461/artfynd/A 9303-2023 artfynd.xlsx", "A 9303-2023")</f>
        <v/>
      </c>
      <c r="T365">
        <f>HYPERLINK("https://klasma.github.io/Logging_0461/kartor/A 9303-2023 karta.png", "A 9303-2023")</f>
        <v/>
      </c>
      <c r="V365">
        <f>HYPERLINK("https://klasma.github.io/Logging_0461/klagomål/A 9303-2023 FSC-klagomål.docx", "A 9303-2023")</f>
        <v/>
      </c>
      <c r="W365">
        <f>HYPERLINK("https://klasma.github.io/Logging_0461/klagomålsmail/A 9303-2023 FSC-klagomål mail.docx", "A 9303-2023")</f>
        <v/>
      </c>
      <c r="X365">
        <f>HYPERLINK("https://klasma.github.io/Logging_0461/tillsyn/A 9303-2023 tillsynsbegäran.docx", "A 9303-2023")</f>
        <v/>
      </c>
      <c r="Y365">
        <f>HYPERLINK("https://klasma.github.io/Logging_0461/tillsynsmail/A 9303-2023 tillsynsbegäran mail.docx", "A 9303-2023")</f>
        <v/>
      </c>
    </row>
    <row r="366" ht="15" customHeight="1">
      <c r="A366" t="inlineStr">
        <is>
          <t>A 11890-2023</t>
        </is>
      </c>
      <c r="B366" s="1" t="n">
        <v>44995</v>
      </c>
      <c r="C366" s="1" t="n">
        <v>45216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Kommuner</t>
        </is>
      </c>
      <c r="G366" t="n">
        <v>6.7</v>
      </c>
      <c r="H366" t="n">
        <v>1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Skogsknipprot</t>
        </is>
      </c>
      <c r="S366">
        <f>HYPERLINK("https://klasma.github.io/Logging_0483/artfynd/A 11890-2023 artfynd.xlsx", "A 11890-2023")</f>
        <v/>
      </c>
      <c r="T366">
        <f>HYPERLINK("https://klasma.github.io/Logging_0483/kartor/A 11890-2023 karta.png", "A 11890-2023")</f>
        <v/>
      </c>
      <c r="V366">
        <f>HYPERLINK("https://klasma.github.io/Logging_0483/klagomål/A 11890-2023 FSC-klagomål.docx", "A 11890-2023")</f>
        <v/>
      </c>
      <c r="W366">
        <f>HYPERLINK("https://klasma.github.io/Logging_0483/klagomålsmail/A 11890-2023 FSC-klagomål mail.docx", "A 11890-2023")</f>
        <v/>
      </c>
      <c r="X366">
        <f>HYPERLINK("https://klasma.github.io/Logging_0483/tillsyn/A 11890-2023 tillsynsbegäran.docx", "A 11890-2023")</f>
        <v/>
      </c>
      <c r="Y366">
        <f>HYPERLINK("https://klasma.github.io/Logging_0483/tillsynsmail/A 11890-2023 tillsynsbegäran mail.docx", "A 11890-2023")</f>
        <v/>
      </c>
    </row>
    <row r="367" ht="15" customHeight="1">
      <c r="A367" t="inlineStr">
        <is>
          <t>A 12238-2023</t>
        </is>
      </c>
      <c r="B367" s="1" t="n">
        <v>44995</v>
      </c>
      <c r="C367" s="1" t="n">
        <v>45216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Övriga Aktiebolag</t>
        </is>
      </c>
      <c r="G367" t="n">
        <v>58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Skogsklocka</t>
        </is>
      </c>
      <c r="S367">
        <f>HYPERLINK("https://klasma.github.io/Logging_0483/artfynd/A 12238-2023 artfynd.xlsx", "A 12238-2023")</f>
        <v/>
      </c>
      <c r="T367">
        <f>HYPERLINK("https://klasma.github.io/Logging_0483/kartor/A 12238-2023 karta.png", "A 12238-2023")</f>
        <v/>
      </c>
      <c r="V367">
        <f>HYPERLINK("https://klasma.github.io/Logging_0483/klagomål/A 12238-2023 FSC-klagomål.docx", "A 12238-2023")</f>
        <v/>
      </c>
      <c r="W367">
        <f>HYPERLINK("https://klasma.github.io/Logging_0483/klagomålsmail/A 12238-2023 FSC-klagomål mail.docx", "A 12238-2023")</f>
        <v/>
      </c>
      <c r="X367">
        <f>HYPERLINK("https://klasma.github.io/Logging_0483/tillsyn/A 12238-2023 tillsynsbegäran.docx", "A 12238-2023")</f>
        <v/>
      </c>
      <c r="Y367">
        <f>HYPERLINK("https://klasma.github.io/Logging_0483/tillsynsmail/A 12238-2023 tillsynsbegäran mail.docx", "A 12238-2023")</f>
        <v/>
      </c>
    </row>
    <row r="368" ht="15" customHeight="1">
      <c r="A368" t="inlineStr">
        <is>
          <t>A 12174-2023</t>
        </is>
      </c>
      <c r="B368" s="1" t="n">
        <v>44995</v>
      </c>
      <c r="C368" s="1" t="n">
        <v>45216</v>
      </c>
      <c r="D368" t="inlineStr">
        <is>
          <t>SÖDERMANLANDS LÄN</t>
        </is>
      </c>
      <c r="E368" t="inlineStr">
        <is>
          <t>GNESTA</t>
        </is>
      </c>
      <c r="G368" t="n">
        <v>11.2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Klasefibbla</t>
        </is>
      </c>
      <c r="S368">
        <f>HYPERLINK("https://klasma.github.io/Logging_0461/artfynd/A 12174-2023 artfynd.xlsx", "A 12174-2023")</f>
        <v/>
      </c>
      <c r="T368">
        <f>HYPERLINK("https://klasma.github.io/Logging_0461/kartor/A 12174-2023 karta.png", "A 12174-2023")</f>
        <v/>
      </c>
      <c r="V368">
        <f>HYPERLINK("https://klasma.github.io/Logging_0461/klagomål/A 12174-2023 FSC-klagomål.docx", "A 12174-2023")</f>
        <v/>
      </c>
      <c r="W368">
        <f>HYPERLINK("https://klasma.github.io/Logging_0461/klagomålsmail/A 12174-2023 FSC-klagomål mail.docx", "A 12174-2023")</f>
        <v/>
      </c>
      <c r="X368">
        <f>HYPERLINK("https://klasma.github.io/Logging_0461/tillsyn/A 12174-2023 tillsynsbegäran.docx", "A 12174-2023")</f>
        <v/>
      </c>
      <c r="Y368">
        <f>HYPERLINK("https://klasma.github.io/Logging_0461/tillsynsmail/A 12174-2023 tillsynsbegäran mail.docx", "A 12174-2023")</f>
        <v/>
      </c>
    </row>
    <row r="369" ht="15" customHeight="1">
      <c r="A369" t="inlineStr">
        <is>
          <t>A 12891-2023</t>
        </is>
      </c>
      <c r="B369" s="1" t="n">
        <v>45001</v>
      </c>
      <c r="C369" s="1" t="n">
        <v>45216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6.9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HYPERLINK("https://klasma.github.io/Logging_0480/artfynd/A 12891-2023 artfynd.xlsx", "A 12891-2023")</f>
        <v/>
      </c>
      <c r="T369">
        <f>HYPERLINK("https://klasma.github.io/Logging_0480/kartor/A 12891-2023 karta.png", "A 12891-2023")</f>
        <v/>
      </c>
      <c r="V369">
        <f>HYPERLINK("https://klasma.github.io/Logging_0480/klagomål/A 12891-2023 FSC-klagomål.docx", "A 12891-2023")</f>
        <v/>
      </c>
      <c r="W369">
        <f>HYPERLINK("https://klasma.github.io/Logging_0480/klagomålsmail/A 12891-2023 FSC-klagomål mail.docx", "A 12891-2023")</f>
        <v/>
      </c>
      <c r="X369">
        <f>HYPERLINK("https://klasma.github.io/Logging_0480/tillsyn/A 12891-2023 tillsynsbegäran.docx", "A 12891-2023")</f>
        <v/>
      </c>
      <c r="Y369">
        <f>HYPERLINK("https://klasma.github.io/Logging_0480/tillsynsmail/A 12891-2023 tillsynsbegäran mail.docx", "A 12891-2023")</f>
        <v/>
      </c>
    </row>
    <row r="370" ht="15" customHeight="1">
      <c r="A370" t="inlineStr">
        <is>
          <t>A 14013-2023</t>
        </is>
      </c>
      <c r="B370" s="1" t="n">
        <v>45007</v>
      </c>
      <c r="C370" s="1" t="n">
        <v>45216</v>
      </c>
      <c r="D370" t="inlineStr">
        <is>
          <t>SÖDERMANLANDS LÄN</t>
        </is>
      </c>
      <c r="E370" t="inlineStr">
        <is>
          <t>KATRINEHOLM</t>
        </is>
      </c>
      <c r="G370" t="n">
        <v>10.8</v>
      </c>
      <c r="H370" t="n">
        <v>1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Grönsångare</t>
        </is>
      </c>
      <c r="S370">
        <f>HYPERLINK("https://klasma.github.io/Logging_0483/artfynd/A 14013-2023 artfynd.xlsx", "A 14013-2023")</f>
        <v/>
      </c>
      <c r="T370">
        <f>HYPERLINK("https://klasma.github.io/Logging_0483/kartor/A 14013-2023 karta.png", "A 14013-2023")</f>
        <v/>
      </c>
      <c r="V370">
        <f>HYPERLINK("https://klasma.github.io/Logging_0483/klagomål/A 14013-2023 FSC-klagomål.docx", "A 14013-2023")</f>
        <v/>
      </c>
      <c r="W370">
        <f>HYPERLINK("https://klasma.github.io/Logging_0483/klagomålsmail/A 14013-2023 FSC-klagomål mail.docx", "A 14013-2023")</f>
        <v/>
      </c>
      <c r="X370">
        <f>HYPERLINK("https://klasma.github.io/Logging_0483/tillsyn/A 14013-2023 tillsynsbegäran.docx", "A 14013-2023")</f>
        <v/>
      </c>
      <c r="Y370">
        <f>HYPERLINK("https://klasma.github.io/Logging_0483/tillsynsmail/A 14013-2023 tillsynsbegäran mail.docx", "A 14013-2023")</f>
        <v/>
      </c>
    </row>
    <row r="371" ht="15" customHeight="1">
      <c r="A371" t="inlineStr">
        <is>
          <t>A 14327-2023</t>
        </is>
      </c>
      <c r="B371" s="1" t="n">
        <v>45012</v>
      </c>
      <c r="C371" s="1" t="n">
        <v>45216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Kommuner</t>
        </is>
      </c>
      <c r="G371" t="n">
        <v>2.6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Mattlummer</t>
        </is>
      </c>
      <c r="S371">
        <f>HYPERLINK("https://klasma.github.io/Logging_0484/artfynd/A 14327-2023 artfynd.xlsx", "A 14327-2023")</f>
        <v/>
      </c>
      <c r="T371">
        <f>HYPERLINK("https://klasma.github.io/Logging_0484/kartor/A 14327-2023 karta.png", "A 14327-2023")</f>
        <v/>
      </c>
      <c r="V371">
        <f>HYPERLINK("https://klasma.github.io/Logging_0484/klagomål/A 14327-2023 FSC-klagomål.docx", "A 14327-2023")</f>
        <v/>
      </c>
      <c r="W371">
        <f>HYPERLINK("https://klasma.github.io/Logging_0484/klagomålsmail/A 14327-2023 FSC-klagomål mail.docx", "A 14327-2023")</f>
        <v/>
      </c>
      <c r="X371">
        <f>HYPERLINK("https://klasma.github.io/Logging_0484/tillsyn/A 14327-2023 tillsynsbegäran.docx", "A 14327-2023")</f>
        <v/>
      </c>
      <c r="Y371">
        <f>HYPERLINK("https://klasma.github.io/Logging_0484/tillsynsmail/A 14327-2023 tillsynsbegäran mail.docx", "A 14327-2023")</f>
        <v/>
      </c>
    </row>
    <row r="372" ht="15" customHeight="1">
      <c r="A372" t="inlineStr">
        <is>
          <t>A 18928-2023</t>
        </is>
      </c>
      <c r="B372" s="1" t="n">
        <v>45044</v>
      </c>
      <c r="C372" s="1" t="n">
        <v>45216</v>
      </c>
      <c r="D372" t="inlineStr">
        <is>
          <t>SÖDERMANLANDS LÄN</t>
        </is>
      </c>
      <c r="E372" t="inlineStr">
        <is>
          <t>FLEN</t>
        </is>
      </c>
      <c r="G372" t="n">
        <v>6.2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Svinrot</t>
        </is>
      </c>
      <c r="S372">
        <f>HYPERLINK("https://klasma.github.io/Logging_0482/artfynd/A 18928-2023 artfynd.xlsx", "A 18928-2023")</f>
        <v/>
      </c>
      <c r="T372">
        <f>HYPERLINK("https://klasma.github.io/Logging_0482/kartor/A 18928-2023 karta.png", "A 18928-2023")</f>
        <v/>
      </c>
      <c r="V372">
        <f>HYPERLINK("https://klasma.github.io/Logging_0482/klagomål/A 18928-2023 FSC-klagomål.docx", "A 18928-2023")</f>
        <v/>
      </c>
      <c r="W372">
        <f>HYPERLINK("https://klasma.github.io/Logging_0482/klagomålsmail/A 18928-2023 FSC-klagomål mail.docx", "A 18928-2023")</f>
        <v/>
      </c>
      <c r="X372">
        <f>HYPERLINK("https://klasma.github.io/Logging_0482/tillsyn/A 18928-2023 tillsynsbegäran.docx", "A 18928-2023")</f>
        <v/>
      </c>
      <c r="Y372">
        <f>HYPERLINK("https://klasma.github.io/Logging_0482/tillsynsmail/A 18928-2023 tillsynsbegäran mail.docx", "A 18928-2023")</f>
        <v/>
      </c>
    </row>
    <row r="373" ht="15" customHeight="1">
      <c r="A373" t="inlineStr">
        <is>
          <t>A 19627-2023</t>
        </is>
      </c>
      <c r="B373" s="1" t="n">
        <v>45050</v>
      </c>
      <c r="C373" s="1" t="n">
        <v>45216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Allmännings- och besparingsskogar</t>
        </is>
      </c>
      <c r="G373" t="n">
        <v>2.7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HYPERLINK("https://klasma.github.io/Logging_0484/artfynd/A 19627-2023 artfynd.xlsx", "A 19627-2023")</f>
        <v/>
      </c>
      <c r="T373">
        <f>HYPERLINK("https://klasma.github.io/Logging_0484/kartor/A 19627-2023 karta.png", "A 19627-2023")</f>
        <v/>
      </c>
      <c r="V373">
        <f>HYPERLINK("https://klasma.github.io/Logging_0484/klagomål/A 19627-2023 FSC-klagomål.docx", "A 19627-2023")</f>
        <v/>
      </c>
      <c r="W373">
        <f>HYPERLINK("https://klasma.github.io/Logging_0484/klagomålsmail/A 19627-2023 FSC-klagomål mail.docx", "A 19627-2023")</f>
        <v/>
      </c>
      <c r="X373">
        <f>HYPERLINK("https://klasma.github.io/Logging_0484/tillsyn/A 19627-2023 tillsynsbegäran.docx", "A 19627-2023")</f>
        <v/>
      </c>
      <c r="Y373">
        <f>HYPERLINK("https://klasma.github.io/Logging_0484/tillsynsmail/A 19627-2023 tillsynsbegäran mail.docx", "A 19627-2023")</f>
        <v/>
      </c>
    </row>
    <row r="374" ht="15" customHeight="1">
      <c r="A374" t="inlineStr">
        <is>
          <t>A 20325-2023</t>
        </is>
      </c>
      <c r="B374" s="1" t="n">
        <v>45056</v>
      </c>
      <c r="C374" s="1" t="n">
        <v>45216</v>
      </c>
      <c r="D374" t="inlineStr">
        <is>
          <t>SÖDERMANLANDS LÄN</t>
        </is>
      </c>
      <c r="E374" t="inlineStr">
        <is>
          <t>NYKÖPING</t>
        </is>
      </c>
      <c r="G374" t="n">
        <v>0.2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Kamjordstjärna</t>
        </is>
      </c>
      <c r="S374">
        <f>HYPERLINK("https://klasma.github.io/Logging_0480/artfynd/A 20325-2023 artfynd.xlsx", "A 20325-2023")</f>
        <v/>
      </c>
      <c r="T374">
        <f>HYPERLINK("https://klasma.github.io/Logging_0480/kartor/A 20325-2023 karta.png", "A 20325-2023")</f>
        <v/>
      </c>
      <c r="V374">
        <f>HYPERLINK("https://klasma.github.io/Logging_0480/klagomål/A 20325-2023 FSC-klagomål.docx", "A 20325-2023")</f>
        <v/>
      </c>
      <c r="W374">
        <f>HYPERLINK("https://klasma.github.io/Logging_0480/klagomålsmail/A 20325-2023 FSC-klagomål mail.docx", "A 20325-2023")</f>
        <v/>
      </c>
      <c r="X374">
        <f>HYPERLINK("https://klasma.github.io/Logging_0480/tillsyn/A 20325-2023 tillsynsbegäran.docx", "A 20325-2023")</f>
        <v/>
      </c>
      <c r="Y374">
        <f>HYPERLINK("https://klasma.github.io/Logging_0480/tillsynsmail/A 20325-2023 tillsynsbegäran mail.docx", "A 20325-2023")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45216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45216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45216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45216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45216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45216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45216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45216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45216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45216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45216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45216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45216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45216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45216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45216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45216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45216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45216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45216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45216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45216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48174-2023</t>
        </is>
      </c>
      <c r="B397" s="1" t="n">
        <v>45205</v>
      </c>
      <c r="C397" s="1" t="n">
        <v>45216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1.2</v>
      </c>
      <c r="H397" t="n">
        <v>1</v>
      </c>
      <c r="I397" t="n">
        <v>0</v>
      </c>
      <c r="J397" t="n">
        <v>1</v>
      </c>
      <c r="K397" t="n">
        <v>0</v>
      </c>
      <c r="L397" t="n">
        <v>0</v>
      </c>
      <c r="M397" t="n">
        <v>0</v>
      </c>
      <c r="N397" t="n">
        <v>0</v>
      </c>
      <c r="O397" t="n">
        <v>1</v>
      </c>
      <c r="P397" t="n">
        <v>0</v>
      </c>
      <c r="Q397" t="n">
        <v>1</v>
      </c>
      <c r="R397" s="2" t="inlineStr">
        <is>
          <t>Havsörn</t>
        </is>
      </c>
      <c r="S397">
        <f>HYPERLINK("https://klasma.github.io/Logging_0480/artfynd/A 48174-2023 artfynd.xlsx", "A 48174-2023")</f>
        <v/>
      </c>
      <c r="T397">
        <f>HYPERLINK("https://klasma.github.io/Logging_0480/kartor/A 48174-2023 karta.png", "A 48174-2023")</f>
        <v/>
      </c>
      <c r="V397">
        <f>HYPERLINK("https://klasma.github.io/Logging_0480/klagomål/A 48174-2023 FSC-klagomål.docx", "A 48174-2023")</f>
        <v/>
      </c>
      <c r="W397">
        <f>HYPERLINK("https://klasma.github.io/Logging_0480/klagomålsmail/A 48174-2023 FSC-klagomål mail.docx", "A 48174-2023")</f>
        <v/>
      </c>
      <c r="X397">
        <f>HYPERLINK("https://klasma.github.io/Logging_0480/tillsyn/A 48174-2023 tillsynsbegäran.docx", "A 48174-2023")</f>
        <v/>
      </c>
      <c r="Y397">
        <f>HYPERLINK("https://klasma.github.io/Logging_0480/tillsynsmail/A 48174-2023 tillsynsbegäran mail.docx", "A 48174-2023")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45216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45216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45216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45216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45216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45216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45216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45216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45216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45216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45216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45216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45216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45216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45216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45216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45216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45216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45216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45216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45216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45216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45216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45216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45216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45216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45216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45216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45216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45216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45216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45216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45216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45216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45216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45216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45216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45216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45216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45216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45216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45216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45216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45216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45216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45216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45216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45216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45216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45216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45216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45216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45216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45216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45216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45216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45216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45216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45216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45216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45216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45216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45216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45216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45216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45216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45216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45216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45216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45216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45216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45216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45216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45216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45216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45216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45216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45216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45216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45216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45216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45216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45216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45216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45216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45216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45216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45216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45216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45216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45216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45216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45216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45216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45216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45216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45216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45216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45216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45216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45216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45216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45216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45216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45216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45216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45216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45216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45216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45216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45216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45216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45216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45216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45216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45216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45216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45216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45216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45216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45216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45216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45216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45216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45216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45216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45216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45216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45216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45216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45216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45216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45216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45216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45216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45216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45216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45216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45216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45216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45216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45216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45216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45216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45216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45216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45216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45216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45216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45216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45216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45216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45216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45216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45216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45216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45216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45216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45216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45216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45216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45216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45216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45216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45216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45216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45216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45216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45216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45216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45216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45216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45216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45216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45216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45216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45216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45216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45216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45216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45216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45216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45216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45216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45216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45216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45216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45216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45216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45216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45216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45216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45216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45216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45216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45216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45216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45216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45216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45216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45216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45216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45216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45216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45216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45216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45216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45216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45216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45216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45216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45216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45216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45216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45216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45216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45216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45216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45216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45216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45216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45216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45216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45216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45216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45216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45216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45216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45216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45216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45216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45216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45216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45216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45216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45216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45216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45216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45216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45216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45216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45216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45216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45216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45216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45216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45216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45216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45216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45216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45216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45216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45216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45216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45216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45216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45216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45216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45216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45216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45216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45216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45216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45216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45216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45216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45216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45216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45216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45216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45216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45216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45216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45216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45216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45216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45216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45216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45216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45216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45216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45216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45216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45216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45216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45216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45216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45216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45216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45216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45216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45216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45216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45216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45216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45216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45216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45216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45216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45216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45216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45216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45216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45216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45216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45216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45216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45216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45216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45216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45216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45216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45216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45216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45216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45216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45216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45216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45216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45216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45216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45216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45216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45216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45216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45216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45216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45216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45216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45216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45216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45216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45216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45216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45216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45216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45216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45216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45216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45216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45216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45216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45216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45216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45216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45216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45216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45216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45216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45216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45216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45216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45216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45216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45216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45216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45216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45216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45216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45216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45216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45216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45216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45216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45216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45216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45216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45216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45216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45216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45216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45216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45216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45216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45216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45216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45216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45216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45216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45216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45216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45216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45216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45216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45216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45216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45216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45216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45216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45216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45216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45216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45216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45216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45216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45216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45216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45216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45216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45216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45216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45216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45216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45216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45216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45216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45216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45216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45216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45216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45216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45216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45216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45216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45216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45216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45216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45216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45216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45216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45216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45216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45216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45216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45216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45216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45216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45216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45216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45216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45216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45216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45216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45216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45216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45216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45216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45216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45216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45216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45216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45216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45216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45216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45216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45216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45216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45216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45216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45216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45216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45216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45216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45216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45216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45216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45216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45216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45216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45216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45216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45216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45216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45216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45216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45216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45216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45216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45216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45216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45216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45216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45216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45216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45216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45216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45216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45216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45216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45216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45216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45216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45216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45216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45216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45216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45216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45216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45216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45216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45216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45216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45216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45216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45216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45216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45216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45216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45216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45216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45216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45216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45216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45216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45216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45216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45216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45216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45216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45216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45216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45216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45216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45216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45216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45216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45216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45216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45216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45216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45216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45216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45216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45216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45216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45216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45216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45216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45216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45216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45216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45216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45216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45216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45216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45216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45216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45216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45216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45216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45216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45216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45216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45216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45216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45216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45216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45216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45216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45216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45216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45216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45216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45216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45216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45216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45216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45216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45216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45216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45216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45216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45216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45216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45216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45216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45216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45216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45216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45216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45216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45216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45216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45216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45216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45216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45216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45216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45216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45216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45216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45216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45216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45216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45216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45216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45216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45216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45216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45216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45216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45216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45216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45216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45216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45216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45216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45216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45216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45216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45216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45216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45216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45216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45216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45216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45216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45216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45216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45216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45216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45216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45216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45216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45216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45216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45216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45216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45216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45216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45216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45216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45216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45216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45216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45216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45216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45216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45216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45216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45216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45216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45216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45216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45216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45216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45216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45216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45216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45216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45216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45216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45216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45216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45216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45216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45216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45216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45216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45216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45216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45216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45216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45216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45216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45216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45216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45216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45216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45216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45216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45216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45216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45216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45216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45216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45216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45216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45216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45216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45216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45216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45216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45216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45216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45216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45216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45216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45216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45216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45216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45216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45216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45216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45216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45216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45216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45216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45216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45216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45216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45216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45216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45216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45216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45216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45216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45216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45216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45216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45216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45216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45216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45216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45216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45216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45216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45216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45216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45216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45216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45216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45216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45216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45216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45216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45216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45216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45216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45216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45216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45216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45216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45216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45216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45216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45216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45216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45216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45216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45216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45216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45216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45216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45216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45216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45216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45216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45216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45216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45216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45216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45216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45216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45216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45216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45216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45216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45216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45216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45216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45216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45216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45216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45216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45216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45216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45216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45216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45216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45216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45216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45216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45216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45216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45216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45216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45216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45216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45216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45216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45216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45216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45216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45216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45216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45216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45216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45216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45216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45216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45216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45216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45216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45216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45216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45216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45216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45216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45216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45216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45216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45216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45216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45216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45216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45216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45216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45216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45216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45216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45216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45216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45216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45216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45216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45216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45216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45216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45216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45216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45216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45216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45216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45216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45216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45216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45216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45216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45216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45216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45216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45216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45216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45216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45216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45216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45216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45216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45216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45216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45216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45216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45216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45216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45216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45216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45216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45216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45216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45216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45216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45216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45216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45216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45216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45216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45216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45216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45216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45216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45216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45216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45216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45216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45216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45216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45216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45216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45216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45216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45216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45216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45216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45216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45216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45216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45216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45216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45216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45216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45216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45216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45216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45216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45216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45216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45216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45216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45216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45216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45216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45216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45216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45216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45216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45216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45216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45216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45216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45216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45216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45216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45216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45216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45216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45216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45216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45216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45216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45216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45216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45216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45216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45216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45216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45216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45216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45216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45216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45216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45216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45216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45216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45216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45216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45216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45216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45216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45216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45216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45216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45216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45216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45216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45216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45216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45216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45216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45216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45216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45216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45216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45216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45216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45216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45216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45216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45216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45216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45216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45216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45216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45216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45216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45216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45216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45216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45216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45216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45216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45216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45216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45216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45216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45216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45216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45216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45216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45216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45216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45216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45216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45216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45216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45216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45216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45216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45216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45216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45216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45216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45216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45216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45216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45216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45216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45216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45216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45216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45216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45216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45216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45216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45216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45216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45216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45216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45216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45216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45216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45216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45216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45216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45216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45216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45216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45216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45216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45216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45216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45216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45216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45216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45216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45216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45216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45216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45216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45216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45216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45216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45216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45216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45216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45216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45216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45216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45216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45216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45216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45216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45216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45216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45216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45216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45216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45216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45216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45216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45216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45216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45216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45216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45216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45216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45216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45216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45216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45216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45216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45216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45216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45216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45216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45216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45216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45216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45216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45216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45216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45216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45216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45216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45216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45216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45216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45216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45216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45216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45216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45216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45216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45216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45216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45216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45216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45216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45216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45216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45216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45216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45216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45216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45216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45216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45216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45216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45216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45216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45216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45216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45216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45216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45216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45216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45216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45216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45216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45216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45216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45216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45216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45216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45216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45216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45216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45216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45216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45216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45216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45216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45216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45216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45216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45216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45216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45216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45216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45216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45216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45216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45216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45216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45216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45216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45216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45216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45216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45216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45216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45216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45216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45216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45216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45216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45216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45216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45216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45216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45216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45216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45216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45216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45216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45216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45216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45216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45216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45216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45216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45216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45216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45216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45216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45216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45216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45216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45216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45216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45216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45216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45216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45216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45216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45216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45216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45216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45216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45216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45216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45216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45216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45216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45216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45216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45216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45216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45216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45216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45216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45216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45216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45216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45216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45216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45216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45216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45216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45216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45216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45216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45216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45216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45216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45216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45216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45216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45216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45216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45216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45216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45216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45216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45216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45216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45216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45216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45216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45216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45216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45216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45216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45216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45216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45216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45216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45216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45216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45216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45216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45216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45216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45216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45216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45216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45216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45216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45216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45216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45216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45216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45216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45216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45216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45216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45216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45216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45216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45216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45216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45216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45216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45216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45216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45216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45216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45216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45216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45216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45216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45216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45216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45216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45216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45216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45216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45216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45216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45216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45216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45216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45216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45216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45216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45216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45216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45216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45216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45216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45216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45216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45216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45216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45216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45216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45216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45216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45216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45216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45216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45216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45216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45216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45216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45216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45216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45216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45216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45216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45216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45216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45216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45216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45216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45216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45216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45216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45216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45216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45216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45216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45216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45216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45216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45216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45216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45216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45216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45216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45216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45216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45216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45216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45216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45216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45216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45216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45216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45216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45216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45216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45216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45216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45216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45216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45216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45216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45216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45216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45216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45216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45216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45216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45216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45216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45216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45216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45216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45216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45216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45216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45216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45216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45216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45216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45216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45216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45216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45216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45216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45216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45216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45216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45216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45216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45216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45216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45216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45216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45216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45216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45216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45216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45216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45216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45216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45216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45216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45216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45216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45216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45216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45216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45216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45216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45216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45216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45216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45216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45216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45216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45216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45216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45216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45216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45216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45216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45216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45216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45216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45216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45216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45216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45216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45216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45216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45216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45216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45216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45216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45216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45216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45216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45216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45216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45216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45216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45216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45216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45216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45216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45216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45216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45216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45216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45216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45216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45216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45216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45216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45216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45216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45216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45216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45216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45216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45216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45216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45216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45216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45216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45216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45216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45216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45216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45216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45216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45216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45216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45216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45216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45216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45216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45216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45216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45216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45216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45216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45216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45216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45216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45216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45216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45216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45216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45216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45216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45216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45216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45216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45216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45216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45216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45216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45216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45216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45216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45216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45216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45216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45216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45216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45216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45216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45216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45216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45216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45216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45216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45216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45216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45216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45216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45216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45216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45216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45216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45216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45216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45216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45216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45216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45216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45216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45216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45216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45216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45216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45216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45216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45216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45216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45216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45216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45216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45216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45216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45216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45216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45216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45216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45216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45216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45216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45216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45216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45216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45216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45216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45216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45216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45216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45216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45216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45216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45216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45216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45216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45216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45216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45216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45216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45216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45216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45216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45216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45216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45216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45216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45216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45216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45216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45216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45216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45216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45216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45216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45216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45216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45216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45216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45216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45216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45216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45216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45216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45216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45216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45216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45216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45216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45216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45216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45216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45216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45216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45216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45216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45216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45216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45216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45216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45216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45216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45216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45216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45216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45216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45216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45216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45216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45216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45216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45216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45216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45216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45216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45216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45216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45216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45216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45216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45216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45216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45216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45216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45216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45216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45216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45216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45216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45216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45216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45216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45216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45216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45216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45216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45216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45216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45216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45216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45216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45216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45216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45216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45216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45216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45216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45216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45216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45216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45216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45216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45216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45216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45216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45216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45216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45216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45216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45216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45216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45216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45216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45216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45216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45216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45216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45216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45216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45216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45216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45216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45216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45216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45216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45216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45216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45216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45216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45216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45216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45216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45216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45216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45216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45216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45216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45216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45216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45216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45216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45216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45216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45216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45216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45216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45216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45216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45216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45216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45216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45216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45216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45216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45216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45216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45216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45216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45216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45216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45216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45216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45216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45216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45216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45216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45216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45216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45216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45216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45216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45216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45216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45216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45216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45216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45216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45216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45216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45216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45216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45216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45216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45216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45216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45216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45216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45216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45216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45216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45216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45216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45216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45216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45216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45216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45216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45216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45216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45216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45216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45216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45216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45216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45216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45216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45216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45216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45216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45216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45216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45216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45216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45216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45216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45216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45216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45216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45216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45216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45216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45216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45216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45216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45216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45216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45216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45216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45216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45216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45216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45216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45216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45216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45216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45216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45216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45216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45216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45216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45216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45216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45216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45216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45216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45216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45216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45216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45216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45216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45216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45216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45216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45216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45216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45216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45216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45216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45216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45216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45216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45216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45216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45216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45216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45216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45216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45216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45216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45216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45216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45216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45216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45216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45216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45216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45216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45216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45216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45216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45216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45216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45216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45216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45216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45216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45216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45216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45216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45216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45216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45216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45216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45216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45216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45216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45216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45216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45216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45216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45216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45216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45216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45216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45216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45216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45216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45216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45216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45216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45216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45216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45216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45216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45216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45216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45216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45216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45216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45216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45216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45216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45216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45216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45216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45216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45216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45216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45216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45216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45216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45216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45216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45216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45216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45216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45216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45216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45216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45216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45216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45216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45216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45216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45216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45216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45216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45216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45216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45216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45216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45216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45216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45216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45216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45216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45216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45216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45216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45216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45216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45216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45216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45216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45216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45216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45216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45216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45216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45216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45216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45216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45216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45216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45216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45216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45216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45216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45216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45216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45216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45216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45216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45216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45216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45216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45216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45216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45216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45216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45216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45216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45216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45216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45216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45216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45216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45216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45216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45216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45216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45216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45216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45216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45216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45216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45216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45216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45216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45216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45216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45216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45216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45216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45216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45216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45216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45216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45216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45216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45216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45216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45216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45216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45216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45216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45216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45216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45216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45216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45216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45216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45216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45216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45216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45216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45216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45216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45216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45216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45216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45216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45216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45216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45216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45216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45216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45216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45216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45216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45216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45216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45216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45216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45216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45216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45216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45216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45216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45216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45216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45216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45216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45216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45216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45216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45216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45216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45216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45216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45216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45216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45216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45216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45216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45216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45216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45216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45216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45216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45216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45216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45216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45216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45216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45216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45216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45216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45216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45216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45216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45216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45216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45216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45216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45216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45216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45216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45216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45216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45216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45216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45216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45216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45216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45216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45216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45216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45216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45216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45216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45216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45216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45216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45216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45216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45216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45216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45216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45216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45216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45216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45216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45216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45216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45216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45216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45216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45216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45216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45216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45216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45216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45216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45216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45216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45216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45216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45216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45216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45216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45216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45216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45216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45216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45216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45216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45216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45216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45216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45216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45216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45216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45216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45216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45216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45216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45216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45216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45216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45216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45216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45216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45216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45216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45216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45216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45216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45216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45216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45216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45216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45216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45216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45216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45216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45216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45216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45216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45216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45216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45216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45216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45216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45216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45216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45216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45216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45216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45216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45216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45216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45216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45216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45216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45216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45216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45216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45216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45216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45216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45216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45216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45216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45216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45216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45216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45216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45216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45216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45216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45216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45216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45216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45216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45216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45216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45216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45216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45216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45216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45216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45216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45216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45216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45216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45216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45216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45216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45216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45216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45216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45216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45216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45216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45216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45216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45216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45216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45216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45216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45216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45216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45216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45216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45216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45216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45216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45216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45216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45216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45216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45216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45216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45216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45216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45216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45216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45216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45216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45216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45216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45216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45216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45216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45216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45216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45216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45216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45216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45216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45216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45216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45216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45216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45216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45216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45216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45216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45216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45216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45216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45216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45216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45216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45216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45216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45216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45216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45216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45216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45216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45216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45216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45216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45216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45216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45216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45216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45216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45216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45216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45216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45216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45216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45216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45216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45216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45216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45216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45216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45216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45216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45216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45216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45216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45216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45216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45216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45216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45216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45216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45216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45216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45216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45216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45216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45216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45216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45216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45216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45216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45216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45216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45216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45216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45216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45216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45216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45216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45216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45216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45216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45216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45216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45216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45216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45216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45216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45216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45216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45216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45216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45216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45216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45216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45216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45216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45216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45216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45216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45216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45216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45216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45216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45216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45216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45216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45216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45216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45216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45216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45216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45216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45216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45216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45216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45216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45216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45216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45216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45216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45216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45216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45216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45216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45216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45216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45216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45216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45216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45216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45216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45216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45216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45216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45216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45216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45216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45216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45216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45216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45216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45216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45216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45216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45216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45216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45216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45216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45216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45216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45216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45216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45216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45216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45216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45216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45216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45216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45216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45216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45216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45216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45216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45216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45216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45216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45216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45216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45216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45216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45216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45216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45216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45216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45216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45216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45216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45216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45216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45216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45216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45216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45216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45216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45216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45216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45216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45216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45216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45216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45216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45216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45216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45216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45216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45216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45216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45216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45216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45216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45216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45216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45216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45216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45216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45216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45216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45216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45216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45216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45216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45216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45216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45216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45216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45216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45216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45216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45216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45216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45216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45216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45216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45216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45216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45216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45216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45216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45216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45216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45216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45216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45216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45216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45216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45216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45216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45216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45216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45216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45216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45216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45216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45216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45216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45216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45216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45216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45216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45216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45216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45216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45216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45216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45216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45216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45216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45216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45216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45216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45216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45216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45216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45216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45216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45216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45216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45216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45216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45216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45216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45216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45216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45216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45216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45216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45216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45216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45216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45216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45216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45216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45216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45216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45216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45216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45216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45216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45216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45216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45216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45216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45216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45216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45216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45216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45216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45216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45216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45216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45216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45216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45216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45216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45216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45216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45216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45216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45216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45216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45216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45216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45216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45216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45216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45216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45216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45216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45216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45216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45216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45216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45216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45216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45216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45216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45216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45216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45216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45216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45216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45216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45216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45216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45216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45216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45216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45216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45216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45216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45216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45216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45216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45216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45216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45216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45216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45216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45216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45216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45216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45216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45216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45216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45216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45216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45216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45216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45216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45216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45216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45216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45216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45216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45216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45216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45216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45216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45216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45216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45216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45216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45216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45216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45216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45216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45216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45216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45216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45216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45216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45216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45216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45216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45216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45216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45216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45216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45216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45216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45216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45216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45216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45216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45216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45216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45216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45216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45216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45216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45216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45216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45216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45216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45216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45216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45216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45216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45216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45216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45216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45216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45216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45216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45216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45216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45216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45216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45216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45216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45216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45216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45216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45216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45216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45216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45216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45216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45216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45216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45216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45216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45216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45216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45216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45216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45216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45216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45216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45216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45216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45216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45216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45216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45216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45216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45216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45216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45216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45216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45216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45216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45216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45216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45216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45216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45216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45216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45216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45216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45216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45216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45216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45216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45216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45216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45216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45216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45216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45216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45216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45216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45216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45216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45216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45216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45216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45216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45216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45216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45216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45216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45216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45216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45216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45216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45216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45216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45216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45216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45216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45216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45216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45216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45216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45216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45216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45216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45216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45216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45216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45216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45216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45216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45216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45216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45216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45216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45216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45216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45216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45216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45216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45216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45216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45216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45216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45216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45216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45216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45216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45216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45216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45216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45216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45216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45216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45216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45216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45216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45216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45216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45216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45216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45216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45216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45216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45216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45216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45216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45216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45216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45216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45216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45216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45216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45216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45216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45216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45216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45216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45216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45216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45216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45216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45216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45216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45216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45216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45216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45216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45216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45216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45216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45216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45216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45216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45216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45216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45216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45216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45216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45216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45216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45216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45216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45216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45216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45216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45216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45216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45216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45216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45216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45216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45216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45216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45216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45216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45216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45216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45216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45216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45216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45216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45216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45216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45216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45216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45216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45216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45216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45216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45216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45216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45216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45216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45216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45216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45216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45216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45216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45216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45216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45216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45216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45216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45216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45216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45216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45216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45216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45216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45216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45216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45216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45216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45216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45216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45216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45216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45216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45216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45216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45216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45216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45216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45216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45216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45216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45216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45216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45216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45216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45216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45216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45216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45216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45216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45216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45216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45216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45216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45216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45216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45216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45216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45216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45216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45216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45216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45216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45216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45216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45216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45216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45216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45216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45216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45216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45216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45216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45216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45216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45216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45216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45216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45216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45216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45216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45216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45216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45216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45216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45216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45216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45216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45216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45216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45216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45216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45216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45216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45216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45216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45216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45216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45216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45216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45216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45216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45216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45216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45216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45216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45216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45216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45216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45216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45216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45216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45216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45216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45216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45216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45216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45216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45216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45216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45216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45216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45216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45216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45216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45216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45216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45216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45216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45216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45216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45216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45216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45216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45216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45216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45216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45216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45216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45216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45216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45216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45216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45216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45216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45216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45216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45216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45216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45216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45216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45216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45216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45216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45216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45216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45216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45216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45216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45216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45216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45216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45216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45216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45216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45216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45216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45216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45216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45216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45216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45216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45216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45216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45216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45216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45216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45216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45216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45216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45216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45216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45216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45216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45216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45216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45216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45216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45216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45216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45216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45216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45216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45216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45216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45216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45216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45216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45216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45216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45216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45216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45216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45216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45216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45216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45216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45216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45216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45216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45216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45216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45216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45216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45216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45216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45216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45216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45216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45216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45216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45216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45216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45216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45216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45216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45216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45216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45216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45216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45216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45216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45216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45216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45216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45216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45216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45216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45216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45216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45216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45216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45216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45216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45216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45216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45216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45216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45216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45216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45216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45216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45216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45216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45216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45216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45216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45216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45216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45216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45216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45216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45216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45216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45216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45216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45216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45216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45216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45216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45216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45216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45216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45216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45216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45216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45216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45216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45216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45216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45216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45216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45216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45216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45216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45216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45216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45216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45216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45216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45216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45216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45216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45216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45216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45216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45216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45216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45216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45216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45216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45216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45216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45216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45216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45216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45216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45216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45216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45216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45216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45216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45216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45216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45216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45216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45216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45216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45216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45216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45216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45216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45216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45216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45216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45216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45216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45216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45216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45216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45216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45216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45216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45216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45216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45216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45216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45216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45216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45216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45216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45216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45216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45216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45216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45216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45216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45216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45216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45216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45216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45216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45216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45216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45216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45216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45216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45216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45216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45216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45216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45216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45216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45216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45216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45216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45216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45216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45216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45216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45216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45216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45216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45216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45216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45216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45216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45216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45216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45216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45216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45216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45216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45216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45216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45216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45216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45216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45216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45216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45216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45216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45216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45216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45216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45216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45216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45216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45216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45216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45216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45216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45216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45216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45216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45216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45216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45216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45216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45216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45216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45216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45216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45216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45216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45216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45216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45216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45216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45216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45216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45216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45216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45216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45216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45216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45216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45216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45216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45216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45216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45216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45216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45216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45216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45216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45216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45216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45216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45216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45216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45216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45216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45216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45216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45216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45216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45216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45216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45216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45216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45216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45216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45216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45216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45216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45216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45216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45216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45216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45216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45216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45216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45216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45216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45216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45216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45216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45216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45216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45216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45216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45216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45216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45216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45216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45216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45216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45216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45216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45216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45216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45216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45216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45216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45216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45216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45216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45216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45216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45216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45216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45216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45216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45216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45216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45216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45216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45216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45216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45216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45216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45216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45216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45216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45216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45216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45216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45216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45216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45216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45216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45216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45216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45216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45216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45216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45216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45216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45216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45216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45216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45216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45216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45216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45216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45216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45216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45216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45216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45216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45216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45216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45216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45216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45216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45216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45216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45216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45216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45216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45216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45216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45216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45216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45216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45216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45216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45216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45216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45216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45216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45216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45216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45216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45216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45216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45216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45216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45216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45216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45216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45216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45216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45216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45216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45216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45216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45216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45216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45216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45216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45216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45216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45216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45216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45216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45216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45216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45216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45216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45216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45216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45216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45216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45216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45216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45216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45216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45216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45216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45216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45216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45216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45216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45216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45216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45216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45216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45216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45216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45216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45216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45216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45216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45216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45216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45216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45216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45216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45216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45216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45216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45216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45216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45216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45216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45216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45216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45216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45216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45216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45216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45216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45216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45216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45216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45216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45216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45216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45216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45216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45216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45216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45216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45216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45216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45216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45216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45216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45216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45216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45216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45216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45216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45216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45216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45216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45216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45216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45216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45216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45216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45216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45216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45216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45216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45216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45216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45216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45216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45216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45216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45216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45216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45216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45216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45216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45216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45216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45216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45216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45216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45216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45216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45216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45216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45216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45216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45216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45216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45216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45216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45216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45216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45216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45216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45216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45216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45216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45216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45216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45216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45216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45216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45216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45216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45216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45216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45216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45216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45216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45216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45216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45216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45216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45216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45216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45216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45216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45216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45216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45216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45216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45216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45216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45216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45216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45216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45216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45216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45216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45216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45216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45216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45216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45216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45216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45216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45216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45216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45216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45216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45216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45216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45216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45216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45216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45216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45216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45216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45216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45216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45216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45216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45216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45216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45216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45216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45216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45216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45216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45216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45216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45216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45216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45216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45216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45216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45216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45216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45216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45216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45216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45216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45216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45216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45216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45216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45216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45216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45216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45216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45216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45216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45216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45216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45216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45216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45216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45216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45216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45216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45216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45216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45216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45216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45216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45216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45216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45216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45216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45216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45216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45216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45216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45216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45216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45216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45216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45216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45216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45216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45216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45216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45216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45216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45216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45216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45216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45216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45216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45216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45216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45216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45216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45216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45216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45216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45216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45216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45216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45216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45216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45216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45216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45216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45216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45216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45216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45216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45216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45216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45216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45216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45216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45216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45216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45216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45216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45216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45216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45216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45216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45216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45216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45216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45216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45216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45216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45216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45216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45216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45216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45216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45216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45216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45216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45216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45216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45216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45216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45216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45216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45216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45216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45216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45216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45216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45216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45216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45216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45216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45216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45216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45216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45216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45216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45216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45216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45216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45216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45216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45216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45216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45216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45216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45216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45216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45216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45216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45216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45216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45216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45216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45216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45216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45216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45216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45216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45216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45216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45216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45216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45216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45216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45216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45216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45216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45216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45216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45216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45216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45216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45216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45216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45216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45216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45216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45216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45216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45216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45216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45216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45216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45216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45216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45216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45216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45216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45216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45216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45216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45216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45216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45216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45216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45216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45216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45216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45216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45216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45216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45216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45216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45216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45216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45216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45216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45216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45216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45216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45216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45216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45216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45216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45216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45216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45216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45216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45216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45216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45216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45216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45216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45216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45216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45216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45216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45216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45216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45216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45216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45216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45216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45216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45216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45216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45216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45216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45216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45216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45216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45216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45216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45216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45216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45216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45216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45216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45216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45216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45216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45216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45216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45216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45216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45216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45216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45216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45216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45216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45216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45216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45216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45216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45216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45216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45216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45216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45216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45216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45216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45216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45216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45216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45216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45216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45216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45216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45216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45216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45216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45216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45216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45216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45216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45216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45216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45216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45216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45216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45216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45216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45216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45216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45216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45216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45216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45216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45216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45216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45216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45216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45216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45216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45216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45216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45216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45216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45216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45216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45216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45216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45216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45216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45216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45216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45216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45216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45216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45216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45216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45216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45216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45216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45216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45216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45216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45216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45216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45216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45216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45216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45216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45216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45216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45216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45216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45216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45216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45216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45216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45216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45216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45216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45216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45216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45216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45216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45216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45216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45216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45216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45216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45216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45216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45216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45216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45216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45216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45216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45216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45216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45216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45216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45216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45216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45216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45216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45216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45216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45216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45216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45216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45216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45216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45216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45216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45216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45216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45216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45216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45216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45216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45216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45216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45216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45216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45216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45216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45216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45216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45216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45216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45216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45216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45216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45216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45216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45216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45216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45216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45216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45216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45216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45216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45216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45216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45216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45216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45216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45216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45216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45216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45216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45216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45216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45216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45216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45216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45216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45216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45216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45216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45216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45216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45216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45216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45216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45216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45216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45216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45216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45216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45216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45216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45216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45216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45216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45216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45216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45216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45216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45216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45216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45216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45216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45216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45216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45216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45216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45216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45216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45216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45216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45216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45216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45216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45216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45216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45216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45216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45216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45216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45216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45216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45216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45216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45216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45216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45216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45216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45216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45216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45216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45216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45216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45216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45216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45216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45216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45216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45216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45216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45216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45216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45216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45216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45216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45216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45216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45216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45216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45216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45216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45216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45216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45216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45216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45216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45216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45216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45216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45216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45216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45216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45216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45216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45216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45216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45216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45216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45216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45216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45216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45216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45216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45216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45216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45216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45216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45216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45216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45216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45216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45216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45216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45216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45216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45216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45216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45216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45216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45216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45216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45216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45216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45216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45216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45216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45216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45216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45216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45216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45216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45216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45216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45216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45216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45216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45216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45216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45216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45216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45216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45216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45216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45216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45216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45216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45216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45216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45216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45216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45216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45216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45216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45216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45216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45216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45216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45216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45216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45216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45216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45216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45216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45216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45216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45216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45216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45216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45216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45216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45216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45216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45216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45216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45216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45216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45216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45216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45216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45216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45216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45216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45216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45216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45216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45216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45216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45216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45216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45216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45216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45216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45216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45216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45216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45216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45216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45216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45216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45216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45216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45216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45216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45216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45216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45216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45216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45216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45216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45216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45216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45216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45216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45216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45216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45216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45216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45216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45216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45216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45216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45216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45216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45216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45216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45216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45216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45216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45216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45216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45216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45216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45216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45216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45216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45216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45216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45216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45216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45216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45216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45216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45216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45216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45216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45216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45216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45216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45216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45216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45216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45216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45216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45216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45216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45216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45216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45216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45216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45216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45216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45216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45216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45216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45216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45216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45216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45216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45216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45216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45216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45216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45216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45216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45216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45216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45216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45216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45216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45216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45216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45216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45216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45216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45216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45216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45216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45216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45216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45216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45216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45216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45216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45216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45216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45216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45216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45216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45216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45216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45216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45216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45216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45216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45216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45216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45216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45216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45216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45216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45216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45216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45216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45216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45216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45216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45216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45216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45216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45216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45216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45216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45216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45216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45216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45216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45216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45216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45216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45216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45216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45216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45216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45216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45216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45216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45216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45216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45216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45216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45216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45216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45216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45216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45216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45216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45216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45216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45216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45216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45216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45216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45216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45216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45216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45216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45216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45216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45216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45216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45216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45216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45216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45216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45216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45216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45216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45216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45216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45216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45216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45216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45216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45216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45216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45216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45216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45216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45216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45216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45216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45216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45216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45216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45216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45216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45216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45216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45216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45216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45216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45216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45216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45216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45216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45216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45216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45216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45216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45216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45216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45216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45216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45216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45216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45216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45216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45216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45216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45216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45216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45216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45216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45216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45216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45216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45216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45216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45216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45216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45216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45216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45216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45216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45216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45216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45216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45216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45216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45216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45216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45216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45216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45216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45216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45216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45216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45216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45216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45216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45216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45216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45216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45216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45216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45216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45216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45216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45216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45216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45216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45216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45216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45216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45216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45216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45216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45216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45216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45216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45216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45216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45216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45216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45216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45216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45216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45216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45216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45216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45216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45216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45216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45216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45216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45216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45216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45216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45216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45216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45216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45216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45216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45216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45216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45216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45216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45216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45216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45216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45216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45216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45216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45216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45216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45216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45216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45216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45216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45216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45216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45216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45216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45216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45216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45216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45216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45216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45216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45216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45216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45216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45216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45216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45216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45216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45216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45216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45216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45216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45216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45216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45216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45216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45216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45216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45216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45216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45216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45216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45216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45216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45216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45216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45216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45216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45216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45216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45216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45216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45216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45216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45216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45216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45216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45216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45216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45216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45216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45216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45216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45216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45216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45216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45216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45216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45216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45216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45216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45216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45216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45216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45216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45216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45216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45216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45216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45216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45216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45216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45216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45216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45216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45216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45216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45216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45216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45216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45216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45216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45216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45216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45216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45216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45216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45216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45216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45216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45216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45216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45216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45216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45216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45216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45216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45216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45216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45216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45216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45216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45216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45216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45216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45216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45216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45216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45216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45216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45216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45216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45216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45216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45216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45216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45216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45216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45216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45216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45216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45216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45216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45216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45216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45216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45216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45216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45216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45216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45216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45216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45216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45216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45216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45216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45216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45216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45216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45216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45216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45216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45216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45216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45216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45216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45216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45216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45216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45216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45216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45216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45216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45216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45216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45216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45216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45216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45216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45216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45216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45216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45216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45216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45216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45216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45216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45216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45216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45216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45216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45216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45216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45216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45216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45216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45216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45216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45216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45216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45216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45216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45216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>
      <c r="A5008" t="inlineStr">
        <is>
          <t>A 49913-2023</t>
        </is>
      </c>
      <c r="B5008" s="1" t="n">
        <v>45214</v>
      </c>
      <c r="C5008" s="1" t="n">
        <v>45216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2023-10-17T06:26:16Z</dcterms:created>
  <dcterms:modified xmlns:dcterms="http://purl.org/dc/terms/" xmlns:xsi="http://www.w3.org/2001/XMLSchema-instance" xsi:type="dcterms:W3CDTF">2023-10-17T06:26:21Z</dcterms:modified>
</cp:coreProperties>
</file>