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  <c r="T3">
        <f>HYPERLINK("https://klasma.github.io/Logging_FLEN/kartor/A 16014-2019.png")</f>
        <v/>
      </c>
      <c r="V3">
        <f>HYPERLINK("https://klasma.github.io/Logging_FLEN/klagomål/A 16014-2019.docx")</f>
        <v/>
      </c>
      <c r="W3">
        <f>HYPERLINK("https://klasma.github.io/Logging_FLEN/klagomålsmail/A 16014-2019.docx")</f>
        <v/>
      </c>
      <c r="X3">
        <f>HYPERLINK("https://klasma.github.io/Logging_FLEN/tillsyn/A 16014-2019.docx")</f>
        <v/>
      </c>
      <c r="Y3">
        <f>HYPERLINK("https://klasma.github.io/Logging_FLEN/tillsynsmail/A 16014-2019.docx")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  <c r="T4">
        <f>HYPERLINK("https://klasma.github.io/Logging_ESKILSTUNA/kartor/A 38819-2021.png")</f>
        <v/>
      </c>
      <c r="V4">
        <f>HYPERLINK("https://klasma.github.io/Logging_ESKILSTUNA/klagomål/A 38819-2021.docx")</f>
        <v/>
      </c>
      <c r="W4">
        <f>HYPERLINK("https://klasma.github.io/Logging_ESKILSTUNA/klagomålsmail/A 38819-2021.docx")</f>
        <v/>
      </c>
      <c r="X4">
        <f>HYPERLINK("https://klasma.github.io/Logging_ESKILSTUNA/tillsyn/A 38819-2021.docx")</f>
        <v/>
      </c>
      <c r="Y4">
        <f>HYPERLINK("https://klasma.github.io/Logging_ESKILSTUNA/tillsynsmail/A 38819-2021.docx")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  <c r="T5">
        <f>HYPERLINK("https://klasma.github.io/Logging_ESKILSTUNA/kartor/A 5064-2020.png")</f>
        <v/>
      </c>
      <c r="V5">
        <f>HYPERLINK("https://klasma.github.io/Logging_ESKILSTUNA/klagomål/A 5064-2020.docx")</f>
        <v/>
      </c>
      <c r="W5">
        <f>HYPERLINK("https://klasma.github.io/Logging_ESKILSTUNA/klagomålsmail/A 5064-2020.docx")</f>
        <v/>
      </c>
      <c r="X5">
        <f>HYPERLINK("https://klasma.github.io/Logging_ESKILSTUNA/tillsyn/A 5064-2020.docx")</f>
        <v/>
      </c>
      <c r="Y5">
        <f>HYPERLINK("https://klasma.github.io/Logging_ESKILSTUNA/tillsynsmail/A 5064-2020.docx")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  <c r="T6">
        <f>HYPERLINK("https://klasma.github.io/Logging_GNESTA/kartor/A 15285-2022.png")</f>
        <v/>
      </c>
      <c r="V6">
        <f>HYPERLINK("https://klasma.github.io/Logging_GNESTA/klagomål/A 15285-2022.docx")</f>
        <v/>
      </c>
      <c r="W6">
        <f>HYPERLINK("https://klasma.github.io/Logging_GNESTA/klagomålsmail/A 15285-2022.docx")</f>
        <v/>
      </c>
      <c r="X6">
        <f>HYPERLINK("https://klasma.github.io/Logging_GNESTA/tillsyn/A 15285-2022.docx")</f>
        <v/>
      </c>
      <c r="Y6">
        <f>HYPERLINK("https://klasma.github.io/Logging_GNESTA/tillsynsmail/A 15285-2022.docx")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  <c r="T7">
        <f>HYPERLINK("https://klasma.github.io/Logging_GNESTA/kartor/A 15106-2020.png")</f>
        <v/>
      </c>
      <c r="V7">
        <f>HYPERLINK("https://klasma.github.io/Logging_GNESTA/klagomål/A 15106-2020.docx")</f>
        <v/>
      </c>
      <c r="W7">
        <f>HYPERLINK("https://klasma.github.io/Logging_GNESTA/klagomålsmail/A 15106-2020.docx")</f>
        <v/>
      </c>
      <c r="X7">
        <f>HYPERLINK("https://klasma.github.io/Logging_GNESTA/tillsyn/A 15106-2020.docx")</f>
        <v/>
      </c>
      <c r="Y7">
        <f>HYPERLINK("https://klasma.github.io/Logging_GNESTA/tillsynsmail/A 15106-2020.docx")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  <c r="T8">
        <f>HYPERLINK("https://klasma.github.io/Logging_FLEN/kartor/A 54631-2022.png")</f>
        <v/>
      </c>
      <c r="V8">
        <f>HYPERLINK("https://klasma.github.io/Logging_FLEN/klagomål/A 54631-2022.docx")</f>
        <v/>
      </c>
      <c r="W8">
        <f>HYPERLINK("https://klasma.github.io/Logging_FLEN/klagomålsmail/A 54631-2022.docx")</f>
        <v/>
      </c>
      <c r="X8">
        <f>HYPERLINK("https://klasma.github.io/Logging_FLEN/tillsyn/A 54631-2022.docx")</f>
        <v/>
      </c>
      <c r="Y8">
        <f>HYPERLINK("https://klasma.github.io/Logging_FLEN/tillsynsmail/A 54631-2022.docx")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  <c r="T9">
        <f>HYPERLINK("https://klasma.github.io/Logging_STRANGNAS/kartor/A 34151-2019.png")</f>
        <v/>
      </c>
      <c r="U9">
        <f>HYPERLINK("https://klasma.github.io/Logging_STRANGNAS/knärot/A 34151-2019.png")</f>
        <v/>
      </c>
      <c r="V9">
        <f>HYPERLINK("https://klasma.github.io/Logging_STRANGNAS/klagomål/A 34151-2019.docx")</f>
        <v/>
      </c>
      <c r="W9">
        <f>HYPERLINK("https://klasma.github.io/Logging_STRANGNAS/klagomålsmail/A 34151-2019.docx")</f>
        <v/>
      </c>
      <c r="X9">
        <f>HYPERLINK("https://klasma.github.io/Logging_STRANGNAS/tillsyn/A 34151-2019.docx")</f>
        <v/>
      </c>
      <c r="Y9">
        <f>HYPERLINK("https://klasma.github.io/Logging_STRANGNAS/tillsynsmail/A 34151-2019.docx")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  <c r="T10">
        <f>HYPERLINK("https://klasma.github.io/Logging_VINGAKER/kartor/A 31390-2020.png")</f>
        <v/>
      </c>
      <c r="V10">
        <f>HYPERLINK("https://klasma.github.io/Logging_VINGAKER/klagomål/A 31390-2020.docx")</f>
        <v/>
      </c>
      <c r="W10">
        <f>HYPERLINK("https://klasma.github.io/Logging_VINGAKER/klagomålsmail/A 31390-2020.docx")</f>
        <v/>
      </c>
      <c r="X10">
        <f>HYPERLINK("https://klasma.github.io/Logging_VINGAKER/tillsyn/A 31390-2020.docx")</f>
        <v/>
      </c>
      <c r="Y10">
        <f>HYPERLINK("https://klasma.github.io/Logging_VINGAKER/tillsynsmail/A 31390-2020.docx")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45182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  <c r="T11">
        <f>HYPERLINK("https://klasma.github.io/Logging_KATRINEHOLM/kartor/A 39091-2022.png")</f>
        <v/>
      </c>
      <c r="V11">
        <f>HYPERLINK("https://klasma.github.io/Logging_KATRINEHOLM/klagomål/A 39091-2022.docx")</f>
        <v/>
      </c>
      <c r="W11">
        <f>HYPERLINK("https://klasma.github.io/Logging_KATRINEHOLM/klagomålsmail/A 39091-2022.docx")</f>
        <v/>
      </c>
      <c r="X11">
        <f>HYPERLINK("https://klasma.github.io/Logging_KATRINEHOLM/tillsyn/A 39091-2022.docx")</f>
        <v/>
      </c>
      <c r="Y11">
        <f>HYPERLINK("https://klasma.github.io/Logging_KATRINEHOLM/tillsynsmail/A 39091-2022.docx")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45182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  <c r="T12">
        <f>HYPERLINK("https://klasma.github.io/Logging_NYKOPING/kartor/A 50844-2019.png")</f>
        <v/>
      </c>
      <c r="V12">
        <f>HYPERLINK("https://klasma.github.io/Logging_NYKOPING/klagomål/A 50844-2019.docx")</f>
        <v/>
      </c>
      <c r="W12">
        <f>HYPERLINK("https://klasma.github.io/Logging_NYKOPING/klagomålsmail/A 50844-2019.docx")</f>
        <v/>
      </c>
      <c r="X12">
        <f>HYPERLINK("https://klasma.github.io/Logging_NYKOPING/tillsyn/A 50844-2019.docx")</f>
        <v/>
      </c>
      <c r="Y12">
        <f>HYPERLINK("https://klasma.github.io/Logging_NYKOPING/tillsynsmail/A 50844-2019.docx")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45182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  <c r="T13">
        <f>HYPERLINK("https://klasma.github.io/Logging_ESKILSTUNA/kartor/A 42022-2021.png")</f>
        <v/>
      </c>
      <c r="U13">
        <f>HYPERLINK("https://klasma.github.io/Logging_ESKILSTUNA/knärot/A 42022-2021.png")</f>
        <v/>
      </c>
      <c r="V13">
        <f>HYPERLINK("https://klasma.github.io/Logging_ESKILSTUNA/klagomål/A 42022-2021.docx")</f>
        <v/>
      </c>
      <c r="W13">
        <f>HYPERLINK("https://klasma.github.io/Logging_ESKILSTUNA/klagomålsmail/A 42022-2021.docx")</f>
        <v/>
      </c>
      <c r="X13">
        <f>HYPERLINK("https://klasma.github.io/Logging_ESKILSTUNA/tillsyn/A 42022-2021.docx")</f>
        <v/>
      </c>
      <c r="Y13">
        <f>HYPERLINK("https://klasma.github.io/Logging_ESKILSTUNA/tillsynsmail/A 42022-2021.docx")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45182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  <c r="T14">
        <f>HYPERLINK("https://klasma.github.io/Logging_KATRINEHOLM/kartor/A 44206-2021.png")</f>
        <v/>
      </c>
      <c r="U14">
        <f>HYPERLINK("https://klasma.github.io/Logging_KATRINEHOLM/knärot/A 44206-2021.png")</f>
        <v/>
      </c>
      <c r="V14">
        <f>HYPERLINK("https://klasma.github.io/Logging_KATRINEHOLM/klagomål/A 44206-2021.docx")</f>
        <v/>
      </c>
      <c r="W14">
        <f>HYPERLINK("https://klasma.github.io/Logging_KATRINEHOLM/klagomålsmail/A 44206-2021.docx")</f>
        <v/>
      </c>
      <c r="X14">
        <f>HYPERLINK("https://klasma.github.io/Logging_KATRINEHOLM/tillsyn/A 44206-2021.docx")</f>
        <v/>
      </c>
      <c r="Y14">
        <f>HYPERLINK("https://klasma.github.io/Logging_KATRINEHOLM/tillsynsmail/A 44206-2021.docx")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45182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  <c r="T15">
        <f>HYPERLINK("https://klasma.github.io/Logging_KATRINEHOLM/kartor/A 11874-2023.png")</f>
        <v/>
      </c>
      <c r="U15">
        <f>HYPERLINK("https://klasma.github.io/Logging_KATRINEHOLM/knärot/A 11874-2023.png")</f>
        <v/>
      </c>
      <c r="V15">
        <f>HYPERLINK("https://klasma.github.io/Logging_KATRINEHOLM/klagomål/A 11874-2023.docx")</f>
        <v/>
      </c>
      <c r="W15">
        <f>HYPERLINK("https://klasma.github.io/Logging_KATRINEHOLM/klagomålsmail/A 11874-2023.docx")</f>
        <v/>
      </c>
      <c r="X15">
        <f>HYPERLINK("https://klasma.github.io/Logging_KATRINEHOLM/tillsyn/A 11874-2023.docx")</f>
        <v/>
      </c>
      <c r="Y15">
        <f>HYPERLINK("https://klasma.github.io/Logging_KATRINEHOLM/tillsynsmail/A 11874-2023.docx")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45182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  <c r="T16">
        <f>HYPERLINK("https://klasma.github.io/Logging_TROSA/kartor/A 42503-2019.png")</f>
        <v/>
      </c>
      <c r="U16">
        <f>HYPERLINK("https://klasma.github.io/Logging_TROSA/knärot/A 42503-2019.png")</f>
        <v/>
      </c>
      <c r="V16">
        <f>HYPERLINK("https://klasma.github.io/Logging_TROSA/klagomål/A 42503-2019.docx")</f>
        <v/>
      </c>
      <c r="W16">
        <f>HYPERLINK("https://klasma.github.io/Logging_TROSA/klagomålsmail/A 42503-2019.docx")</f>
        <v/>
      </c>
      <c r="X16">
        <f>HYPERLINK("https://klasma.github.io/Logging_TROSA/tillsyn/A 42503-2019.docx")</f>
        <v/>
      </c>
      <c r="Y16">
        <f>HYPERLINK("https://klasma.github.io/Logging_TROSA/tillsynsmail/A 42503-2019.docx")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45182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  <c r="T17">
        <f>HYPERLINK("https://klasma.github.io/Logging_FLEN/kartor/A 54665-2022.png")</f>
        <v/>
      </c>
      <c r="V17">
        <f>HYPERLINK("https://klasma.github.io/Logging_FLEN/klagomål/A 54665-2022.docx")</f>
        <v/>
      </c>
      <c r="W17">
        <f>HYPERLINK("https://klasma.github.io/Logging_FLEN/klagomålsmail/A 54665-2022.docx")</f>
        <v/>
      </c>
      <c r="X17">
        <f>HYPERLINK("https://klasma.github.io/Logging_FLEN/tillsyn/A 54665-2022.docx")</f>
        <v/>
      </c>
      <c r="Y17">
        <f>HYPERLINK("https://klasma.github.io/Logging_FLEN/tillsynsmail/A 54665-2022.docx")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45182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  <c r="T18">
        <f>HYPERLINK("https://klasma.github.io/Logging_NYKOPING/kartor/A 15726-2019.png")</f>
        <v/>
      </c>
      <c r="V18">
        <f>HYPERLINK("https://klasma.github.io/Logging_NYKOPING/klagomål/A 15726-2019.docx")</f>
        <v/>
      </c>
      <c r="W18">
        <f>HYPERLINK("https://klasma.github.io/Logging_NYKOPING/klagomålsmail/A 15726-2019.docx")</f>
        <v/>
      </c>
      <c r="X18">
        <f>HYPERLINK("https://klasma.github.io/Logging_NYKOPING/tillsyn/A 15726-2019.docx")</f>
        <v/>
      </c>
      <c r="Y18">
        <f>HYPERLINK("https://klasma.github.io/Logging_NYKOPING/tillsynsmail/A 15726-2019.docx")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45182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  <c r="T19">
        <f>HYPERLINK("https://klasma.github.io/Logging_FLEN/kartor/A 30095-2021.png")</f>
        <v/>
      </c>
      <c r="V19">
        <f>HYPERLINK("https://klasma.github.io/Logging_FLEN/klagomål/A 30095-2021.docx")</f>
        <v/>
      </c>
      <c r="W19">
        <f>HYPERLINK("https://klasma.github.io/Logging_FLEN/klagomålsmail/A 30095-2021.docx")</f>
        <v/>
      </c>
      <c r="X19">
        <f>HYPERLINK("https://klasma.github.io/Logging_FLEN/tillsyn/A 30095-2021.docx")</f>
        <v/>
      </c>
      <c r="Y19">
        <f>HYPERLINK("https://klasma.github.io/Logging_FLEN/tillsynsmail/A 30095-2021.docx")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45182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  <c r="T20">
        <f>HYPERLINK("https://klasma.github.io/Logging_NYKOPING/kartor/A 71887-2021.png")</f>
        <v/>
      </c>
      <c r="V20">
        <f>HYPERLINK("https://klasma.github.io/Logging_NYKOPING/klagomål/A 71887-2021.docx")</f>
        <v/>
      </c>
      <c r="W20">
        <f>HYPERLINK("https://klasma.github.io/Logging_NYKOPING/klagomålsmail/A 71887-2021.docx")</f>
        <v/>
      </c>
      <c r="X20">
        <f>HYPERLINK("https://klasma.github.io/Logging_NYKOPING/tillsyn/A 71887-2021.docx")</f>
        <v/>
      </c>
      <c r="Y20">
        <f>HYPERLINK("https://klasma.github.io/Logging_NYKOPING/tillsynsmail/A 71887-2021.docx")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45182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  <c r="T21">
        <f>HYPERLINK("https://klasma.github.io/Logging_FLEN/kartor/A 3873-2022.png")</f>
        <v/>
      </c>
      <c r="V21">
        <f>HYPERLINK("https://klasma.github.io/Logging_FLEN/klagomål/A 3873-2022.docx")</f>
        <v/>
      </c>
      <c r="W21">
        <f>HYPERLINK("https://klasma.github.io/Logging_FLEN/klagomålsmail/A 3873-2022.docx")</f>
        <v/>
      </c>
      <c r="X21">
        <f>HYPERLINK("https://klasma.github.io/Logging_FLEN/tillsyn/A 3873-2022.docx")</f>
        <v/>
      </c>
      <c r="Y21">
        <f>HYPERLINK("https://klasma.github.io/Logging_FLEN/tillsynsmail/A 3873-2022.docx")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45182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  <c r="T22">
        <f>HYPERLINK("https://klasma.github.io/Logging_KATRINEHOLM/kartor/A 20533-2023.png")</f>
        <v/>
      </c>
      <c r="V22">
        <f>HYPERLINK("https://klasma.github.io/Logging_KATRINEHOLM/klagomål/A 20533-2023.docx")</f>
        <v/>
      </c>
      <c r="W22">
        <f>HYPERLINK("https://klasma.github.io/Logging_KATRINEHOLM/klagomålsmail/A 20533-2023.docx")</f>
        <v/>
      </c>
      <c r="X22">
        <f>HYPERLINK("https://klasma.github.io/Logging_KATRINEHOLM/tillsyn/A 20533-2023.docx")</f>
        <v/>
      </c>
      <c r="Y22">
        <f>HYPERLINK("https://klasma.github.io/Logging_KATRINEHOLM/tillsynsmail/A 20533-2023.docx")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45182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  <c r="T23">
        <f>HYPERLINK("https://klasma.github.io/Logging_ESKILSTUNA/kartor/A 44631-2018.png")</f>
        <v/>
      </c>
      <c r="V23">
        <f>HYPERLINK("https://klasma.github.io/Logging_ESKILSTUNA/klagomål/A 44631-2018.docx")</f>
        <v/>
      </c>
      <c r="W23">
        <f>HYPERLINK("https://klasma.github.io/Logging_ESKILSTUNA/klagomålsmail/A 44631-2018.docx")</f>
        <v/>
      </c>
      <c r="X23">
        <f>HYPERLINK("https://klasma.github.io/Logging_ESKILSTUNA/tillsyn/A 44631-2018.docx")</f>
        <v/>
      </c>
      <c r="Y23">
        <f>HYPERLINK("https://klasma.github.io/Logging_ESKILSTUNA/tillsynsmail/A 44631-2018.docx")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45182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  <c r="T24">
        <f>HYPERLINK("https://klasma.github.io/Logging_KATRINEHOLM/kartor/A 46007-2019.png")</f>
        <v/>
      </c>
      <c r="V24">
        <f>HYPERLINK("https://klasma.github.io/Logging_KATRINEHOLM/klagomål/A 46007-2019.docx")</f>
        <v/>
      </c>
      <c r="W24">
        <f>HYPERLINK("https://klasma.github.io/Logging_KATRINEHOLM/klagomålsmail/A 46007-2019.docx")</f>
        <v/>
      </c>
      <c r="X24">
        <f>HYPERLINK("https://klasma.github.io/Logging_KATRINEHOLM/tillsyn/A 46007-2019.docx")</f>
        <v/>
      </c>
      <c r="Y24">
        <f>HYPERLINK("https://klasma.github.io/Logging_KATRINEHOLM/tillsynsmail/A 46007-2019.docx")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45182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  <c r="T25">
        <f>HYPERLINK("https://klasma.github.io/Logging_ESKILSTUNA/kartor/A 313-2020.png")</f>
        <v/>
      </c>
      <c r="V25">
        <f>HYPERLINK("https://klasma.github.io/Logging_ESKILSTUNA/klagomål/A 313-2020.docx")</f>
        <v/>
      </c>
      <c r="W25">
        <f>HYPERLINK("https://klasma.github.io/Logging_ESKILSTUNA/klagomålsmail/A 313-2020.docx")</f>
        <v/>
      </c>
      <c r="X25">
        <f>HYPERLINK("https://klasma.github.io/Logging_ESKILSTUNA/tillsyn/A 313-2020.docx")</f>
        <v/>
      </c>
      <c r="Y25">
        <f>HYPERLINK("https://klasma.github.io/Logging_ESKILSTUNA/tillsynsmail/A 313-2020.docx")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45182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  <c r="T26">
        <f>HYPERLINK("https://klasma.github.io/Logging_NYKOPING/kartor/A 30892-2020.png")</f>
        <v/>
      </c>
      <c r="V26">
        <f>HYPERLINK("https://klasma.github.io/Logging_NYKOPING/klagomål/A 30892-2020.docx")</f>
        <v/>
      </c>
      <c r="W26">
        <f>HYPERLINK("https://klasma.github.io/Logging_NYKOPING/klagomålsmail/A 30892-2020.docx")</f>
        <v/>
      </c>
      <c r="X26">
        <f>HYPERLINK("https://klasma.github.io/Logging_NYKOPING/tillsyn/A 30892-2020.docx")</f>
        <v/>
      </c>
      <c r="Y26">
        <f>HYPERLINK("https://klasma.github.io/Logging_NYKOPING/tillsynsmail/A 30892-2020.docx")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45182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  <c r="T27">
        <f>HYPERLINK("https://klasma.github.io/Logging_FLEN/kartor/A 50828-2020.png")</f>
        <v/>
      </c>
      <c r="V27">
        <f>HYPERLINK("https://klasma.github.io/Logging_FLEN/klagomål/A 50828-2020.docx")</f>
        <v/>
      </c>
      <c r="W27">
        <f>HYPERLINK("https://klasma.github.io/Logging_FLEN/klagomålsmail/A 50828-2020.docx")</f>
        <v/>
      </c>
      <c r="X27">
        <f>HYPERLINK("https://klasma.github.io/Logging_FLEN/tillsyn/A 50828-2020.docx")</f>
        <v/>
      </c>
      <c r="Y27">
        <f>HYPERLINK("https://klasma.github.io/Logging_FLEN/tillsynsmail/A 50828-2020.docx")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45182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  <c r="T28">
        <f>HYPERLINK("https://klasma.github.io/Logging_FLEN/kartor/A 33872-2021.png")</f>
        <v/>
      </c>
      <c r="U28">
        <f>HYPERLINK("https://klasma.github.io/Logging_FLEN/knärot/A 33872-2021.png")</f>
        <v/>
      </c>
      <c r="V28">
        <f>HYPERLINK("https://klasma.github.io/Logging_FLEN/klagomål/A 33872-2021.docx")</f>
        <v/>
      </c>
      <c r="W28">
        <f>HYPERLINK("https://klasma.github.io/Logging_FLEN/klagomålsmail/A 33872-2021.docx")</f>
        <v/>
      </c>
      <c r="X28">
        <f>HYPERLINK("https://klasma.github.io/Logging_FLEN/tillsyn/A 33872-2021.docx")</f>
        <v/>
      </c>
      <c r="Y28">
        <f>HYPERLINK("https://klasma.github.io/Logging_FLEN/tillsynsmail/A 33872-2021.docx")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45182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  <c r="T29">
        <f>HYPERLINK("https://klasma.github.io/Logging_NYKOPING/kartor/A 44162-2021.png")</f>
        <v/>
      </c>
      <c r="V29">
        <f>HYPERLINK("https://klasma.github.io/Logging_NYKOPING/klagomål/A 44162-2021.docx")</f>
        <v/>
      </c>
      <c r="W29">
        <f>HYPERLINK("https://klasma.github.io/Logging_NYKOPING/klagomålsmail/A 44162-2021.docx")</f>
        <v/>
      </c>
      <c r="X29">
        <f>HYPERLINK("https://klasma.github.io/Logging_NYKOPING/tillsyn/A 44162-2021.docx")</f>
        <v/>
      </c>
      <c r="Y29">
        <f>HYPERLINK("https://klasma.github.io/Logging_NYKOPING/tillsynsmail/A 44162-2021.docx")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45182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  <c r="T30">
        <f>HYPERLINK("https://klasma.github.io/Logging_ESKILSTUNA/kartor/A 29642-2022.png")</f>
        <v/>
      </c>
      <c r="V30">
        <f>HYPERLINK("https://klasma.github.io/Logging_ESKILSTUNA/klagomål/A 29642-2022.docx")</f>
        <v/>
      </c>
      <c r="W30">
        <f>HYPERLINK("https://klasma.github.io/Logging_ESKILSTUNA/klagomålsmail/A 29642-2022.docx")</f>
        <v/>
      </c>
      <c r="X30">
        <f>HYPERLINK("https://klasma.github.io/Logging_ESKILSTUNA/tillsyn/A 29642-2022.docx")</f>
        <v/>
      </c>
      <c r="Y30">
        <f>HYPERLINK("https://klasma.github.io/Logging_ESKILSTUNA/tillsynsmail/A 29642-2022.docx")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45182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  <c r="T31">
        <f>HYPERLINK("https://klasma.github.io/Logging_NYKOPING/kartor/A 12018-2023.png")</f>
        <v/>
      </c>
      <c r="V31">
        <f>HYPERLINK("https://klasma.github.io/Logging_NYKOPING/klagomål/A 12018-2023.docx")</f>
        <v/>
      </c>
      <c r="W31">
        <f>HYPERLINK("https://klasma.github.io/Logging_NYKOPING/klagomålsmail/A 12018-2023.docx")</f>
        <v/>
      </c>
      <c r="X31">
        <f>HYPERLINK("https://klasma.github.io/Logging_NYKOPING/tillsyn/A 12018-2023.docx")</f>
        <v/>
      </c>
      <c r="Y31">
        <f>HYPERLINK("https://klasma.github.io/Logging_NYKOPING/tillsynsmail/A 12018-2023.docx")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45182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  <c r="T32">
        <f>HYPERLINK("https://klasma.github.io/Logging_NYKOPING/kartor/A 16133-2023.png")</f>
        <v/>
      </c>
      <c r="V32">
        <f>HYPERLINK("https://klasma.github.io/Logging_NYKOPING/klagomål/A 16133-2023.docx")</f>
        <v/>
      </c>
      <c r="W32">
        <f>HYPERLINK("https://klasma.github.io/Logging_NYKOPING/klagomålsmail/A 16133-2023.docx")</f>
        <v/>
      </c>
      <c r="X32">
        <f>HYPERLINK("https://klasma.github.io/Logging_NYKOPING/tillsyn/A 16133-2023.docx")</f>
        <v/>
      </c>
      <c r="Y32">
        <f>HYPERLINK("https://klasma.github.io/Logging_NYKOPING/tillsynsmail/A 16133-2023.docx")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45182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  <c r="T33">
        <f>HYPERLINK("https://klasma.github.io/Logging_STRANGNAS/kartor/A 37759-2020.png")</f>
        <v/>
      </c>
      <c r="V33">
        <f>HYPERLINK("https://klasma.github.io/Logging_STRANGNAS/klagomål/A 37759-2020.docx")</f>
        <v/>
      </c>
      <c r="W33">
        <f>HYPERLINK("https://klasma.github.io/Logging_STRANGNAS/klagomålsmail/A 37759-2020.docx")</f>
        <v/>
      </c>
      <c r="X33">
        <f>HYPERLINK("https://klasma.github.io/Logging_STRANGNAS/tillsyn/A 37759-2020.docx")</f>
        <v/>
      </c>
      <c r="Y33">
        <f>HYPERLINK("https://klasma.github.io/Logging_STRANGNAS/tillsynsmail/A 37759-2020.docx")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45182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  <c r="T34">
        <f>HYPERLINK("https://klasma.github.io/Logging_GNESTA/kartor/A 52854-2021.png")</f>
        <v/>
      </c>
      <c r="V34">
        <f>HYPERLINK("https://klasma.github.io/Logging_GNESTA/klagomål/A 52854-2021.docx")</f>
        <v/>
      </c>
      <c r="W34">
        <f>HYPERLINK("https://klasma.github.io/Logging_GNESTA/klagomålsmail/A 52854-2021.docx")</f>
        <v/>
      </c>
      <c r="X34">
        <f>HYPERLINK("https://klasma.github.io/Logging_GNESTA/tillsyn/A 52854-2021.docx")</f>
        <v/>
      </c>
      <c r="Y34">
        <f>HYPERLINK("https://klasma.github.io/Logging_GNESTA/tillsynsmail/A 52854-2021.docx")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45182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  <c r="T35">
        <f>HYPERLINK("https://klasma.github.io/Logging_ESKILSTUNA/kartor/A 54208-2021.png")</f>
        <v/>
      </c>
      <c r="U35">
        <f>HYPERLINK("https://klasma.github.io/Logging_ESKILSTUNA/knärot/A 54208-2021.png")</f>
        <v/>
      </c>
      <c r="V35">
        <f>HYPERLINK("https://klasma.github.io/Logging_ESKILSTUNA/klagomål/A 54208-2021.docx")</f>
        <v/>
      </c>
      <c r="W35">
        <f>HYPERLINK("https://klasma.github.io/Logging_ESKILSTUNA/klagomålsmail/A 54208-2021.docx")</f>
        <v/>
      </c>
      <c r="X35">
        <f>HYPERLINK("https://klasma.github.io/Logging_ESKILSTUNA/tillsyn/A 54208-2021.docx")</f>
        <v/>
      </c>
      <c r="Y35">
        <f>HYPERLINK("https://klasma.github.io/Logging_ESKILSTUNA/tillsynsmail/A 54208-2021.docx")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45182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  <c r="T36">
        <f>HYPERLINK("https://klasma.github.io/Logging_GNESTA/kartor/A 68341-2021.png")</f>
        <v/>
      </c>
      <c r="V36">
        <f>HYPERLINK("https://klasma.github.io/Logging_GNESTA/klagomål/A 68341-2021.docx")</f>
        <v/>
      </c>
      <c r="W36">
        <f>HYPERLINK("https://klasma.github.io/Logging_GNESTA/klagomålsmail/A 68341-2021.docx")</f>
        <v/>
      </c>
      <c r="X36">
        <f>HYPERLINK("https://klasma.github.io/Logging_GNESTA/tillsyn/A 68341-2021.docx")</f>
        <v/>
      </c>
      <c r="Y36">
        <f>HYPERLINK("https://klasma.github.io/Logging_GNESTA/tillsynsmail/A 68341-2021.docx")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45182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  <c r="T37">
        <f>HYPERLINK("https://klasma.github.io/Logging_ESKILSTUNA/kartor/A 22264-2022.png")</f>
        <v/>
      </c>
      <c r="V37">
        <f>HYPERLINK("https://klasma.github.io/Logging_ESKILSTUNA/klagomål/A 22264-2022.docx")</f>
        <v/>
      </c>
      <c r="W37">
        <f>HYPERLINK("https://klasma.github.io/Logging_ESKILSTUNA/klagomålsmail/A 22264-2022.docx")</f>
        <v/>
      </c>
      <c r="X37">
        <f>HYPERLINK("https://klasma.github.io/Logging_ESKILSTUNA/tillsyn/A 22264-2022.docx")</f>
        <v/>
      </c>
      <c r="Y37">
        <f>HYPERLINK("https://klasma.github.io/Logging_ESKILSTUNA/tillsynsmail/A 22264-2022.docx")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45182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  <c r="T38">
        <f>HYPERLINK("https://klasma.github.io/Logging_NYKOPING/kartor/A 42096-2022.png")</f>
        <v/>
      </c>
      <c r="U38">
        <f>HYPERLINK("https://klasma.github.io/Logging_NYKOPING/knärot/A 42096-2022.png")</f>
        <v/>
      </c>
      <c r="V38">
        <f>HYPERLINK("https://klasma.github.io/Logging_NYKOPING/klagomål/A 42096-2022.docx")</f>
        <v/>
      </c>
      <c r="W38">
        <f>HYPERLINK("https://klasma.github.io/Logging_NYKOPING/klagomålsmail/A 42096-2022.docx")</f>
        <v/>
      </c>
      <c r="X38">
        <f>HYPERLINK("https://klasma.github.io/Logging_NYKOPING/tillsyn/A 42096-2022.docx")</f>
        <v/>
      </c>
      <c r="Y38">
        <f>HYPERLINK("https://klasma.github.io/Logging_NYKOPING/tillsynsmail/A 42096-2022.docx")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45182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  <c r="T39">
        <f>HYPERLINK("https://klasma.github.io/Logging_GNESTA/kartor/A 17148-2019.png")</f>
        <v/>
      </c>
      <c r="U39">
        <f>HYPERLINK("https://klasma.github.io/Logging_GNESTA/knärot/A 17148-2019.png")</f>
        <v/>
      </c>
      <c r="V39">
        <f>HYPERLINK("https://klasma.github.io/Logging_GNESTA/klagomål/A 17148-2019.docx")</f>
        <v/>
      </c>
      <c r="W39">
        <f>HYPERLINK("https://klasma.github.io/Logging_GNESTA/klagomålsmail/A 17148-2019.docx")</f>
        <v/>
      </c>
      <c r="X39">
        <f>HYPERLINK("https://klasma.github.io/Logging_GNESTA/tillsyn/A 17148-2019.docx")</f>
        <v/>
      </c>
      <c r="Y39">
        <f>HYPERLINK("https://klasma.github.io/Logging_GNESTA/tillsynsmail/A 17148-2019.docx")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45182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  <c r="T40">
        <f>HYPERLINK("https://klasma.github.io/Logging_ESKILSTUNA/kartor/A 51652-2019.png")</f>
        <v/>
      </c>
      <c r="V40">
        <f>HYPERLINK("https://klasma.github.io/Logging_ESKILSTUNA/klagomål/A 51652-2019.docx")</f>
        <v/>
      </c>
      <c r="W40">
        <f>HYPERLINK("https://klasma.github.io/Logging_ESKILSTUNA/klagomålsmail/A 51652-2019.docx")</f>
        <v/>
      </c>
      <c r="X40">
        <f>HYPERLINK("https://klasma.github.io/Logging_ESKILSTUNA/tillsyn/A 51652-2019.docx")</f>
        <v/>
      </c>
      <c r="Y40">
        <f>HYPERLINK("https://klasma.github.io/Logging_ESKILSTUNA/tillsynsmail/A 51652-2019.docx")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45182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  <c r="T41">
        <f>HYPERLINK("https://klasma.github.io/Logging_ESKILSTUNA/kartor/A 52556-2019.png")</f>
        <v/>
      </c>
      <c r="V41">
        <f>HYPERLINK("https://klasma.github.io/Logging_ESKILSTUNA/klagomål/A 52556-2019.docx")</f>
        <v/>
      </c>
      <c r="W41">
        <f>HYPERLINK("https://klasma.github.io/Logging_ESKILSTUNA/klagomålsmail/A 52556-2019.docx")</f>
        <v/>
      </c>
      <c r="X41">
        <f>HYPERLINK("https://klasma.github.io/Logging_ESKILSTUNA/tillsyn/A 52556-2019.docx")</f>
        <v/>
      </c>
      <c r="Y41">
        <f>HYPERLINK("https://klasma.github.io/Logging_ESKILSTUNA/tillsynsmail/A 52556-2019.docx")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45182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  <c r="T42">
        <f>HYPERLINK("https://klasma.github.io/Logging_FLEN/kartor/A 59510-2019.png")</f>
        <v/>
      </c>
      <c r="V42">
        <f>HYPERLINK("https://klasma.github.io/Logging_FLEN/klagomål/A 59510-2019.docx")</f>
        <v/>
      </c>
      <c r="W42">
        <f>HYPERLINK("https://klasma.github.io/Logging_FLEN/klagomålsmail/A 59510-2019.docx")</f>
        <v/>
      </c>
      <c r="X42">
        <f>HYPERLINK("https://klasma.github.io/Logging_FLEN/tillsyn/A 59510-2019.docx")</f>
        <v/>
      </c>
      <c r="Y42">
        <f>HYPERLINK("https://klasma.github.io/Logging_FLEN/tillsynsmail/A 59510-2019.docx")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45182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  <c r="T43">
        <f>HYPERLINK("https://klasma.github.io/Logging_GNESTA/kartor/A 13835-2020.png")</f>
        <v/>
      </c>
      <c r="V43">
        <f>HYPERLINK("https://klasma.github.io/Logging_GNESTA/klagomål/A 13835-2020.docx")</f>
        <v/>
      </c>
      <c r="W43">
        <f>HYPERLINK("https://klasma.github.io/Logging_GNESTA/klagomålsmail/A 13835-2020.docx")</f>
        <v/>
      </c>
      <c r="X43">
        <f>HYPERLINK("https://klasma.github.io/Logging_GNESTA/tillsyn/A 13835-2020.docx")</f>
        <v/>
      </c>
      <c r="Y43">
        <f>HYPERLINK("https://klasma.github.io/Logging_GNESTA/tillsynsmail/A 13835-2020.docx")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45182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  <c r="T44">
        <f>HYPERLINK("https://klasma.github.io/Logging_NYKOPING/kartor/A 19957-2020.png")</f>
        <v/>
      </c>
      <c r="V44">
        <f>HYPERLINK("https://klasma.github.io/Logging_NYKOPING/klagomål/A 19957-2020.docx")</f>
        <v/>
      </c>
      <c r="W44">
        <f>HYPERLINK("https://klasma.github.io/Logging_NYKOPING/klagomålsmail/A 19957-2020.docx")</f>
        <v/>
      </c>
      <c r="X44">
        <f>HYPERLINK("https://klasma.github.io/Logging_NYKOPING/tillsyn/A 19957-2020.docx")</f>
        <v/>
      </c>
      <c r="Y44">
        <f>HYPERLINK("https://klasma.github.io/Logging_NYKOPING/tillsynsmail/A 19957-2020.docx")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45182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  <c r="T45">
        <f>HYPERLINK("https://klasma.github.io/Logging_GNESTA/kartor/A 20728-2020.png")</f>
        <v/>
      </c>
      <c r="V45">
        <f>HYPERLINK("https://klasma.github.io/Logging_GNESTA/klagomål/A 20728-2020.docx")</f>
        <v/>
      </c>
      <c r="W45">
        <f>HYPERLINK("https://klasma.github.io/Logging_GNESTA/klagomålsmail/A 20728-2020.docx")</f>
        <v/>
      </c>
      <c r="X45">
        <f>HYPERLINK("https://klasma.github.io/Logging_GNESTA/tillsyn/A 20728-2020.docx")</f>
        <v/>
      </c>
      <c r="Y45">
        <f>HYPERLINK("https://klasma.github.io/Logging_GNESTA/tillsynsmail/A 20728-2020.docx")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45182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  <c r="T46">
        <f>HYPERLINK("https://klasma.github.io/Logging_NYKOPING/kartor/A 30895-2020.png")</f>
        <v/>
      </c>
      <c r="V46">
        <f>HYPERLINK("https://klasma.github.io/Logging_NYKOPING/klagomål/A 30895-2020.docx")</f>
        <v/>
      </c>
      <c r="W46">
        <f>HYPERLINK("https://klasma.github.io/Logging_NYKOPING/klagomålsmail/A 30895-2020.docx")</f>
        <v/>
      </c>
      <c r="X46">
        <f>HYPERLINK("https://klasma.github.io/Logging_NYKOPING/tillsyn/A 30895-2020.docx")</f>
        <v/>
      </c>
      <c r="Y46">
        <f>HYPERLINK("https://klasma.github.io/Logging_NYKOPING/tillsynsmail/A 30895-2020.docx")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45182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  <c r="T47">
        <f>HYPERLINK("https://klasma.github.io/Logging_STRANGNAS/kartor/A 34968-2020.png")</f>
        <v/>
      </c>
      <c r="V47">
        <f>HYPERLINK("https://klasma.github.io/Logging_STRANGNAS/klagomål/A 34968-2020.docx")</f>
        <v/>
      </c>
      <c r="W47">
        <f>HYPERLINK("https://klasma.github.io/Logging_STRANGNAS/klagomålsmail/A 34968-2020.docx")</f>
        <v/>
      </c>
      <c r="X47">
        <f>HYPERLINK("https://klasma.github.io/Logging_STRANGNAS/tillsyn/A 34968-2020.docx")</f>
        <v/>
      </c>
      <c r="Y47">
        <f>HYPERLINK("https://klasma.github.io/Logging_STRANGNAS/tillsynsmail/A 34968-2020.docx")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45182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  <c r="T48">
        <f>HYPERLINK("https://klasma.github.io/Logging_KATRINEHOLM/kartor/A 4292-2021.png")</f>
        <v/>
      </c>
      <c r="V48">
        <f>HYPERLINK("https://klasma.github.io/Logging_KATRINEHOLM/klagomål/A 4292-2021.docx")</f>
        <v/>
      </c>
      <c r="W48">
        <f>HYPERLINK("https://klasma.github.io/Logging_KATRINEHOLM/klagomålsmail/A 4292-2021.docx")</f>
        <v/>
      </c>
      <c r="X48">
        <f>HYPERLINK("https://klasma.github.io/Logging_KATRINEHOLM/tillsyn/A 4292-2021.docx")</f>
        <v/>
      </c>
      <c r="Y48">
        <f>HYPERLINK("https://klasma.github.io/Logging_KATRINEHOLM/tillsynsmail/A 4292-2021.docx")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45182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  <c r="T49">
        <f>HYPERLINK("https://klasma.github.io/Logging_KATRINEHOLM/kartor/A 7247-2021.png")</f>
        <v/>
      </c>
      <c r="V49">
        <f>HYPERLINK("https://klasma.github.io/Logging_KATRINEHOLM/klagomål/A 7247-2021.docx")</f>
        <v/>
      </c>
      <c r="W49">
        <f>HYPERLINK("https://klasma.github.io/Logging_KATRINEHOLM/klagomålsmail/A 7247-2021.docx")</f>
        <v/>
      </c>
      <c r="X49">
        <f>HYPERLINK("https://klasma.github.io/Logging_KATRINEHOLM/tillsyn/A 7247-2021.docx")</f>
        <v/>
      </c>
      <c r="Y49">
        <f>HYPERLINK("https://klasma.github.io/Logging_KATRINEHOLM/tillsynsmail/A 7247-2021.docx")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45182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  <c r="T50">
        <f>HYPERLINK("https://klasma.github.io/Logging_KATRINEHOLM/kartor/A 54614-2021.png")</f>
        <v/>
      </c>
      <c r="V50">
        <f>HYPERLINK("https://klasma.github.io/Logging_KATRINEHOLM/klagomål/A 54614-2021.docx")</f>
        <v/>
      </c>
      <c r="W50">
        <f>HYPERLINK("https://klasma.github.io/Logging_KATRINEHOLM/klagomålsmail/A 54614-2021.docx")</f>
        <v/>
      </c>
      <c r="X50">
        <f>HYPERLINK("https://klasma.github.io/Logging_KATRINEHOLM/tillsyn/A 54614-2021.docx")</f>
        <v/>
      </c>
      <c r="Y50">
        <f>HYPERLINK("https://klasma.github.io/Logging_KATRINEHOLM/tillsynsmail/A 54614-2021.docx")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45182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  <c r="T51">
        <f>HYPERLINK("https://klasma.github.io/Logging_ESKILSTUNA/kartor/A 71970-2021.png")</f>
        <v/>
      </c>
      <c r="U51">
        <f>HYPERLINK("https://klasma.github.io/Logging_ESKILSTUNA/knärot/A 71970-2021.png")</f>
        <v/>
      </c>
      <c r="V51">
        <f>HYPERLINK("https://klasma.github.io/Logging_ESKILSTUNA/klagomål/A 71970-2021.docx")</f>
        <v/>
      </c>
      <c r="W51">
        <f>HYPERLINK("https://klasma.github.io/Logging_ESKILSTUNA/klagomålsmail/A 71970-2021.docx")</f>
        <v/>
      </c>
      <c r="X51">
        <f>HYPERLINK("https://klasma.github.io/Logging_ESKILSTUNA/tillsyn/A 71970-2021.docx")</f>
        <v/>
      </c>
      <c r="Y51">
        <f>HYPERLINK("https://klasma.github.io/Logging_ESKILSTUNA/tillsynsmail/A 71970-2021.docx")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45182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  <c r="T52">
        <f>HYPERLINK("https://klasma.github.io/Logging_KATRINEHOLM/kartor/A 54002-2022.png")</f>
        <v/>
      </c>
      <c r="V52">
        <f>HYPERLINK("https://klasma.github.io/Logging_KATRINEHOLM/klagomål/A 54002-2022.docx")</f>
        <v/>
      </c>
      <c r="W52">
        <f>HYPERLINK("https://klasma.github.io/Logging_KATRINEHOLM/klagomålsmail/A 54002-2022.docx")</f>
        <v/>
      </c>
      <c r="X52">
        <f>HYPERLINK("https://klasma.github.io/Logging_KATRINEHOLM/tillsyn/A 54002-2022.docx")</f>
        <v/>
      </c>
      <c r="Y52">
        <f>HYPERLINK("https://klasma.github.io/Logging_KATRINEHOLM/tillsynsmail/A 54002-2022.docx")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45182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  <c r="T53">
        <f>HYPERLINK("https://klasma.github.io/Logging_KATRINEHOLM/kartor/A 21221-2023.png")</f>
        <v/>
      </c>
      <c r="V53">
        <f>HYPERLINK("https://klasma.github.io/Logging_KATRINEHOLM/klagomål/A 21221-2023.docx")</f>
        <v/>
      </c>
      <c r="W53">
        <f>HYPERLINK("https://klasma.github.io/Logging_KATRINEHOLM/klagomålsmail/A 21221-2023.docx")</f>
        <v/>
      </c>
      <c r="X53">
        <f>HYPERLINK("https://klasma.github.io/Logging_KATRINEHOLM/tillsyn/A 21221-2023.docx")</f>
        <v/>
      </c>
      <c r="Y53">
        <f>HYPERLINK("https://klasma.github.io/Logging_KATRINEHOLM/tillsynsmail/A 21221-2023.docx")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45182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  <c r="T54">
        <f>HYPERLINK("https://klasma.github.io/Logging_ESKILSTUNA/kartor/A 66282-2018.png")</f>
        <v/>
      </c>
      <c r="U54">
        <f>HYPERLINK("https://klasma.github.io/Logging_ESKILSTUNA/knärot/A 66282-2018.png")</f>
        <v/>
      </c>
      <c r="V54">
        <f>HYPERLINK("https://klasma.github.io/Logging_ESKILSTUNA/klagomål/A 66282-2018.docx")</f>
        <v/>
      </c>
      <c r="W54">
        <f>HYPERLINK("https://klasma.github.io/Logging_ESKILSTUNA/klagomålsmail/A 66282-2018.docx")</f>
        <v/>
      </c>
      <c r="X54">
        <f>HYPERLINK("https://klasma.github.io/Logging_ESKILSTUNA/tillsyn/A 66282-2018.docx")</f>
        <v/>
      </c>
      <c r="Y54">
        <f>HYPERLINK("https://klasma.github.io/Logging_ESKILSTUNA/tillsynsmail/A 66282-2018.docx")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45182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  <c r="T55">
        <f>HYPERLINK("https://klasma.github.io/Logging_STRANGNAS/kartor/A 11177-2020.png")</f>
        <v/>
      </c>
      <c r="U55">
        <f>HYPERLINK("https://klasma.github.io/Logging_STRANGNAS/knärot/A 11177-2020.png")</f>
        <v/>
      </c>
      <c r="V55">
        <f>HYPERLINK("https://klasma.github.io/Logging_STRANGNAS/klagomål/A 11177-2020.docx")</f>
        <v/>
      </c>
      <c r="W55">
        <f>HYPERLINK("https://klasma.github.io/Logging_STRANGNAS/klagomålsmail/A 11177-2020.docx")</f>
        <v/>
      </c>
      <c r="X55">
        <f>HYPERLINK("https://klasma.github.io/Logging_STRANGNAS/tillsyn/A 11177-2020.docx")</f>
        <v/>
      </c>
      <c r="Y55">
        <f>HYPERLINK("https://klasma.github.io/Logging_STRANGNAS/tillsynsmail/A 11177-2020.docx")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45182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  <c r="T56">
        <f>HYPERLINK("https://klasma.github.io/Logging_NYKOPING/kartor/A 29255-2020.png")</f>
        <v/>
      </c>
      <c r="V56">
        <f>HYPERLINK("https://klasma.github.io/Logging_NYKOPING/klagomål/A 29255-2020.docx")</f>
        <v/>
      </c>
      <c r="W56">
        <f>HYPERLINK("https://klasma.github.io/Logging_NYKOPING/klagomålsmail/A 29255-2020.docx")</f>
        <v/>
      </c>
      <c r="X56">
        <f>HYPERLINK("https://klasma.github.io/Logging_NYKOPING/tillsyn/A 29255-2020.docx")</f>
        <v/>
      </c>
      <c r="Y56">
        <f>HYPERLINK("https://klasma.github.io/Logging_NYKOPING/tillsynsmail/A 29255-2020.docx")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45182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  <c r="T57">
        <f>HYPERLINK("https://klasma.github.io/Logging_ESKILSTUNA/kartor/A 49457-2020.png")</f>
        <v/>
      </c>
      <c r="V57">
        <f>HYPERLINK("https://klasma.github.io/Logging_ESKILSTUNA/klagomål/A 49457-2020.docx")</f>
        <v/>
      </c>
      <c r="W57">
        <f>HYPERLINK("https://klasma.github.io/Logging_ESKILSTUNA/klagomålsmail/A 49457-2020.docx")</f>
        <v/>
      </c>
      <c r="X57">
        <f>HYPERLINK("https://klasma.github.io/Logging_ESKILSTUNA/tillsyn/A 49457-2020.docx")</f>
        <v/>
      </c>
      <c r="Y57">
        <f>HYPERLINK("https://klasma.github.io/Logging_ESKILSTUNA/tillsynsmail/A 49457-2020.docx")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45182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  <c r="T58">
        <f>HYPERLINK("https://klasma.github.io/Logging_NYKOPING/kartor/A 30353-2021.png")</f>
        <v/>
      </c>
      <c r="V58">
        <f>HYPERLINK("https://klasma.github.io/Logging_NYKOPING/klagomål/A 30353-2021.docx")</f>
        <v/>
      </c>
      <c r="W58">
        <f>HYPERLINK("https://klasma.github.io/Logging_NYKOPING/klagomålsmail/A 30353-2021.docx")</f>
        <v/>
      </c>
      <c r="X58">
        <f>HYPERLINK("https://klasma.github.io/Logging_NYKOPING/tillsyn/A 30353-2021.docx")</f>
        <v/>
      </c>
      <c r="Y58">
        <f>HYPERLINK("https://klasma.github.io/Logging_NYKOPING/tillsynsmail/A 30353-2021.docx")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45182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  <c r="T59">
        <f>HYPERLINK("https://klasma.github.io/Logging_NYKOPING/kartor/A 35274-2021.png")</f>
        <v/>
      </c>
      <c r="V59">
        <f>HYPERLINK("https://klasma.github.io/Logging_NYKOPING/klagomål/A 35274-2021.docx")</f>
        <v/>
      </c>
      <c r="W59">
        <f>HYPERLINK("https://klasma.github.io/Logging_NYKOPING/klagomålsmail/A 35274-2021.docx")</f>
        <v/>
      </c>
      <c r="X59">
        <f>HYPERLINK("https://klasma.github.io/Logging_NYKOPING/tillsyn/A 35274-2021.docx")</f>
        <v/>
      </c>
      <c r="Y59">
        <f>HYPERLINK("https://klasma.github.io/Logging_NYKOPING/tillsynsmail/A 35274-2021.docx")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45182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  <c r="T60">
        <f>HYPERLINK("https://klasma.github.io/Logging_STRANGNAS/kartor/A 13012-2022.png")</f>
        <v/>
      </c>
      <c r="V60">
        <f>HYPERLINK("https://klasma.github.io/Logging_STRANGNAS/klagomål/A 13012-2022.docx")</f>
        <v/>
      </c>
      <c r="W60">
        <f>HYPERLINK("https://klasma.github.io/Logging_STRANGNAS/klagomålsmail/A 13012-2022.docx")</f>
        <v/>
      </c>
      <c r="X60">
        <f>HYPERLINK("https://klasma.github.io/Logging_STRANGNAS/tillsyn/A 13012-2022.docx")</f>
        <v/>
      </c>
      <c r="Y60">
        <f>HYPERLINK("https://klasma.github.io/Logging_STRANGNAS/tillsynsmail/A 13012-2022.docx")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45182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  <c r="T61">
        <f>HYPERLINK("https://klasma.github.io/Logging_ESKILSTUNA/kartor/A 37981-2022.png")</f>
        <v/>
      </c>
      <c r="V61">
        <f>HYPERLINK("https://klasma.github.io/Logging_ESKILSTUNA/klagomål/A 37981-2022.docx")</f>
        <v/>
      </c>
      <c r="W61">
        <f>HYPERLINK("https://klasma.github.io/Logging_ESKILSTUNA/klagomålsmail/A 37981-2022.docx")</f>
        <v/>
      </c>
      <c r="X61">
        <f>HYPERLINK("https://klasma.github.io/Logging_ESKILSTUNA/tillsyn/A 37981-2022.docx")</f>
        <v/>
      </c>
      <c r="Y61">
        <f>HYPERLINK("https://klasma.github.io/Logging_ESKILSTUNA/tillsynsmail/A 37981-2022.docx")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45182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  <c r="T62">
        <f>HYPERLINK("https://klasma.github.io/Logging_ESKILSTUNA/kartor/A 40382-2022.png")</f>
        <v/>
      </c>
      <c r="V62">
        <f>HYPERLINK("https://klasma.github.io/Logging_ESKILSTUNA/klagomål/A 40382-2022.docx")</f>
        <v/>
      </c>
      <c r="W62">
        <f>HYPERLINK("https://klasma.github.io/Logging_ESKILSTUNA/klagomålsmail/A 40382-2022.docx")</f>
        <v/>
      </c>
      <c r="X62">
        <f>HYPERLINK("https://klasma.github.io/Logging_ESKILSTUNA/tillsyn/A 40382-2022.docx")</f>
        <v/>
      </c>
      <c r="Y62">
        <f>HYPERLINK("https://klasma.github.io/Logging_ESKILSTUNA/tillsynsmail/A 40382-2022.docx")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45182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  <c r="T63">
        <f>HYPERLINK("https://klasma.github.io/Logging_FLEN/kartor/A 42675-2022.png")</f>
        <v/>
      </c>
      <c r="V63">
        <f>HYPERLINK("https://klasma.github.io/Logging_FLEN/klagomål/A 42675-2022.docx")</f>
        <v/>
      </c>
      <c r="W63">
        <f>HYPERLINK("https://klasma.github.io/Logging_FLEN/klagomålsmail/A 42675-2022.docx")</f>
        <v/>
      </c>
      <c r="X63">
        <f>HYPERLINK("https://klasma.github.io/Logging_FLEN/tillsyn/A 42675-2022.docx")</f>
        <v/>
      </c>
      <c r="Y63">
        <f>HYPERLINK("https://klasma.github.io/Logging_FLEN/tillsynsmail/A 42675-2022.docx")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45182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  <c r="T64">
        <f>HYPERLINK("https://klasma.github.io/Logging_GNESTA/kartor/A 56342-2018.png")</f>
        <v/>
      </c>
      <c r="V64">
        <f>HYPERLINK("https://klasma.github.io/Logging_GNESTA/klagomål/A 56342-2018.docx")</f>
        <v/>
      </c>
      <c r="W64">
        <f>HYPERLINK("https://klasma.github.io/Logging_GNESTA/klagomålsmail/A 56342-2018.docx")</f>
        <v/>
      </c>
      <c r="X64">
        <f>HYPERLINK("https://klasma.github.io/Logging_GNESTA/tillsyn/A 56342-2018.docx")</f>
        <v/>
      </c>
      <c r="Y64">
        <f>HYPERLINK("https://klasma.github.io/Logging_GNESTA/tillsynsmail/A 56342-2018.docx")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45182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  <c r="T65">
        <f>HYPERLINK("https://klasma.github.io/Logging_NYKOPING/kartor/A 6167-2019.png")</f>
        <v/>
      </c>
      <c r="V65">
        <f>HYPERLINK("https://klasma.github.io/Logging_NYKOPING/klagomål/A 6167-2019.docx")</f>
        <v/>
      </c>
      <c r="W65">
        <f>HYPERLINK("https://klasma.github.io/Logging_NYKOPING/klagomålsmail/A 6167-2019.docx")</f>
        <v/>
      </c>
      <c r="X65">
        <f>HYPERLINK("https://klasma.github.io/Logging_NYKOPING/tillsyn/A 6167-2019.docx")</f>
        <v/>
      </c>
      <c r="Y65">
        <f>HYPERLINK("https://klasma.github.io/Logging_NYKOPING/tillsynsmail/A 6167-2019.docx")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45182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  <c r="T66">
        <f>HYPERLINK("https://klasma.github.io/Logging_FLEN/kartor/A 6402-2019.png")</f>
        <v/>
      </c>
      <c r="V66">
        <f>HYPERLINK("https://klasma.github.io/Logging_FLEN/klagomål/A 6402-2019.docx")</f>
        <v/>
      </c>
      <c r="W66">
        <f>HYPERLINK("https://klasma.github.io/Logging_FLEN/klagomålsmail/A 6402-2019.docx")</f>
        <v/>
      </c>
      <c r="X66">
        <f>HYPERLINK("https://klasma.github.io/Logging_FLEN/tillsyn/A 6402-2019.docx")</f>
        <v/>
      </c>
      <c r="Y66">
        <f>HYPERLINK("https://klasma.github.io/Logging_FLEN/tillsynsmail/A 6402-2019.docx")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45182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  <c r="T67">
        <f>HYPERLINK("https://klasma.github.io/Logging_TROSA/kartor/A 7732-2019.png")</f>
        <v/>
      </c>
      <c r="V67">
        <f>HYPERLINK("https://klasma.github.io/Logging_TROSA/klagomål/A 7732-2019.docx")</f>
        <v/>
      </c>
      <c r="W67">
        <f>HYPERLINK("https://klasma.github.io/Logging_TROSA/klagomålsmail/A 7732-2019.docx")</f>
        <v/>
      </c>
      <c r="X67">
        <f>HYPERLINK("https://klasma.github.io/Logging_TROSA/tillsyn/A 7732-2019.docx")</f>
        <v/>
      </c>
      <c r="Y67">
        <f>HYPERLINK("https://klasma.github.io/Logging_TROSA/tillsynsmail/A 7732-2019.docx")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45182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  <c r="T68">
        <f>HYPERLINK("https://klasma.github.io/Logging_FLEN/kartor/A 25367-2019.png")</f>
        <v/>
      </c>
      <c r="V68">
        <f>HYPERLINK("https://klasma.github.io/Logging_FLEN/klagomål/A 25367-2019.docx")</f>
        <v/>
      </c>
      <c r="W68">
        <f>HYPERLINK("https://klasma.github.io/Logging_FLEN/klagomålsmail/A 25367-2019.docx")</f>
        <v/>
      </c>
      <c r="X68">
        <f>HYPERLINK("https://klasma.github.io/Logging_FLEN/tillsyn/A 25367-2019.docx")</f>
        <v/>
      </c>
      <c r="Y68">
        <f>HYPERLINK("https://klasma.github.io/Logging_FLEN/tillsynsmail/A 25367-2019.docx")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45182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  <c r="T69">
        <f>HYPERLINK("https://klasma.github.io/Logging_ESKILSTUNA/kartor/A 44820-2019.png")</f>
        <v/>
      </c>
      <c r="V69">
        <f>HYPERLINK("https://klasma.github.io/Logging_ESKILSTUNA/klagomål/A 44820-2019.docx")</f>
        <v/>
      </c>
      <c r="W69">
        <f>HYPERLINK("https://klasma.github.io/Logging_ESKILSTUNA/klagomålsmail/A 44820-2019.docx")</f>
        <v/>
      </c>
      <c r="X69">
        <f>HYPERLINK("https://klasma.github.io/Logging_ESKILSTUNA/tillsyn/A 44820-2019.docx")</f>
        <v/>
      </c>
      <c r="Y69">
        <f>HYPERLINK("https://klasma.github.io/Logging_ESKILSTUNA/tillsynsmail/A 44820-2019.docx")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45182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  <c r="T70">
        <f>HYPERLINK("https://klasma.github.io/Logging_FLEN/kartor/A 55124-2019.png")</f>
        <v/>
      </c>
      <c r="V70">
        <f>HYPERLINK("https://klasma.github.io/Logging_FLEN/klagomål/A 55124-2019.docx")</f>
        <v/>
      </c>
      <c r="W70">
        <f>HYPERLINK("https://klasma.github.io/Logging_FLEN/klagomålsmail/A 55124-2019.docx")</f>
        <v/>
      </c>
      <c r="X70">
        <f>HYPERLINK("https://klasma.github.io/Logging_FLEN/tillsyn/A 55124-2019.docx")</f>
        <v/>
      </c>
      <c r="Y70">
        <f>HYPERLINK("https://klasma.github.io/Logging_FLEN/tillsynsmail/A 55124-2019.docx")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45182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  <c r="T71">
        <f>HYPERLINK("https://klasma.github.io/Logging_FLEN/kartor/A 676-2020.png")</f>
        <v/>
      </c>
      <c r="V71">
        <f>HYPERLINK("https://klasma.github.io/Logging_FLEN/klagomål/A 676-2020.docx")</f>
        <v/>
      </c>
      <c r="W71">
        <f>HYPERLINK("https://klasma.github.io/Logging_FLEN/klagomålsmail/A 676-2020.docx")</f>
        <v/>
      </c>
      <c r="X71">
        <f>HYPERLINK("https://klasma.github.io/Logging_FLEN/tillsyn/A 676-2020.docx")</f>
        <v/>
      </c>
      <c r="Y71">
        <f>HYPERLINK("https://klasma.github.io/Logging_FLEN/tillsynsmail/A 676-2020.docx")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45182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  <c r="T72">
        <f>HYPERLINK("https://klasma.github.io/Logging_NYKOPING/kartor/A 6487-2020.png")</f>
        <v/>
      </c>
      <c r="V72">
        <f>HYPERLINK("https://klasma.github.io/Logging_NYKOPING/klagomål/A 6487-2020.docx")</f>
        <v/>
      </c>
      <c r="W72">
        <f>HYPERLINK("https://klasma.github.io/Logging_NYKOPING/klagomålsmail/A 6487-2020.docx")</f>
        <v/>
      </c>
      <c r="X72">
        <f>HYPERLINK("https://klasma.github.io/Logging_NYKOPING/tillsyn/A 6487-2020.docx")</f>
        <v/>
      </c>
      <c r="Y72">
        <f>HYPERLINK("https://klasma.github.io/Logging_NYKOPING/tillsynsmail/A 6487-2020.docx")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45182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  <c r="T73">
        <f>HYPERLINK("https://klasma.github.io/Logging_KATRINEHOLM/kartor/A 12561-2020.png")</f>
        <v/>
      </c>
      <c r="V73">
        <f>HYPERLINK("https://klasma.github.io/Logging_KATRINEHOLM/klagomål/A 12561-2020.docx")</f>
        <v/>
      </c>
      <c r="W73">
        <f>HYPERLINK("https://klasma.github.io/Logging_KATRINEHOLM/klagomålsmail/A 12561-2020.docx")</f>
        <v/>
      </c>
      <c r="X73">
        <f>HYPERLINK("https://klasma.github.io/Logging_KATRINEHOLM/tillsyn/A 12561-2020.docx")</f>
        <v/>
      </c>
      <c r="Y73">
        <f>HYPERLINK("https://klasma.github.io/Logging_KATRINEHOLM/tillsynsmail/A 12561-2020.docx")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45182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  <c r="T74">
        <f>HYPERLINK("https://klasma.github.io/Logging_NYKOPING/kartor/A 14041-2020.png")</f>
        <v/>
      </c>
      <c r="U74">
        <f>HYPERLINK("https://klasma.github.io/Logging_NYKOPING/knärot/A 14041-2020.png")</f>
        <v/>
      </c>
      <c r="V74">
        <f>HYPERLINK("https://klasma.github.io/Logging_NYKOPING/klagomål/A 14041-2020.docx")</f>
        <v/>
      </c>
      <c r="W74">
        <f>HYPERLINK("https://klasma.github.io/Logging_NYKOPING/klagomålsmail/A 14041-2020.docx")</f>
        <v/>
      </c>
      <c r="X74">
        <f>HYPERLINK("https://klasma.github.io/Logging_NYKOPING/tillsyn/A 14041-2020.docx")</f>
        <v/>
      </c>
      <c r="Y74">
        <f>HYPERLINK("https://klasma.github.io/Logging_NYKOPING/tillsynsmail/A 14041-2020.docx")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45182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  <c r="T75">
        <f>HYPERLINK("https://klasma.github.io/Logging_NYKOPING/kartor/A 25823-2020.png")</f>
        <v/>
      </c>
      <c r="V75">
        <f>HYPERLINK("https://klasma.github.io/Logging_NYKOPING/klagomål/A 25823-2020.docx")</f>
        <v/>
      </c>
      <c r="W75">
        <f>HYPERLINK("https://klasma.github.io/Logging_NYKOPING/klagomålsmail/A 25823-2020.docx")</f>
        <v/>
      </c>
      <c r="X75">
        <f>HYPERLINK("https://klasma.github.io/Logging_NYKOPING/tillsyn/A 25823-2020.docx")</f>
        <v/>
      </c>
      <c r="Y75">
        <f>HYPERLINK("https://klasma.github.io/Logging_NYKOPING/tillsynsmail/A 25823-2020.docx")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45182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  <c r="T76">
        <f>HYPERLINK("https://klasma.github.io/Logging_NYKOPING/kartor/A 25818-2020.png")</f>
        <v/>
      </c>
      <c r="V76">
        <f>HYPERLINK("https://klasma.github.io/Logging_NYKOPING/klagomål/A 25818-2020.docx")</f>
        <v/>
      </c>
      <c r="W76">
        <f>HYPERLINK("https://klasma.github.io/Logging_NYKOPING/klagomålsmail/A 25818-2020.docx")</f>
        <v/>
      </c>
      <c r="X76">
        <f>HYPERLINK("https://klasma.github.io/Logging_NYKOPING/tillsyn/A 25818-2020.docx")</f>
        <v/>
      </c>
      <c r="Y76">
        <f>HYPERLINK("https://klasma.github.io/Logging_NYKOPING/tillsynsmail/A 25818-2020.docx")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45182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  <c r="T77">
        <f>HYPERLINK("https://klasma.github.io/Logging_KATRINEHOLM/kartor/A 66889-2020.png")</f>
        <v/>
      </c>
      <c r="V77">
        <f>HYPERLINK("https://klasma.github.io/Logging_KATRINEHOLM/klagomål/A 66889-2020.docx")</f>
        <v/>
      </c>
      <c r="W77">
        <f>HYPERLINK("https://klasma.github.io/Logging_KATRINEHOLM/klagomålsmail/A 66889-2020.docx")</f>
        <v/>
      </c>
      <c r="X77">
        <f>HYPERLINK("https://klasma.github.io/Logging_KATRINEHOLM/tillsyn/A 66889-2020.docx")</f>
        <v/>
      </c>
      <c r="Y77">
        <f>HYPERLINK("https://klasma.github.io/Logging_KATRINEHOLM/tillsynsmail/A 66889-2020.docx")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45182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  <c r="T78">
        <f>HYPERLINK("https://klasma.github.io/Logging_GNESTA/kartor/A 69355-2020.png")</f>
        <v/>
      </c>
      <c r="V78">
        <f>HYPERLINK("https://klasma.github.io/Logging_GNESTA/klagomål/A 69355-2020.docx")</f>
        <v/>
      </c>
      <c r="W78">
        <f>HYPERLINK("https://klasma.github.io/Logging_GNESTA/klagomålsmail/A 69355-2020.docx")</f>
        <v/>
      </c>
      <c r="X78">
        <f>HYPERLINK("https://klasma.github.io/Logging_GNESTA/tillsyn/A 69355-2020.docx")</f>
        <v/>
      </c>
      <c r="Y78">
        <f>HYPERLINK("https://klasma.github.io/Logging_GNESTA/tillsynsmail/A 69355-2020.docx")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45182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  <c r="T79">
        <f>HYPERLINK("https://klasma.github.io/Logging_KATRINEHOLM/kartor/A 4884-2021.png")</f>
        <v/>
      </c>
      <c r="V79">
        <f>HYPERLINK("https://klasma.github.io/Logging_KATRINEHOLM/klagomål/A 4884-2021.docx")</f>
        <v/>
      </c>
      <c r="W79">
        <f>HYPERLINK("https://klasma.github.io/Logging_KATRINEHOLM/klagomålsmail/A 4884-2021.docx")</f>
        <v/>
      </c>
      <c r="X79">
        <f>HYPERLINK("https://klasma.github.io/Logging_KATRINEHOLM/tillsyn/A 4884-2021.docx")</f>
        <v/>
      </c>
      <c r="Y79">
        <f>HYPERLINK("https://klasma.github.io/Logging_KATRINEHOLM/tillsynsmail/A 4884-2021.docx")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45182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  <c r="T80">
        <f>HYPERLINK("https://klasma.github.io/Logging_ESKILSTUNA/kartor/A 6861-2021.png")</f>
        <v/>
      </c>
      <c r="U80">
        <f>HYPERLINK("https://klasma.github.io/Logging_ESKILSTUNA/knärot/A 6861-2021.png")</f>
        <v/>
      </c>
      <c r="V80">
        <f>HYPERLINK("https://klasma.github.io/Logging_ESKILSTUNA/klagomål/A 6861-2021.docx")</f>
        <v/>
      </c>
      <c r="W80">
        <f>HYPERLINK("https://klasma.github.io/Logging_ESKILSTUNA/klagomålsmail/A 6861-2021.docx")</f>
        <v/>
      </c>
      <c r="X80">
        <f>HYPERLINK("https://klasma.github.io/Logging_ESKILSTUNA/tillsyn/A 6861-2021.docx")</f>
        <v/>
      </c>
      <c r="Y80">
        <f>HYPERLINK("https://klasma.github.io/Logging_ESKILSTUNA/tillsynsmail/A 6861-2021.docx")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45182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  <c r="T81">
        <f>HYPERLINK("https://klasma.github.io/Logging_ESKILSTUNA/kartor/A 24111-2021.png")</f>
        <v/>
      </c>
      <c r="V81">
        <f>HYPERLINK("https://klasma.github.io/Logging_ESKILSTUNA/klagomål/A 24111-2021.docx")</f>
        <v/>
      </c>
      <c r="W81">
        <f>HYPERLINK("https://klasma.github.io/Logging_ESKILSTUNA/klagomålsmail/A 24111-2021.docx")</f>
        <v/>
      </c>
      <c r="X81">
        <f>HYPERLINK("https://klasma.github.io/Logging_ESKILSTUNA/tillsyn/A 24111-2021.docx")</f>
        <v/>
      </c>
      <c r="Y81">
        <f>HYPERLINK("https://klasma.github.io/Logging_ESKILSTUNA/tillsynsmail/A 24111-2021.docx")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45182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  <c r="T82">
        <f>HYPERLINK("https://klasma.github.io/Logging_NYKOPING/kartor/A 38419-2021.png")</f>
        <v/>
      </c>
      <c r="V82">
        <f>HYPERLINK("https://klasma.github.io/Logging_NYKOPING/klagomål/A 38419-2021.docx")</f>
        <v/>
      </c>
      <c r="W82">
        <f>HYPERLINK("https://klasma.github.io/Logging_NYKOPING/klagomålsmail/A 38419-2021.docx")</f>
        <v/>
      </c>
      <c r="X82">
        <f>HYPERLINK("https://klasma.github.io/Logging_NYKOPING/tillsyn/A 38419-2021.docx")</f>
        <v/>
      </c>
      <c r="Y82">
        <f>HYPERLINK("https://klasma.github.io/Logging_NYKOPING/tillsynsmail/A 38419-2021.docx")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45182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  <c r="T83">
        <f>HYPERLINK("https://klasma.github.io/Logging_NYKOPING/kartor/A 47102-2021.png")</f>
        <v/>
      </c>
      <c r="V83">
        <f>HYPERLINK("https://klasma.github.io/Logging_NYKOPING/klagomål/A 47102-2021.docx")</f>
        <v/>
      </c>
      <c r="W83">
        <f>HYPERLINK("https://klasma.github.io/Logging_NYKOPING/klagomålsmail/A 47102-2021.docx")</f>
        <v/>
      </c>
      <c r="X83">
        <f>HYPERLINK("https://klasma.github.io/Logging_NYKOPING/tillsyn/A 47102-2021.docx")</f>
        <v/>
      </c>
      <c r="Y83">
        <f>HYPERLINK("https://klasma.github.io/Logging_NYKOPING/tillsynsmail/A 47102-2021.docx")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45182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  <c r="T84">
        <f>HYPERLINK("https://klasma.github.io/Logging_FLEN/kartor/A 48790-2021.png")</f>
        <v/>
      </c>
      <c r="V84">
        <f>HYPERLINK("https://klasma.github.io/Logging_FLEN/klagomål/A 48790-2021.docx")</f>
        <v/>
      </c>
      <c r="W84">
        <f>HYPERLINK("https://klasma.github.io/Logging_FLEN/klagomålsmail/A 48790-2021.docx")</f>
        <v/>
      </c>
      <c r="X84">
        <f>HYPERLINK("https://klasma.github.io/Logging_FLEN/tillsyn/A 48790-2021.docx")</f>
        <v/>
      </c>
      <c r="Y84">
        <f>HYPERLINK("https://klasma.github.io/Logging_FLEN/tillsynsmail/A 48790-2021.docx")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45182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  <c r="T85">
        <f>HYPERLINK("https://klasma.github.io/Logging_ESKILSTUNA/kartor/A 2968-2022.png")</f>
        <v/>
      </c>
      <c r="V85">
        <f>HYPERLINK("https://klasma.github.io/Logging_ESKILSTUNA/klagomål/A 2968-2022.docx")</f>
        <v/>
      </c>
      <c r="W85">
        <f>HYPERLINK("https://klasma.github.io/Logging_ESKILSTUNA/klagomålsmail/A 2968-2022.docx")</f>
        <v/>
      </c>
      <c r="X85">
        <f>HYPERLINK("https://klasma.github.io/Logging_ESKILSTUNA/tillsyn/A 2968-2022.docx")</f>
        <v/>
      </c>
      <c r="Y85">
        <f>HYPERLINK("https://klasma.github.io/Logging_ESKILSTUNA/tillsynsmail/A 2968-2022.docx")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45182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  <c r="T86">
        <f>HYPERLINK("https://klasma.github.io/Logging_NYKOPING/kartor/A 8663-2022.png")</f>
        <v/>
      </c>
      <c r="V86">
        <f>HYPERLINK("https://klasma.github.io/Logging_NYKOPING/klagomål/A 8663-2022.docx")</f>
        <v/>
      </c>
      <c r="W86">
        <f>HYPERLINK("https://klasma.github.io/Logging_NYKOPING/klagomålsmail/A 8663-2022.docx")</f>
        <v/>
      </c>
      <c r="X86">
        <f>HYPERLINK("https://klasma.github.io/Logging_NYKOPING/tillsyn/A 8663-2022.docx")</f>
        <v/>
      </c>
      <c r="Y86">
        <f>HYPERLINK("https://klasma.github.io/Logging_NYKOPING/tillsynsmail/A 8663-2022.docx")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45182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  <c r="T87">
        <f>HYPERLINK("https://klasma.github.io/Logging_ESKILSTUNA/kartor/A 30969-2022.png")</f>
        <v/>
      </c>
      <c r="V87">
        <f>HYPERLINK("https://klasma.github.io/Logging_ESKILSTUNA/klagomål/A 30969-2022.docx")</f>
        <v/>
      </c>
      <c r="W87">
        <f>HYPERLINK("https://klasma.github.io/Logging_ESKILSTUNA/klagomålsmail/A 30969-2022.docx")</f>
        <v/>
      </c>
      <c r="X87">
        <f>HYPERLINK("https://klasma.github.io/Logging_ESKILSTUNA/tillsyn/A 30969-2022.docx")</f>
        <v/>
      </c>
      <c r="Y87">
        <f>HYPERLINK("https://klasma.github.io/Logging_ESKILSTUNA/tillsynsmail/A 30969-2022.docx")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45182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  <c r="T88">
        <f>HYPERLINK("https://klasma.github.io/Logging_ESKILSTUNA/kartor/A 33699-2022.png")</f>
        <v/>
      </c>
      <c r="U88">
        <f>HYPERLINK("https://klasma.github.io/Logging_ESKILSTUNA/knärot/A 33699-2022.png")</f>
        <v/>
      </c>
      <c r="V88">
        <f>HYPERLINK("https://klasma.github.io/Logging_ESKILSTUNA/klagomål/A 33699-2022.docx")</f>
        <v/>
      </c>
      <c r="W88">
        <f>HYPERLINK("https://klasma.github.io/Logging_ESKILSTUNA/klagomålsmail/A 33699-2022.docx")</f>
        <v/>
      </c>
      <c r="X88">
        <f>HYPERLINK("https://klasma.github.io/Logging_ESKILSTUNA/tillsyn/A 33699-2022.docx")</f>
        <v/>
      </c>
      <c r="Y88">
        <f>HYPERLINK("https://klasma.github.io/Logging_ESKILSTUNA/tillsynsmail/A 33699-2022.docx")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45182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  <c r="T89">
        <f>HYPERLINK("https://klasma.github.io/Logging_ESKILSTUNA/kartor/A 4219-2023.png")</f>
        <v/>
      </c>
      <c r="U89">
        <f>HYPERLINK("https://klasma.github.io/Logging_ESKILSTUNA/knärot/A 4219-2023.png")</f>
        <v/>
      </c>
      <c r="V89">
        <f>HYPERLINK("https://klasma.github.io/Logging_ESKILSTUNA/klagomål/A 4219-2023.docx")</f>
        <v/>
      </c>
      <c r="W89">
        <f>HYPERLINK("https://klasma.github.io/Logging_ESKILSTUNA/klagomålsmail/A 4219-2023.docx")</f>
        <v/>
      </c>
      <c r="X89">
        <f>HYPERLINK("https://klasma.github.io/Logging_ESKILSTUNA/tillsyn/A 4219-2023.docx")</f>
        <v/>
      </c>
      <c r="Y89">
        <f>HYPERLINK("https://klasma.github.io/Logging_ESKILSTUNA/tillsynsmail/A 4219-2023.docx")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45182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  <c r="T90">
        <f>HYPERLINK("https://klasma.github.io/Logging_ESKILSTUNA/kartor/A 17144-2023.png")</f>
        <v/>
      </c>
      <c r="U90">
        <f>HYPERLINK("https://klasma.github.io/Logging_ESKILSTUNA/knärot/A 17144-2023.png")</f>
        <v/>
      </c>
      <c r="V90">
        <f>HYPERLINK("https://klasma.github.io/Logging_ESKILSTUNA/klagomål/A 17144-2023.docx")</f>
        <v/>
      </c>
      <c r="W90">
        <f>HYPERLINK("https://klasma.github.io/Logging_ESKILSTUNA/klagomålsmail/A 17144-2023.docx")</f>
        <v/>
      </c>
      <c r="X90">
        <f>HYPERLINK("https://klasma.github.io/Logging_ESKILSTUNA/tillsyn/A 17144-2023.docx")</f>
        <v/>
      </c>
      <c r="Y90">
        <f>HYPERLINK("https://klasma.github.io/Logging_ESKILSTUNA/tillsynsmail/A 17144-2023.docx")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45182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  <c r="T91">
        <f>HYPERLINK("https://klasma.github.io/Logging_NYKOPING/kartor/A 16985-2019.png")</f>
        <v/>
      </c>
      <c r="V91">
        <f>HYPERLINK("https://klasma.github.io/Logging_NYKOPING/klagomål/A 16985-2019.docx")</f>
        <v/>
      </c>
      <c r="W91">
        <f>HYPERLINK("https://klasma.github.io/Logging_NYKOPING/klagomålsmail/A 16985-2019.docx")</f>
        <v/>
      </c>
      <c r="X91">
        <f>HYPERLINK("https://klasma.github.io/Logging_NYKOPING/tillsyn/A 16985-2019.docx")</f>
        <v/>
      </c>
      <c r="Y91">
        <f>HYPERLINK("https://klasma.github.io/Logging_NYKOPING/tillsynsmail/A 16985-2019.docx")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45182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  <c r="T92">
        <f>HYPERLINK("https://klasma.github.io/Logging_STRANGNAS/kartor/A 34145-2019.png")</f>
        <v/>
      </c>
      <c r="U92">
        <f>HYPERLINK("https://klasma.github.io/Logging_STRANGNAS/knärot/A 34145-2019.png")</f>
        <v/>
      </c>
      <c r="V92">
        <f>HYPERLINK("https://klasma.github.io/Logging_STRANGNAS/klagomål/A 34145-2019.docx")</f>
        <v/>
      </c>
      <c r="W92">
        <f>HYPERLINK("https://klasma.github.io/Logging_STRANGNAS/klagomålsmail/A 34145-2019.docx")</f>
        <v/>
      </c>
      <c r="X92">
        <f>HYPERLINK("https://klasma.github.io/Logging_STRANGNAS/tillsyn/A 34145-2019.docx")</f>
        <v/>
      </c>
      <c r="Y92">
        <f>HYPERLINK("https://klasma.github.io/Logging_STRANGNAS/tillsynsmail/A 34145-2019.docx")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45182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  <c r="T93">
        <f>HYPERLINK("https://klasma.github.io/Logging_FLEN/kartor/A 36133-2019.png")</f>
        <v/>
      </c>
      <c r="V93">
        <f>HYPERLINK("https://klasma.github.io/Logging_FLEN/klagomål/A 36133-2019.docx")</f>
        <v/>
      </c>
      <c r="W93">
        <f>HYPERLINK("https://klasma.github.io/Logging_FLEN/klagomålsmail/A 36133-2019.docx")</f>
        <v/>
      </c>
      <c r="X93">
        <f>HYPERLINK("https://klasma.github.io/Logging_FLEN/tillsyn/A 36133-2019.docx")</f>
        <v/>
      </c>
      <c r="Y93">
        <f>HYPERLINK("https://klasma.github.io/Logging_FLEN/tillsynsmail/A 36133-2019.docx")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45182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  <c r="T94">
        <f>HYPERLINK("https://klasma.github.io/Logging_NYKOPING/kartor/A 38735-2019.png")</f>
        <v/>
      </c>
      <c r="V94">
        <f>HYPERLINK("https://klasma.github.io/Logging_NYKOPING/klagomål/A 38735-2019.docx")</f>
        <v/>
      </c>
      <c r="W94">
        <f>HYPERLINK("https://klasma.github.io/Logging_NYKOPING/klagomålsmail/A 38735-2019.docx")</f>
        <v/>
      </c>
      <c r="X94">
        <f>HYPERLINK("https://klasma.github.io/Logging_NYKOPING/tillsyn/A 38735-2019.docx")</f>
        <v/>
      </c>
      <c r="Y94">
        <f>HYPERLINK("https://klasma.github.io/Logging_NYKOPING/tillsynsmail/A 38735-2019.docx")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45182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  <c r="T95">
        <f>HYPERLINK("https://klasma.github.io/Logging_ESKILSTUNA/kartor/A 43401-2019.png")</f>
        <v/>
      </c>
      <c r="V95">
        <f>HYPERLINK("https://klasma.github.io/Logging_ESKILSTUNA/klagomål/A 43401-2019.docx")</f>
        <v/>
      </c>
      <c r="W95">
        <f>HYPERLINK("https://klasma.github.io/Logging_ESKILSTUNA/klagomålsmail/A 43401-2019.docx")</f>
        <v/>
      </c>
      <c r="X95">
        <f>HYPERLINK("https://klasma.github.io/Logging_ESKILSTUNA/tillsyn/A 43401-2019.docx")</f>
        <v/>
      </c>
      <c r="Y95">
        <f>HYPERLINK("https://klasma.github.io/Logging_ESKILSTUNA/tillsynsmail/A 43401-2019.docx")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45182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  <c r="T96">
        <f>HYPERLINK("https://klasma.github.io/Logging_ESKILSTUNA/kartor/A 51649-2019.png")</f>
        <v/>
      </c>
      <c r="U96">
        <f>HYPERLINK("https://klasma.github.io/Logging_ESKILSTUNA/knärot/A 51649-2019.png")</f>
        <v/>
      </c>
      <c r="V96">
        <f>HYPERLINK("https://klasma.github.io/Logging_ESKILSTUNA/klagomål/A 51649-2019.docx")</f>
        <v/>
      </c>
      <c r="W96">
        <f>HYPERLINK("https://klasma.github.io/Logging_ESKILSTUNA/klagomålsmail/A 51649-2019.docx")</f>
        <v/>
      </c>
      <c r="X96">
        <f>HYPERLINK("https://klasma.github.io/Logging_ESKILSTUNA/tillsyn/A 51649-2019.docx")</f>
        <v/>
      </c>
      <c r="Y96">
        <f>HYPERLINK("https://klasma.github.io/Logging_ESKILSTUNA/tillsynsmail/A 51649-2019.docx")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45182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  <c r="T97">
        <f>HYPERLINK("https://klasma.github.io/Logging_NYKOPING/kartor/A 1892-2020.png")</f>
        <v/>
      </c>
      <c r="V97">
        <f>HYPERLINK("https://klasma.github.io/Logging_NYKOPING/klagomål/A 1892-2020.docx")</f>
        <v/>
      </c>
      <c r="W97">
        <f>HYPERLINK("https://klasma.github.io/Logging_NYKOPING/klagomålsmail/A 1892-2020.docx")</f>
        <v/>
      </c>
      <c r="X97">
        <f>HYPERLINK("https://klasma.github.io/Logging_NYKOPING/tillsyn/A 1892-2020.docx")</f>
        <v/>
      </c>
      <c r="Y97">
        <f>HYPERLINK("https://klasma.github.io/Logging_NYKOPING/tillsynsmail/A 1892-2020.docx")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45182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  <c r="T98">
        <f>HYPERLINK("https://klasma.github.io/Logging_NYKOPING/kartor/A 14667-2020.png")</f>
        <v/>
      </c>
      <c r="V98">
        <f>HYPERLINK("https://klasma.github.io/Logging_NYKOPING/klagomål/A 14667-2020.docx")</f>
        <v/>
      </c>
      <c r="W98">
        <f>HYPERLINK("https://klasma.github.io/Logging_NYKOPING/klagomålsmail/A 14667-2020.docx")</f>
        <v/>
      </c>
      <c r="X98">
        <f>HYPERLINK("https://klasma.github.io/Logging_NYKOPING/tillsyn/A 14667-2020.docx")</f>
        <v/>
      </c>
      <c r="Y98">
        <f>HYPERLINK("https://klasma.github.io/Logging_NYKOPING/tillsynsmail/A 14667-2020.docx")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45182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  <c r="T99">
        <f>HYPERLINK("https://klasma.github.io/Logging_GNESTA/kartor/A 20402-2020.png")</f>
        <v/>
      </c>
      <c r="V99">
        <f>HYPERLINK("https://klasma.github.io/Logging_GNESTA/klagomål/A 20402-2020.docx")</f>
        <v/>
      </c>
      <c r="W99">
        <f>HYPERLINK("https://klasma.github.io/Logging_GNESTA/klagomålsmail/A 20402-2020.docx")</f>
        <v/>
      </c>
      <c r="X99">
        <f>HYPERLINK("https://klasma.github.io/Logging_GNESTA/tillsyn/A 20402-2020.docx")</f>
        <v/>
      </c>
      <c r="Y99">
        <f>HYPERLINK("https://klasma.github.io/Logging_GNESTA/tillsynsmail/A 20402-2020.docx")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45182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  <c r="T100">
        <f>HYPERLINK("https://klasma.github.io/Logging_STRANGNAS/kartor/A 37380-2020.png")</f>
        <v/>
      </c>
      <c r="V100">
        <f>HYPERLINK("https://klasma.github.io/Logging_STRANGNAS/klagomål/A 37380-2020.docx")</f>
        <v/>
      </c>
      <c r="W100">
        <f>HYPERLINK("https://klasma.github.io/Logging_STRANGNAS/klagomålsmail/A 37380-2020.docx")</f>
        <v/>
      </c>
      <c r="X100">
        <f>HYPERLINK("https://klasma.github.io/Logging_STRANGNAS/tillsyn/A 37380-2020.docx")</f>
        <v/>
      </c>
      <c r="Y100">
        <f>HYPERLINK("https://klasma.github.io/Logging_STRANGNAS/tillsynsmail/A 37380-2020.docx")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45182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  <c r="T101">
        <f>HYPERLINK("https://klasma.github.io/Logging_FLEN/kartor/A 41793-2020.png")</f>
        <v/>
      </c>
      <c r="V101">
        <f>HYPERLINK("https://klasma.github.io/Logging_FLEN/klagomål/A 41793-2020.docx")</f>
        <v/>
      </c>
      <c r="W101">
        <f>HYPERLINK("https://klasma.github.io/Logging_FLEN/klagomålsmail/A 41793-2020.docx")</f>
        <v/>
      </c>
      <c r="X101">
        <f>HYPERLINK("https://klasma.github.io/Logging_FLEN/tillsyn/A 41793-2020.docx")</f>
        <v/>
      </c>
      <c r="Y101">
        <f>HYPERLINK("https://klasma.github.io/Logging_FLEN/tillsynsmail/A 41793-2020.docx")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45182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  <c r="T102">
        <f>HYPERLINK("https://klasma.github.io/Logging_TROSA/kartor/A 45296-2020.png")</f>
        <v/>
      </c>
      <c r="V102">
        <f>HYPERLINK("https://klasma.github.io/Logging_TROSA/klagomål/A 45296-2020.docx")</f>
        <v/>
      </c>
      <c r="W102">
        <f>HYPERLINK("https://klasma.github.io/Logging_TROSA/klagomålsmail/A 45296-2020.docx")</f>
        <v/>
      </c>
      <c r="X102">
        <f>HYPERLINK("https://klasma.github.io/Logging_TROSA/tillsyn/A 45296-2020.docx")</f>
        <v/>
      </c>
      <c r="Y102">
        <f>HYPERLINK("https://klasma.github.io/Logging_TROSA/tillsynsmail/A 45296-2020.docx")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45182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  <c r="T103">
        <f>HYPERLINK("https://klasma.github.io/Logging_ESKILSTUNA/kartor/A 57180-2020.png")</f>
        <v/>
      </c>
      <c r="V103">
        <f>HYPERLINK("https://klasma.github.io/Logging_ESKILSTUNA/klagomål/A 57180-2020.docx")</f>
        <v/>
      </c>
      <c r="W103">
        <f>HYPERLINK("https://klasma.github.io/Logging_ESKILSTUNA/klagomålsmail/A 57180-2020.docx")</f>
        <v/>
      </c>
      <c r="X103">
        <f>HYPERLINK("https://klasma.github.io/Logging_ESKILSTUNA/tillsyn/A 57180-2020.docx")</f>
        <v/>
      </c>
      <c r="Y103">
        <f>HYPERLINK("https://klasma.github.io/Logging_ESKILSTUNA/tillsynsmail/A 57180-2020.docx")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45182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  <c r="T104">
        <f>HYPERLINK("https://klasma.github.io/Logging_STRANGNAS/kartor/A 66048-2020.png")</f>
        <v/>
      </c>
      <c r="V104">
        <f>HYPERLINK("https://klasma.github.io/Logging_STRANGNAS/klagomål/A 66048-2020.docx")</f>
        <v/>
      </c>
      <c r="W104">
        <f>HYPERLINK("https://klasma.github.io/Logging_STRANGNAS/klagomålsmail/A 66048-2020.docx")</f>
        <v/>
      </c>
      <c r="X104">
        <f>HYPERLINK("https://klasma.github.io/Logging_STRANGNAS/tillsyn/A 66048-2020.docx")</f>
        <v/>
      </c>
      <c r="Y104">
        <f>HYPERLINK("https://klasma.github.io/Logging_STRANGNAS/tillsynsmail/A 66048-2020.docx")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45182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  <c r="T105">
        <f>HYPERLINK("https://klasma.github.io/Logging_ESKILSTUNA/kartor/A 15323-2021.png")</f>
        <v/>
      </c>
      <c r="U105">
        <f>HYPERLINK("https://klasma.github.io/Logging_ESKILSTUNA/knärot/A 15323-2021.png")</f>
        <v/>
      </c>
      <c r="V105">
        <f>HYPERLINK("https://klasma.github.io/Logging_ESKILSTUNA/klagomål/A 15323-2021.docx")</f>
        <v/>
      </c>
      <c r="W105">
        <f>HYPERLINK("https://klasma.github.io/Logging_ESKILSTUNA/klagomålsmail/A 15323-2021.docx")</f>
        <v/>
      </c>
      <c r="X105">
        <f>HYPERLINK("https://klasma.github.io/Logging_ESKILSTUNA/tillsyn/A 15323-2021.docx")</f>
        <v/>
      </c>
      <c r="Y105">
        <f>HYPERLINK("https://klasma.github.io/Logging_ESKILSTUNA/tillsynsmail/A 15323-2021.docx")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45182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  <c r="T106">
        <f>HYPERLINK("https://klasma.github.io/Logging_VINGAKER/kartor/A 43704-2021.png")</f>
        <v/>
      </c>
      <c r="V106">
        <f>HYPERLINK("https://klasma.github.io/Logging_VINGAKER/klagomål/A 43704-2021.docx")</f>
        <v/>
      </c>
      <c r="W106">
        <f>HYPERLINK("https://klasma.github.io/Logging_VINGAKER/klagomålsmail/A 43704-2021.docx")</f>
        <v/>
      </c>
      <c r="X106">
        <f>HYPERLINK("https://klasma.github.io/Logging_VINGAKER/tillsyn/A 43704-2021.docx")</f>
        <v/>
      </c>
      <c r="Y106">
        <f>HYPERLINK("https://klasma.github.io/Logging_VINGAKER/tillsynsmail/A 43704-2021.docx")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45182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  <c r="T107">
        <f>HYPERLINK("https://klasma.github.io/Logging_NYKOPING/kartor/A 55963-2021.png")</f>
        <v/>
      </c>
      <c r="V107">
        <f>HYPERLINK("https://klasma.github.io/Logging_NYKOPING/klagomål/A 55963-2021.docx")</f>
        <v/>
      </c>
      <c r="W107">
        <f>HYPERLINK("https://klasma.github.io/Logging_NYKOPING/klagomålsmail/A 55963-2021.docx")</f>
        <v/>
      </c>
      <c r="X107">
        <f>HYPERLINK("https://klasma.github.io/Logging_NYKOPING/tillsyn/A 55963-2021.docx")</f>
        <v/>
      </c>
      <c r="Y107">
        <f>HYPERLINK("https://klasma.github.io/Logging_NYKOPING/tillsynsmail/A 55963-2021.docx")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45182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  <c r="T108">
        <f>HYPERLINK("https://klasma.github.io/Logging_FLEN/kartor/A 2203-2022.png")</f>
        <v/>
      </c>
      <c r="U108">
        <f>HYPERLINK("https://klasma.github.io/Logging_FLEN/knärot/A 2203-2022.png")</f>
        <v/>
      </c>
      <c r="V108">
        <f>HYPERLINK("https://klasma.github.io/Logging_FLEN/klagomål/A 2203-2022.docx")</f>
        <v/>
      </c>
      <c r="W108">
        <f>HYPERLINK("https://klasma.github.io/Logging_FLEN/klagomålsmail/A 2203-2022.docx")</f>
        <v/>
      </c>
      <c r="X108">
        <f>HYPERLINK("https://klasma.github.io/Logging_FLEN/tillsyn/A 2203-2022.docx")</f>
        <v/>
      </c>
      <c r="Y108">
        <f>HYPERLINK("https://klasma.github.io/Logging_FLEN/tillsynsmail/A 2203-2022.docx")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45182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  <c r="T109">
        <f>HYPERLINK("https://klasma.github.io/Logging_VINGAKER/kartor/A 14098-2022.png")</f>
        <v/>
      </c>
      <c r="V109">
        <f>HYPERLINK("https://klasma.github.io/Logging_VINGAKER/klagomål/A 14098-2022.docx")</f>
        <v/>
      </c>
      <c r="W109">
        <f>HYPERLINK("https://klasma.github.io/Logging_VINGAKER/klagomålsmail/A 14098-2022.docx")</f>
        <v/>
      </c>
      <c r="X109">
        <f>HYPERLINK("https://klasma.github.io/Logging_VINGAKER/tillsyn/A 14098-2022.docx")</f>
        <v/>
      </c>
      <c r="Y109">
        <f>HYPERLINK("https://klasma.github.io/Logging_VINGAKER/tillsynsmail/A 14098-2022.docx")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45182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  <c r="T110">
        <f>HYPERLINK("https://klasma.github.io/Logging_ESKILSTUNA/kartor/A 15060-2022.png")</f>
        <v/>
      </c>
      <c r="V110">
        <f>HYPERLINK("https://klasma.github.io/Logging_ESKILSTUNA/klagomål/A 15060-2022.docx")</f>
        <v/>
      </c>
      <c r="W110">
        <f>HYPERLINK("https://klasma.github.io/Logging_ESKILSTUNA/klagomålsmail/A 15060-2022.docx")</f>
        <v/>
      </c>
      <c r="X110">
        <f>HYPERLINK("https://klasma.github.io/Logging_ESKILSTUNA/tillsyn/A 15060-2022.docx")</f>
        <v/>
      </c>
      <c r="Y110">
        <f>HYPERLINK("https://klasma.github.io/Logging_ESKILSTUNA/tillsynsmail/A 15060-2022.docx")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45182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  <c r="T111">
        <f>HYPERLINK("https://klasma.github.io/Logging_GNESTA/kartor/A 20124-2022.png")</f>
        <v/>
      </c>
      <c r="V111">
        <f>HYPERLINK("https://klasma.github.io/Logging_GNESTA/klagomål/A 20124-2022.docx")</f>
        <v/>
      </c>
      <c r="W111">
        <f>HYPERLINK("https://klasma.github.io/Logging_GNESTA/klagomålsmail/A 20124-2022.docx")</f>
        <v/>
      </c>
      <c r="X111">
        <f>HYPERLINK("https://klasma.github.io/Logging_GNESTA/tillsyn/A 20124-2022.docx")</f>
        <v/>
      </c>
      <c r="Y111">
        <f>HYPERLINK("https://klasma.github.io/Logging_GNESTA/tillsynsmail/A 20124-2022.docx")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45182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  <c r="T112">
        <f>HYPERLINK("https://klasma.github.io/Logging_STRANGNAS/kartor/A 21966-2022.png")</f>
        <v/>
      </c>
      <c r="V112">
        <f>HYPERLINK("https://klasma.github.io/Logging_STRANGNAS/klagomål/A 21966-2022.docx")</f>
        <v/>
      </c>
      <c r="W112">
        <f>HYPERLINK("https://klasma.github.io/Logging_STRANGNAS/klagomålsmail/A 21966-2022.docx")</f>
        <v/>
      </c>
      <c r="X112">
        <f>HYPERLINK("https://klasma.github.io/Logging_STRANGNAS/tillsyn/A 21966-2022.docx")</f>
        <v/>
      </c>
      <c r="Y112">
        <f>HYPERLINK("https://klasma.github.io/Logging_STRANGNAS/tillsynsmail/A 21966-2022.docx")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45182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  <c r="T113">
        <f>HYPERLINK("https://klasma.github.io/Logging_VINGAKER/kartor/A 60599-2022.png")</f>
        <v/>
      </c>
      <c r="V113">
        <f>HYPERLINK("https://klasma.github.io/Logging_VINGAKER/klagomål/A 60599-2022.docx")</f>
        <v/>
      </c>
      <c r="W113">
        <f>HYPERLINK("https://klasma.github.io/Logging_VINGAKER/klagomålsmail/A 60599-2022.docx")</f>
        <v/>
      </c>
      <c r="X113">
        <f>HYPERLINK("https://klasma.github.io/Logging_VINGAKER/tillsyn/A 60599-2022.docx")</f>
        <v/>
      </c>
      <c r="Y113">
        <f>HYPERLINK("https://klasma.github.io/Logging_VINGAKER/tillsynsmail/A 60599-2022.docx")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45182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  <c r="T114">
        <f>HYPERLINK("https://klasma.github.io/Logging_ESKILSTUNA/kartor/A 61503-2022.png")</f>
        <v/>
      </c>
      <c r="V114">
        <f>HYPERLINK("https://klasma.github.io/Logging_ESKILSTUNA/klagomål/A 61503-2022.docx")</f>
        <v/>
      </c>
      <c r="W114">
        <f>HYPERLINK("https://klasma.github.io/Logging_ESKILSTUNA/klagomålsmail/A 61503-2022.docx")</f>
        <v/>
      </c>
      <c r="X114">
        <f>HYPERLINK("https://klasma.github.io/Logging_ESKILSTUNA/tillsyn/A 61503-2022.docx")</f>
        <v/>
      </c>
      <c r="Y114">
        <f>HYPERLINK("https://klasma.github.io/Logging_ESKILSTUNA/tillsynsmail/A 61503-2022.docx")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45182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  <c r="T115">
        <f>HYPERLINK("https://klasma.github.io/Logging_ESKILSTUNA/kartor/A 4212-2023.png")</f>
        <v/>
      </c>
      <c r="U115">
        <f>HYPERLINK("https://klasma.github.io/Logging_ESKILSTUNA/knärot/A 4212-2023.png")</f>
        <v/>
      </c>
      <c r="V115">
        <f>HYPERLINK("https://klasma.github.io/Logging_ESKILSTUNA/klagomål/A 4212-2023.docx")</f>
        <v/>
      </c>
      <c r="W115">
        <f>HYPERLINK("https://klasma.github.io/Logging_ESKILSTUNA/klagomålsmail/A 4212-2023.docx")</f>
        <v/>
      </c>
      <c r="X115">
        <f>HYPERLINK("https://klasma.github.io/Logging_ESKILSTUNA/tillsyn/A 4212-2023.docx")</f>
        <v/>
      </c>
      <c r="Y115">
        <f>HYPERLINK("https://klasma.github.io/Logging_ESKILSTUNA/tillsynsmail/A 4212-2023.docx")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45182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  <c r="T116">
        <f>HYPERLINK("https://klasma.github.io/Logging_NYKOPING/kartor/A 5532-2023.png")</f>
        <v/>
      </c>
      <c r="V116">
        <f>HYPERLINK("https://klasma.github.io/Logging_NYKOPING/klagomål/A 5532-2023.docx")</f>
        <v/>
      </c>
      <c r="W116">
        <f>HYPERLINK("https://klasma.github.io/Logging_NYKOPING/klagomålsmail/A 5532-2023.docx")</f>
        <v/>
      </c>
      <c r="X116">
        <f>HYPERLINK("https://klasma.github.io/Logging_NYKOPING/tillsyn/A 5532-2023.docx")</f>
        <v/>
      </c>
      <c r="Y116">
        <f>HYPERLINK("https://klasma.github.io/Logging_NYKOPING/tillsynsmail/A 5532-2023.docx")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45182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  <c r="T117">
        <f>HYPERLINK("https://klasma.github.io/Logging_KATRINEHOLM/kartor/A 7585-2023.png")</f>
        <v/>
      </c>
      <c r="V117">
        <f>HYPERLINK("https://klasma.github.io/Logging_KATRINEHOLM/klagomål/A 7585-2023.docx")</f>
        <v/>
      </c>
      <c r="W117">
        <f>HYPERLINK("https://klasma.github.io/Logging_KATRINEHOLM/klagomålsmail/A 7585-2023.docx")</f>
        <v/>
      </c>
      <c r="X117">
        <f>HYPERLINK("https://klasma.github.io/Logging_KATRINEHOLM/tillsyn/A 7585-2023.docx")</f>
        <v/>
      </c>
      <c r="Y117">
        <f>HYPERLINK("https://klasma.github.io/Logging_KATRINEHOLM/tillsynsmail/A 7585-2023.docx")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45182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  <c r="T118">
        <f>HYPERLINK("https://klasma.github.io/Logging_ESKILSTUNA/kartor/A 8757-2023.png")</f>
        <v/>
      </c>
      <c r="U118">
        <f>HYPERLINK("https://klasma.github.io/Logging_ESKILSTUNA/knärot/A 8757-2023.png")</f>
        <v/>
      </c>
      <c r="V118">
        <f>HYPERLINK("https://klasma.github.io/Logging_ESKILSTUNA/klagomål/A 8757-2023.docx")</f>
        <v/>
      </c>
      <c r="W118">
        <f>HYPERLINK("https://klasma.github.io/Logging_ESKILSTUNA/klagomålsmail/A 8757-2023.docx")</f>
        <v/>
      </c>
      <c r="X118">
        <f>HYPERLINK("https://klasma.github.io/Logging_ESKILSTUNA/tillsyn/A 8757-2023.docx")</f>
        <v/>
      </c>
      <c r="Y118">
        <f>HYPERLINK("https://klasma.github.io/Logging_ESKILSTUNA/tillsynsmail/A 8757-2023.docx")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45182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  <c r="T119">
        <f>HYPERLINK("https://klasma.github.io/Logging_FLEN/kartor/A 13230-2023.png")</f>
        <v/>
      </c>
      <c r="V119">
        <f>HYPERLINK("https://klasma.github.io/Logging_FLEN/klagomål/A 13230-2023.docx")</f>
        <v/>
      </c>
      <c r="W119">
        <f>HYPERLINK("https://klasma.github.io/Logging_FLEN/klagomålsmail/A 13230-2023.docx")</f>
        <v/>
      </c>
      <c r="X119">
        <f>HYPERLINK("https://klasma.github.io/Logging_FLEN/tillsyn/A 13230-2023.docx")</f>
        <v/>
      </c>
      <c r="Y119">
        <f>HYPERLINK("https://klasma.github.io/Logging_FLEN/tillsynsmail/A 13230-2023.docx")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45182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  <c r="T120">
        <f>HYPERLINK("https://klasma.github.io/Logging_FLEN/kartor/A 18078-2023.png")</f>
        <v/>
      </c>
      <c r="V120">
        <f>HYPERLINK("https://klasma.github.io/Logging_FLEN/klagomål/A 18078-2023.docx")</f>
        <v/>
      </c>
      <c r="W120">
        <f>HYPERLINK("https://klasma.github.io/Logging_FLEN/klagomålsmail/A 18078-2023.docx")</f>
        <v/>
      </c>
      <c r="X120">
        <f>HYPERLINK("https://klasma.github.io/Logging_FLEN/tillsyn/A 18078-2023.docx")</f>
        <v/>
      </c>
      <c r="Y120">
        <f>HYPERLINK("https://klasma.github.io/Logging_FLEN/tillsynsmail/A 18078-2023.docx")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45182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  <c r="T121">
        <f>HYPERLINK("https://klasma.github.io/Logging_ESKILSTUNA/kartor/A 18968-2023.png")</f>
        <v/>
      </c>
      <c r="V121">
        <f>HYPERLINK("https://klasma.github.io/Logging_ESKILSTUNA/klagomål/A 18968-2023.docx")</f>
        <v/>
      </c>
      <c r="W121">
        <f>HYPERLINK("https://klasma.github.io/Logging_ESKILSTUNA/klagomålsmail/A 18968-2023.docx")</f>
        <v/>
      </c>
      <c r="X121">
        <f>HYPERLINK("https://klasma.github.io/Logging_ESKILSTUNA/tillsyn/A 18968-2023.docx")</f>
        <v/>
      </c>
      <c r="Y121">
        <f>HYPERLINK("https://klasma.github.io/Logging_ESKILSTUNA/tillsynsmail/A 18968-2023.docx")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45182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  <c r="T122">
        <f>HYPERLINK("https://klasma.github.io/Logging_ESKILSTUNA/kartor/A 18962-2023.png")</f>
        <v/>
      </c>
      <c r="U122">
        <f>HYPERLINK("https://klasma.github.io/Logging_ESKILSTUNA/knärot/A 18962-2023.png")</f>
        <v/>
      </c>
      <c r="V122">
        <f>HYPERLINK("https://klasma.github.io/Logging_ESKILSTUNA/klagomål/A 18962-2023.docx")</f>
        <v/>
      </c>
      <c r="W122">
        <f>HYPERLINK("https://klasma.github.io/Logging_ESKILSTUNA/klagomålsmail/A 18962-2023.docx")</f>
        <v/>
      </c>
      <c r="X122">
        <f>HYPERLINK("https://klasma.github.io/Logging_ESKILSTUNA/tillsyn/A 18962-2023.docx")</f>
        <v/>
      </c>
      <c r="Y122">
        <f>HYPERLINK("https://klasma.github.io/Logging_ESKILSTUNA/tillsynsmail/A 18962-2023.docx")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45182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  <c r="T123">
        <f>HYPERLINK("https://klasma.github.io/Logging_FLEN/kartor/A 29138-2023.png")</f>
        <v/>
      </c>
      <c r="V123">
        <f>HYPERLINK("https://klasma.github.io/Logging_FLEN/klagomål/A 29138-2023.docx")</f>
        <v/>
      </c>
      <c r="W123">
        <f>HYPERLINK("https://klasma.github.io/Logging_FLEN/klagomålsmail/A 29138-2023.docx")</f>
        <v/>
      </c>
      <c r="X123">
        <f>HYPERLINK("https://klasma.github.io/Logging_FLEN/tillsyn/A 29138-2023.docx")</f>
        <v/>
      </c>
      <c r="Y123">
        <f>HYPERLINK("https://klasma.github.io/Logging_FLEN/tillsynsmail/A 29138-2023.docx")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45182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  <c r="T124">
        <f>HYPERLINK("https://klasma.github.io/Logging_FLEN/kartor/A 34985-2023.png")</f>
        <v/>
      </c>
      <c r="U124">
        <f>HYPERLINK("https://klasma.github.io/Logging_FLEN/knärot/A 34985-2023.png")</f>
        <v/>
      </c>
      <c r="V124">
        <f>HYPERLINK("https://klasma.github.io/Logging_FLEN/klagomål/A 34985-2023.docx")</f>
        <v/>
      </c>
      <c r="W124">
        <f>HYPERLINK("https://klasma.github.io/Logging_FLEN/klagomålsmail/A 34985-2023.docx")</f>
        <v/>
      </c>
      <c r="X124">
        <f>HYPERLINK("https://klasma.github.io/Logging_FLEN/tillsyn/A 34985-2023.docx")</f>
        <v/>
      </c>
      <c r="Y124">
        <f>HYPERLINK("https://klasma.github.io/Logging_FLEN/tillsynsmail/A 34985-2023.docx")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45182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  <c r="T125">
        <f>HYPERLINK("https://klasma.github.io/Logging_STRANGNAS/kartor/A 46853-2018.png")</f>
        <v/>
      </c>
      <c r="V125">
        <f>HYPERLINK("https://klasma.github.io/Logging_STRANGNAS/klagomål/A 46853-2018.docx")</f>
        <v/>
      </c>
      <c r="W125">
        <f>HYPERLINK("https://klasma.github.io/Logging_STRANGNAS/klagomålsmail/A 46853-2018.docx")</f>
        <v/>
      </c>
      <c r="X125">
        <f>HYPERLINK("https://klasma.github.io/Logging_STRANGNAS/tillsyn/A 46853-2018.docx")</f>
        <v/>
      </c>
      <c r="Y125">
        <f>HYPERLINK("https://klasma.github.io/Logging_STRANGNAS/tillsynsmail/A 46853-2018.docx")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45182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  <c r="T126">
        <f>HYPERLINK("https://klasma.github.io/Logging_STRANGNAS/kartor/A 46863-2018.png")</f>
        <v/>
      </c>
      <c r="V126">
        <f>HYPERLINK("https://klasma.github.io/Logging_STRANGNAS/klagomål/A 46863-2018.docx")</f>
        <v/>
      </c>
      <c r="W126">
        <f>HYPERLINK("https://klasma.github.io/Logging_STRANGNAS/klagomålsmail/A 46863-2018.docx")</f>
        <v/>
      </c>
      <c r="X126">
        <f>HYPERLINK("https://klasma.github.io/Logging_STRANGNAS/tillsyn/A 46863-2018.docx")</f>
        <v/>
      </c>
      <c r="Y126">
        <f>HYPERLINK("https://klasma.github.io/Logging_STRANGNAS/tillsynsmail/A 46863-2018.docx")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45182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  <c r="T127">
        <f>HYPERLINK("https://klasma.github.io/Logging_NYKOPING/kartor/A 64967-2018.png")</f>
        <v/>
      </c>
      <c r="V127">
        <f>HYPERLINK("https://klasma.github.io/Logging_NYKOPING/klagomål/A 64967-2018.docx")</f>
        <v/>
      </c>
      <c r="W127">
        <f>HYPERLINK("https://klasma.github.io/Logging_NYKOPING/klagomålsmail/A 64967-2018.docx")</f>
        <v/>
      </c>
      <c r="X127">
        <f>HYPERLINK("https://klasma.github.io/Logging_NYKOPING/tillsyn/A 64967-2018.docx")</f>
        <v/>
      </c>
      <c r="Y127">
        <f>HYPERLINK("https://klasma.github.io/Logging_NYKOPING/tillsynsmail/A 64967-2018.docx")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45182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  <c r="T128">
        <f>HYPERLINK("https://klasma.github.io/Logging_NYKOPING/kartor/A 64968-2018.png")</f>
        <v/>
      </c>
      <c r="V128">
        <f>HYPERLINK("https://klasma.github.io/Logging_NYKOPING/klagomål/A 64968-2018.docx")</f>
        <v/>
      </c>
      <c r="W128">
        <f>HYPERLINK("https://klasma.github.io/Logging_NYKOPING/klagomålsmail/A 64968-2018.docx")</f>
        <v/>
      </c>
      <c r="X128">
        <f>HYPERLINK("https://klasma.github.io/Logging_NYKOPING/tillsyn/A 64968-2018.docx")</f>
        <v/>
      </c>
      <c r="Y128">
        <f>HYPERLINK("https://klasma.github.io/Logging_NYKOPING/tillsynsmail/A 64968-2018.docx")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45182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  <c r="T129">
        <f>HYPERLINK("https://klasma.github.io/Logging_NYKOPING/kartor/A 4049-2019.png")</f>
        <v/>
      </c>
      <c r="V129">
        <f>HYPERLINK("https://klasma.github.io/Logging_NYKOPING/klagomål/A 4049-2019.docx")</f>
        <v/>
      </c>
      <c r="W129">
        <f>HYPERLINK("https://klasma.github.io/Logging_NYKOPING/klagomålsmail/A 4049-2019.docx")</f>
        <v/>
      </c>
      <c r="X129">
        <f>HYPERLINK("https://klasma.github.io/Logging_NYKOPING/tillsyn/A 4049-2019.docx")</f>
        <v/>
      </c>
      <c r="Y129">
        <f>HYPERLINK("https://klasma.github.io/Logging_NYKOPING/tillsynsmail/A 4049-2019.docx")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45182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  <c r="T130">
        <f>HYPERLINK("https://klasma.github.io/Logging_NYKOPING/kartor/A 15738-2019.png")</f>
        <v/>
      </c>
      <c r="V130">
        <f>HYPERLINK("https://klasma.github.io/Logging_NYKOPING/klagomål/A 15738-2019.docx")</f>
        <v/>
      </c>
      <c r="W130">
        <f>HYPERLINK("https://klasma.github.io/Logging_NYKOPING/klagomålsmail/A 15738-2019.docx")</f>
        <v/>
      </c>
      <c r="X130">
        <f>HYPERLINK("https://klasma.github.io/Logging_NYKOPING/tillsyn/A 15738-2019.docx")</f>
        <v/>
      </c>
      <c r="Y130">
        <f>HYPERLINK("https://klasma.github.io/Logging_NYKOPING/tillsynsmail/A 15738-2019.docx")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45182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  <c r="T131">
        <f>HYPERLINK("https://klasma.github.io/Logging_ESKILSTUNA/kartor/A 17136-2019.png")</f>
        <v/>
      </c>
      <c r="V131">
        <f>HYPERLINK("https://klasma.github.io/Logging_ESKILSTUNA/klagomål/A 17136-2019.docx")</f>
        <v/>
      </c>
      <c r="W131">
        <f>HYPERLINK("https://klasma.github.io/Logging_ESKILSTUNA/klagomålsmail/A 17136-2019.docx")</f>
        <v/>
      </c>
      <c r="X131">
        <f>HYPERLINK("https://klasma.github.io/Logging_ESKILSTUNA/tillsyn/A 17136-2019.docx")</f>
        <v/>
      </c>
      <c r="Y131">
        <f>HYPERLINK("https://klasma.github.io/Logging_ESKILSTUNA/tillsynsmail/A 17136-2019.docx")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45182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  <c r="T132">
        <f>HYPERLINK("https://klasma.github.io/Logging_NYKOPING/kartor/A 18443-2019.png")</f>
        <v/>
      </c>
      <c r="V132">
        <f>HYPERLINK("https://klasma.github.io/Logging_NYKOPING/klagomål/A 18443-2019.docx")</f>
        <v/>
      </c>
      <c r="W132">
        <f>HYPERLINK("https://klasma.github.io/Logging_NYKOPING/klagomålsmail/A 18443-2019.docx")</f>
        <v/>
      </c>
      <c r="X132">
        <f>HYPERLINK("https://klasma.github.io/Logging_NYKOPING/tillsyn/A 18443-2019.docx")</f>
        <v/>
      </c>
      <c r="Y132">
        <f>HYPERLINK("https://klasma.github.io/Logging_NYKOPING/tillsynsmail/A 18443-2019.docx")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45182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  <c r="T133">
        <f>HYPERLINK("https://klasma.github.io/Logging_NYKOPING/kartor/A 28642-2019.png")</f>
        <v/>
      </c>
      <c r="V133">
        <f>HYPERLINK("https://klasma.github.io/Logging_NYKOPING/klagomål/A 28642-2019.docx")</f>
        <v/>
      </c>
      <c r="W133">
        <f>HYPERLINK("https://klasma.github.io/Logging_NYKOPING/klagomålsmail/A 28642-2019.docx")</f>
        <v/>
      </c>
      <c r="X133">
        <f>HYPERLINK("https://klasma.github.io/Logging_NYKOPING/tillsyn/A 28642-2019.docx")</f>
        <v/>
      </c>
      <c r="Y133">
        <f>HYPERLINK("https://klasma.github.io/Logging_NYKOPING/tillsynsmail/A 28642-2019.docx")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45182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  <c r="T134">
        <f>HYPERLINK("https://klasma.github.io/Logging_FLEN/kartor/A 32879-2019.png")</f>
        <v/>
      </c>
      <c r="V134">
        <f>HYPERLINK("https://klasma.github.io/Logging_FLEN/klagomål/A 32879-2019.docx")</f>
        <v/>
      </c>
      <c r="W134">
        <f>HYPERLINK("https://klasma.github.io/Logging_FLEN/klagomålsmail/A 32879-2019.docx")</f>
        <v/>
      </c>
      <c r="X134">
        <f>HYPERLINK("https://klasma.github.io/Logging_FLEN/tillsyn/A 32879-2019.docx")</f>
        <v/>
      </c>
      <c r="Y134">
        <f>HYPERLINK("https://klasma.github.io/Logging_FLEN/tillsynsmail/A 32879-2019.docx")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45182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  <c r="T135">
        <f>HYPERLINK("https://klasma.github.io/Logging_GNESTA/kartor/A 37714-2019.png")</f>
        <v/>
      </c>
      <c r="V135">
        <f>HYPERLINK("https://klasma.github.io/Logging_GNESTA/klagomål/A 37714-2019.docx")</f>
        <v/>
      </c>
      <c r="W135">
        <f>HYPERLINK("https://klasma.github.io/Logging_GNESTA/klagomålsmail/A 37714-2019.docx")</f>
        <v/>
      </c>
      <c r="X135">
        <f>HYPERLINK("https://klasma.github.io/Logging_GNESTA/tillsyn/A 37714-2019.docx")</f>
        <v/>
      </c>
      <c r="Y135">
        <f>HYPERLINK("https://klasma.github.io/Logging_GNESTA/tillsynsmail/A 37714-2019.docx")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45182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  <c r="T136">
        <f>HYPERLINK("https://klasma.github.io/Logging_TROSA/kartor/A 41919-2019.png")</f>
        <v/>
      </c>
      <c r="U136">
        <f>HYPERLINK("https://klasma.github.io/Logging_TROSA/knärot/A 41919-2019.png")</f>
        <v/>
      </c>
      <c r="V136">
        <f>HYPERLINK("https://klasma.github.io/Logging_TROSA/klagomål/A 41919-2019.docx")</f>
        <v/>
      </c>
      <c r="W136">
        <f>HYPERLINK("https://klasma.github.io/Logging_TROSA/klagomålsmail/A 41919-2019.docx")</f>
        <v/>
      </c>
      <c r="X136">
        <f>HYPERLINK("https://klasma.github.io/Logging_TROSA/tillsyn/A 41919-2019.docx")</f>
        <v/>
      </c>
      <c r="Y136">
        <f>HYPERLINK("https://klasma.github.io/Logging_TROSA/tillsynsmail/A 41919-2019.docx")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45182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  <c r="T137">
        <f>HYPERLINK("https://klasma.github.io/Logging_FLEN/kartor/A 43373-2019.png")</f>
        <v/>
      </c>
      <c r="V137">
        <f>HYPERLINK("https://klasma.github.io/Logging_FLEN/klagomål/A 43373-2019.docx")</f>
        <v/>
      </c>
      <c r="W137">
        <f>HYPERLINK("https://klasma.github.io/Logging_FLEN/klagomålsmail/A 43373-2019.docx")</f>
        <v/>
      </c>
      <c r="X137">
        <f>HYPERLINK("https://klasma.github.io/Logging_FLEN/tillsyn/A 43373-2019.docx")</f>
        <v/>
      </c>
      <c r="Y137">
        <f>HYPERLINK("https://klasma.github.io/Logging_FLEN/tillsynsmail/A 43373-2019.docx")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45182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  <c r="T138">
        <f>HYPERLINK("https://klasma.github.io/Logging_NYKOPING/kartor/A 42501-2019.png")</f>
        <v/>
      </c>
      <c r="V138">
        <f>HYPERLINK("https://klasma.github.io/Logging_NYKOPING/klagomål/A 42501-2019.docx")</f>
        <v/>
      </c>
      <c r="W138">
        <f>HYPERLINK("https://klasma.github.io/Logging_NYKOPING/klagomålsmail/A 42501-2019.docx")</f>
        <v/>
      </c>
      <c r="X138">
        <f>HYPERLINK("https://klasma.github.io/Logging_NYKOPING/tillsyn/A 42501-2019.docx")</f>
        <v/>
      </c>
      <c r="Y138">
        <f>HYPERLINK("https://klasma.github.io/Logging_NYKOPING/tillsynsmail/A 42501-2019.docx")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45182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  <c r="T139">
        <f>HYPERLINK("https://klasma.github.io/Logging_ESKILSTUNA/kartor/A 51654-2019.png")</f>
        <v/>
      </c>
      <c r="V139">
        <f>HYPERLINK("https://klasma.github.io/Logging_ESKILSTUNA/klagomål/A 51654-2019.docx")</f>
        <v/>
      </c>
      <c r="W139">
        <f>HYPERLINK("https://klasma.github.io/Logging_ESKILSTUNA/klagomålsmail/A 51654-2019.docx")</f>
        <v/>
      </c>
      <c r="X139">
        <f>HYPERLINK("https://klasma.github.io/Logging_ESKILSTUNA/tillsyn/A 51654-2019.docx")</f>
        <v/>
      </c>
      <c r="Y139">
        <f>HYPERLINK("https://klasma.github.io/Logging_ESKILSTUNA/tillsynsmail/A 51654-2019.docx")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45182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  <c r="T140">
        <f>HYPERLINK("https://klasma.github.io/Logging_NYKOPING/kartor/A 59598-2019.png")</f>
        <v/>
      </c>
      <c r="V140">
        <f>HYPERLINK("https://klasma.github.io/Logging_NYKOPING/klagomål/A 59598-2019.docx")</f>
        <v/>
      </c>
      <c r="W140">
        <f>HYPERLINK("https://klasma.github.io/Logging_NYKOPING/klagomålsmail/A 59598-2019.docx")</f>
        <v/>
      </c>
      <c r="X140">
        <f>HYPERLINK("https://klasma.github.io/Logging_NYKOPING/tillsyn/A 59598-2019.docx")</f>
        <v/>
      </c>
      <c r="Y140">
        <f>HYPERLINK("https://klasma.github.io/Logging_NYKOPING/tillsynsmail/A 59598-2019.docx")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45182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  <c r="T141">
        <f>HYPERLINK("https://klasma.github.io/Logging_TROSA/kartor/A 60748-2019.png")</f>
        <v/>
      </c>
      <c r="V141">
        <f>HYPERLINK("https://klasma.github.io/Logging_TROSA/klagomål/A 60748-2019.docx")</f>
        <v/>
      </c>
      <c r="W141">
        <f>HYPERLINK("https://klasma.github.io/Logging_TROSA/klagomålsmail/A 60748-2019.docx")</f>
        <v/>
      </c>
      <c r="X141">
        <f>HYPERLINK("https://klasma.github.io/Logging_TROSA/tillsyn/A 60748-2019.docx")</f>
        <v/>
      </c>
      <c r="Y141">
        <f>HYPERLINK("https://klasma.github.io/Logging_TROSA/tillsynsmail/A 60748-2019.docx")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45182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  <c r="T142">
        <f>HYPERLINK("https://klasma.github.io/Logging_NYKOPING/kartor/A 64948-2019.png")</f>
        <v/>
      </c>
      <c r="V142">
        <f>HYPERLINK("https://klasma.github.io/Logging_NYKOPING/klagomål/A 64948-2019.docx")</f>
        <v/>
      </c>
      <c r="W142">
        <f>HYPERLINK("https://klasma.github.io/Logging_NYKOPING/klagomålsmail/A 64948-2019.docx")</f>
        <v/>
      </c>
      <c r="X142">
        <f>HYPERLINK("https://klasma.github.io/Logging_NYKOPING/tillsyn/A 64948-2019.docx")</f>
        <v/>
      </c>
      <c r="Y142">
        <f>HYPERLINK("https://klasma.github.io/Logging_NYKOPING/tillsynsmail/A 64948-2019.docx")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45182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  <c r="T143">
        <f>HYPERLINK("https://klasma.github.io/Logging_ESKILSTUNA/kartor/A 69146-2019.png")</f>
        <v/>
      </c>
      <c r="V143">
        <f>HYPERLINK("https://klasma.github.io/Logging_ESKILSTUNA/klagomål/A 69146-2019.docx")</f>
        <v/>
      </c>
      <c r="W143">
        <f>HYPERLINK("https://klasma.github.io/Logging_ESKILSTUNA/klagomålsmail/A 69146-2019.docx")</f>
        <v/>
      </c>
      <c r="X143">
        <f>HYPERLINK("https://klasma.github.io/Logging_ESKILSTUNA/tillsyn/A 69146-2019.docx")</f>
        <v/>
      </c>
      <c r="Y143">
        <f>HYPERLINK("https://klasma.github.io/Logging_ESKILSTUNA/tillsynsmail/A 69146-2019.docx")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45182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  <c r="T144">
        <f>HYPERLINK("https://klasma.github.io/Logging_ESKILSTUNA/kartor/A 3683-2020.png")</f>
        <v/>
      </c>
      <c r="U144">
        <f>HYPERLINK("https://klasma.github.io/Logging_ESKILSTUNA/knärot/A 3683-2020.png")</f>
        <v/>
      </c>
      <c r="V144">
        <f>HYPERLINK("https://klasma.github.io/Logging_ESKILSTUNA/klagomål/A 3683-2020.docx")</f>
        <v/>
      </c>
      <c r="W144">
        <f>HYPERLINK("https://klasma.github.io/Logging_ESKILSTUNA/klagomålsmail/A 3683-2020.docx")</f>
        <v/>
      </c>
      <c r="X144">
        <f>HYPERLINK("https://klasma.github.io/Logging_ESKILSTUNA/tillsyn/A 3683-2020.docx")</f>
        <v/>
      </c>
      <c r="Y144">
        <f>HYPERLINK("https://klasma.github.io/Logging_ESKILSTUNA/tillsynsmail/A 3683-2020.docx")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45182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  <c r="T145">
        <f>HYPERLINK("https://klasma.github.io/Logging_ESKILSTUNA/kartor/A 5581-2020.png")</f>
        <v/>
      </c>
      <c r="V145">
        <f>HYPERLINK("https://klasma.github.io/Logging_ESKILSTUNA/klagomål/A 5581-2020.docx")</f>
        <v/>
      </c>
      <c r="W145">
        <f>HYPERLINK("https://klasma.github.io/Logging_ESKILSTUNA/klagomålsmail/A 5581-2020.docx")</f>
        <v/>
      </c>
      <c r="X145">
        <f>HYPERLINK("https://klasma.github.io/Logging_ESKILSTUNA/tillsyn/A 5581-2020.docx")</f>
        <v/>
      </c>
      <c r="Y145">
        <f>HYPERLINK("https://klasma.github.io/Logging_ESKILSTUNA/tillsynsmail/A 5581-2020.docx")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45182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  <c r="T146">
        <f>HYPERLINK("https://klasma.github.io/Logging_KATRINEHOLM/kartor/A 15474-2020.png")</f>
        <v/>
      </c>
      <c r="V146">
        <f>HYPERLINK("https://klasma.github.io/Logging_KATRINEHOLM/klagomål/A 15474-2020.docx")</f>
        <v/>
      </c>
      <c r="W146">
        <f>HYPERLINK("https://klasma.github.io/Logging_KATRINEHOLM/klagomålsmail/A 15474-2020.docx")</f>
        <v/>
      </c>
      <c r="X146">
        <f>HYPERLINK("https://klasma.github.io/Logging_KATRINEHOLM/tillsyn/A 15474-2020.docx")</f>
        <v/>
      </c>
      <c r="Y146">
        <f>HYPERLINK("https://klasma.github.io/Logging_KATRINEHOLM/tillsynsmail/A 15474-2020.docx")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45182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  <c r="T147">
        <f>HYPERLINK("https://klasma.github.io/Logging_KATRINEHOLM/kartor/A 40257-2020.png")</f>
        <v/>
      </c>
      <c r="V147">
        <f>HYPERLINK("https://klasma.github.io/Logging_KATRINEHOLM/klagomål/A 40257-2020.docx")</f>
        <v/>
      </c>
      <c r="W147">
        <f>HYPERLINK("https://klasma.github.io/Logging_KATRINEHOLM/klagomålsmail/A 40257-2020.docx")</f>
        <v/>
      </c>
      <c r="X147">
        <f>HYPERLINK("https://klasma.github.io/Logging_KATRINEHOLM/tillsyn/A 40257-2020.docx")</f>
        <v/>
      </c>
      <c r="Y147">
        <f>HYPERLINK("https://klasma.github.io/Logging_KATRINEHOLM/tillsynsmail/A 40257-2020.docx")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45182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  <c r="T148">
        <f>HYPERLINK("https://klasma.github.io/Logging_TROSA/kartor/A 40489-2020.png")</f>
        <v/>
      </c>
      <c r="V148">
        <f>HYPERLINK("https://klasma.github.io/Logging_TROSA/klagomål/A 40489-2020.docx")</f>
        <v/>
      </c>
      <c r="W148">
        <f>HYPERLINK("https://klasma.github.io/Logging_TROSA/klagomålsmail/A 40489-2020.docx")</f>
        <v/>
      </c>
      <c r="X148">
        <f>HYPERLINK("https://klasma.github.io/Logging_TROSA/tillsyn/A 40489-2020.docx")</f>
        <v/>
      </c>
      <c r="Y148">
        <f>HYPERLINK("https://klasma.github.io/Logging_TROSA/tillsynsmail/A 40489-2020.docx")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45182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  <c r="T149">
        <f>HYPERLINK("https://klasma.github.io/Logging_ESKILSTUNA/kartor/A 46353-2020.png")</f>
        <v/>
      </c>
      <c r="V149">
        <f>HYPERLINK("https://klasma.github.io/Logging_ESKILSTUNA/klagomål/A 46353-2020.docx")</f>
        <v/>
      </c>
      <c r="W149">
        <f>HYPERLINK("https://klasma.github.io/Logging_ESKILSTUNA/klagomålsmail/A 46353-2020.docx")</f>
        <v/>
      </c>
      <c r="X149">
        <f>HYPERLINK("https://klasma.github.io/Logging_ESKILSTUNA/tillsyn/A 46353-2020.docx")</f>
        <v/>
      </c>
      <c r="Y149">
        <f>HYPERLINK("https://klasma.github.io/Logging_ESKILSTUNA/tillsynsmail/A 46353-2020.docx")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45182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  <c r="T150">
        <f>HYPERLINK("https://klasma.github.io/Logging_ESKILSTUNA/kartor/A 56191-2020.png")</f>
        <v/>
      </c>
      <c r="V150">
        <f>HYPERLINK("https://klasma.github.io/Logging_ESKILSTUNA/klagomål/A 56191-2020.docx")</f>
        <v/>
      </c>
      <c r="W150">
        <f>HYPERLINK("https://klasma.github.io/Logging_ESKILSTUNA/klagomålsmail/A 56191-2020.docx")</f>
        <v/>
      </c>
      <c r="X150">
        <f>HYPERLINK("https://klasma.github.io/Logging_ESKILSTUNA/tillsyn/A 56191-2020.docx")</f>
        <v/>
      </c>
      <c r="Y150">
        <f>HYPERLINK("https://klasma.github.io/Logging_ESKILSTUNA/tillsynsmail/A 56191-2020.docx")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45182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  <c r="T151">
        <f>HYPERLINK("https://klasma.github.io/Logging_KATRINEHOLM/kartor/A 65111-2020.png")</f>
        <v/>
      </c>
      <c r="V151">
        <f>HYPERLINK("https://klasma.github.io/Logging_KATRINEHOLM/klagomål/A 65111-2020.docx")</f>
        <v/>
      </c>
      <c r="W151">
        <f>HYPERLINK("https://klasma.github.io/Logging_KATRINEHOLM/klagomålsmail/A 65111-2020.docx")</f>
        <v/>
      </c>
      <c r="X151">
        <f>HYPERLINK("https://klasma.github.io/Logging_KATRINEHOLM/tillsyn/A 65111-2020.docx")</f>
        <v/>
      </c>
      <c r="Y151">
        <f>HYPERLINK("https://klasma.github.io/Logging_KATRINEHOLM/tillsynsmail/A 65111-2020.docx")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45182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  <c r="T152">
        <f>HYPERLINK("https://klasma.github.io/Logging_NYKOPING/kartor/A 68920-2020.png")</f>
        <v/>
      </c>
      <c r="V152">
        <f>HYPERLINK("https://klasma.github.io/Logging_NYKOPING/klagomål/A 68920-2020.docx")</f>
        <v/>
      </c>
      <c r="W152">
        <f>HYPERLINK("https://klasma.github.io/Logging_NYKOPING/klagomålsmail/A 68920-2020.docx")</f>
        <v/>
      </c>
      <c r="X152">
        <f>HYPERLINK("https://klasma.github.io/Logging_NYKOPING/tillsyn/A 68920-2020.docx")</f>
        <v/>
      </c>
      <c r="Y152">
        <f>HYPERLINK("https://klasma.github.io/Logging_NYKOPING/tillsynsmail/A 68920-2020.docx")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45182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  <c r="T153">
        <f>HYPERLINK("https://klasma.github.io/Logging_NYKOPING/kartor/A 12952-2021.png")</f>
        <v/>
      </c>
      <c r="V153">
        <f>HYPERLINK("https://klasma.github.io/Logging_NYKOPING/klagomål/A 12952-2021.docx")</f>
        <v/>
      </c>
      <c r="W153">
        <f>HYPERLINK("https://klasma.github.io/Logging_NYKOPING/klagomålsmail/A 12952-2021.docx")</f>
        <v/>
      </c>
      <c r="X153">
        <f>HYPERLINK("https://klasma.github.io/Logging_NYKOPING/tillsyn/A 12952-2021.docx")</f>
        <v/>
      </c>
      <c r="Y153">
        <f>HYPERLINK("https://klasma.github.io/Logging_NYKOPING/tillsynsmail/A 12952-2021.docx")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45182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  <c r="T154">
        <f>HYPERLINK("https://klasma.github.io/Logging_NYKOPING/kartor/A 38418-2021.png")</f>
        <v/>
      </c>
      <c r="V154">
        <f>HYPERLINK("https://klasma.github.io/Logging_NYKOPING/klagomål/A 38418-2021.docx")</f>
        <v/>
      </c>
      <c r="W154">
        <f>HYPERLINK("https://klasma.github.io/Logging_NYKOPING/klagomålsmail/A 38418-2021.docx")</f>
        <v/>
      </c>
      <c r="X154">
        <f>HYPERLINK("https://klasma.github.io/Logging_NYKOPING/tillsyn/A 38418-2021.docx")</f>
        <v/>
      </c>
      <c r="Y154">
        <f>HYPERLINK("https://klasma.github.io/Logging_NYKOPING/tillsynsmail/A 38418-2021.docx")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45182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  <c r="T155">
        <f>HYPERLINK("https://klasma.github.io/Logging_FLEN/kartor/A 38882-2021.png")</f>
        <v/>
      </c>
      <c r="U155">
        <f>HYPERLINK("https://klasma.github.io/Logging_FLEN/knärot/A 38882-2021.png")</f>
        <v/>
      </c>
      <c r="V155">
        <f>HYPERLINK("https://klasma.github.io/Logging_FLEN/klagomål/A 38882-2021.docx")</f>
        <v/>
      </c>
      <c r="W155">
        <f>HYPERLINK("https://klasma.github.io/Logging_FLEN/klagomålsmail/A 38882-2021.docx")</f>
        <v/>
      </c>
      <c r="X155">
        <f>HYPERLINK("https://klasma.github.io/Logging_FLEN/tillsyn/A 38882-2021.docx")</f>
        <v/>
      </c>
      <c r="Y155">
        <f>HYPERLINK("https://klasma.github.io/Logging_FLEN/tillsynsmail/A 38882-2021.docx")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45182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  <c r="T156">
        <f>HYPERLINK("https://klasma.github.io/Logging_NYKOPING/kartor/A 51697-2021.png")</f>
        <v/>
      </c>
      <c r="V156">
        <f>HYPERLINK("https://klasma.github.io/Logging_NYKOPING/klagomål/A 51697-2021.docx")</f>
        <v/>
      </c>
      <c r="W156">
        <f>HYPERLINK("https://klasma.github.io/Logging_NYKOPING/klagomålsmail/A 51697-2021.docx")</f>
        <v/>
      </c>
      <c r="X156">
        <f>HYPERLINK("https://klasma.github.io/Logging_NYKOPING/tillsyn/A 51697-2021.docx")</f>
        <v/>
      </c>
      <c r="Y156">
        <f>HYPERLINK("https://klasma.github.io/Logging_NYKOPING/tillsynsmail/A 51697-2021.docx")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45182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  <c r="T157">
        <f>HYPERLINK("https://klasma.github.io/Logging_NYKOPING/kartor/A 51705-2021.png")</f>
        <v/>
      </c>
      <c r="V157">
        <f>HYPERLINK("https://klasma.github.io/Logging_NYKOPING/klagomål/A 51705-2021.docx")</f>
        <v/>
      </c>
      <c r="W157">
        <f>HYPERLINK("https://klasma.github.io/Logging_NYKOPING/klagomålsmail/A 51705-2021.docx")</f>
        <v/>
      </c>
      <c r="X157">
        <f>HYPERLINK("https://klasma.github.io/Logging_NYKOPING/tillsyn/A 51705-2021.docx")</f>
        <v/>
      </c>
      <c r="Y157">
        <f>HYPERLINK("https://klasma.github.io/Logging_NYKOPING/tillsynsmail/A 51705-2021.docx")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45182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  <c r="T158">
        <f>HYPERLINK("https://klasma.github.io/Logging_NYKOPING/kartor/A 54930-2021.png")</f>
        <v/>
      </c>
      <c r="U158">
        <f>HYPERLINK("https://klasma.github.io/Logging_NYKOPING/knärot/A 54930-2021.png")</f>
        <v/>
      </c>
      <c r="V158">
        <f>HYPERLINK("https://klasma.github.io/Logging_NYKOPING/klagomål/A 54930-2021.docx")</f>
        <v/>
      </c>
      <c r="W158">
        <f>HYPERLINK("https://klasma.github.io/Logging_NYKOPING/klagomålsmail/A 54930-2021.docx")</f>
        <v/>
      </c>
      <c r="X158">
        <f>HYPERLINK("https://klasma.github.io/Logging_NYKOPING/tillsyn/A 54930-2021.docx")</f>
        <v/>
      </c>
      <c r="Y158">
        <f>HYPERLINK("https://klasma.github.io/Logging_NYKOPING/tillsynsmail/A 54930-2021.docx")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45182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  <c r="T159">
        <f>HYPERLINK("https://klasma.github.io/Logging_FLEN/kartor/A 60251-2021.png")</f>
        <v/>
      </c>
      <c r="U159">
        <f>HYPERLINK("https://klasma.github.io/Logging_FLEN/knärot/A 60251-2021.png")</f>
        <v/>
      </c>
      <c r="V159">
        <f>HYPERLINK("https://klasma.github.io/Logging_FLEN/klagomål/A 60251-2021.docx")</f>
        <v/>
      </c>
      <c r="W159">
        <f>HYPERLINK("https://klasma.github.io/Logging_FLEN/klagomålsmail/A 60251-2021.docx")</f>
        <v/>
      </c>
      <c r="X159">
        <f>HYPERLINK("https://klasma.github.io/Logging_FLEN/tillsyn/A 60251-2021.docx")</f>
        <v/>
      </c>
      <c r="Y159">
        <f>HYPERLINK("https://klasma.github.io/Logging_FLEN/tillsynsmail/A 60251-2021.docx")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45182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  <c r="T160">
        <f>HYPERLINK("https://klasma.github.io/Logging_KATRINEHOLM/kartor/A 61384-2021.png")</f>
        <v/>
      </c>
      <c r="U160">
        <f>HYPERLINK("https://klasma.github.io/Logging_KATRINEHOLM/knärot/A 61384-2021.png")</f>
        <v/>
      </c>
      <c r="V160">
        <f>HYPERLINK("https://klasma.github.io/Logging_KATRINEHOLM/klagomål/A 61384-2021.docx")</f>
        <v/>
      </c>
      <c r="W160">
        <f>HYPERLINK("https://klasma.github.io/Logging_KATRINEHOLM/klagomålsmail/A 61384-2021.docx")</f>
        <v/>
      </c>
      <c r="X160">
        <f>HYPERLINK("https://klasma.github.io/Logging_KATRINEHOLM/tillsyn/A 61384-2021.docx")</f>
        <v/>
      </c>
      <c r="Y160">
        <f>HYPERLINK("https://klasma.github.io/Logging_KATRINEHOLM/tillsynsmail/A 61384-2021.docx")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45182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  <c r="T161">
        <f>HYPERLINK("https://klasma.github.io/Logging_ESKILSTUNA/kartor/A 69068-2021.png")</f>
        <v/>
      </c>
      <c r="V161">
        <f>HYPERLINK("https://klasma.github.io/Logging_ESKILSTUNA/klagomål/A 69068-2021.docx")</f>
        <v/>
      </c>
      <c r="W161">
        <f>HYPERLINK("https://klasma.github.io/Logging_ESKILSTUNA/klagomålsmail/A 69068-2021.docx")</f>
        <v/>
      </c>
      <c r="X161">
        <f>HYPERLINK("https://klasma.github.io/Logging_ESKILSTUNA/tillsyn/A 69068-2021.docx")</f>
        <v/>
      </c>
      <c r="Y161">
        <f>HYPERLINK("https://klasma.github.io/Logging_ESKILSTUNA/tillsynsmail/A 69068-2021.docx")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45182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  <c r="T162">
        <f>HYPERLINK("https://klasma.github.io/Logging_KATRINEHOLM/kartor/A 70501-2021.png")</f>
        <v/>
      </c>
      <c r="V162">
        <f>HYPERLINK("https://klasma.github.io/Logging_KATRINEHOLM/klagomål/A 70501-2021.docx")</f>
        <v/>
      </c>
      <c r="W162">
        <f>HYPERLINK("https://klasma.github.io/Logging_KATRINEHOLM/klagomålsmail/A 70501-2021.docx")</f>
        <v/>
      </c>
      <c r="X162">
        <f>HYPERLINK("https://klasma.github.io/Logging_KATRINEHOLM/tillsyn/A 70501-2021.docx")</f>
        <v/>
      </c>
      <c r="Y162">
        <f>HYPERLINK("https://klasma.github.io/Logging_KATRINEHOLM/tillsynsmail/A 70501-2021.docx")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45182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  <c r="T163">
        <f>HYPERLINK("https://klasma.github.io/Logging_ESKILSTUNA/kartor/A 71969-2021.png")</f>
        <v/>
      </c>
      <c r="V163">
        <f>HYPERLINK("https://klasma.github.io/Logging_ESKILSTUNA/klagomål/A 71969-2021.docx")</f>
        <v/>
      </c>
      <c r="W163">
        <f>HYPERLINK("https://klasma.github.io/Logging_ESKILSTUNA/klagomålsmail/A 71969-2021.docx")</f>
        <v/>
      </c>
      <c r="X163">
        <f>HYPERLINK("https://klasma.github.io/Logging_ESKILSTUNA/tillsyn/A 71969-2021.docx")</f>
        <v/>
      </c>
      <c r="Y163">
        <f>HYPERLINK("https://klasma.github.io/Logging_ESKILSTUNA/tillsynsmail/A 71969-2021.docx")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45182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  <c r="T164">
        <f>HYPERLINK("https://klasma.github.io/Logging_FLEN/kartor/A 10825-2022.png")</f>
        <v/>
      </c>
      <c r="V164">
        <f>HYPERLINK("https://klasma.github.io/Logging_FLEN/klagomål/A 10825-2022.docx")</f>
        <v/>
      </c>
      <c r="W164">
        <f>HYPERLINK("https://klasma.github.io/Logging_FLEN/klagomålsmail/A 10825-2022.docx")</f>
        <v/>
      </c>
      <c r="X164">
        <f>HYPERLINK("https://klasma.github.io/Logging_FLEN/tillsyn/A 10825-2022.docx")</f>
        <v/>
      </c>
      <c r="Y164">
        <f>HYPERLINK("https://klasma.github.io/Logging_FLEN/tillsynsmail/A 10825-2022.docx")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45182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  <c r="T165">
        <f>HYPERLINK("https://klasma.github.io/Logging_NYKOPING/kartor/A 12369-2022.png")</f>
        <v/>
      </c>
      <c r="V165">
        <f>HYPERLINK("https://klasma.github.io/Logging_NYKOPING/klagomål/A 12369-2022.docx")</f>
        <v/>
      </c>
      <c r="W165">
        <f>HYPERLINK("https://klasma.github.io/Logging_NYKOPING/klagomålsmail/A 12369-2022.docx")</f>
        <v/>
      </c>
      <c r="X165">
        <f>HYPERLINK("https://klasma.github.io/Logging_NYKOPING/tillsyn/A 12369-2022.docx")</f>
        <v/>
      </c>
      <c r="Y165">
        <f>HYPERLINK("https://klasma.github.io/Logging_NYKOPING/tillsynsmail/A 12369-2022.docx")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45182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  <c r="T166">
        <f>HYPERLINK("https://klasma.github.io/Logging_STRANGNAS/kartor/A 12671-2022.png")</f>
        <v/>
      </c>
      <c r="V166">
        <f>HYPERLINK("https://klasma.github.io/Logging_STRANGNAS/klagomål/A 12671-2022.docx")</f>
        <v/>
      </c>
      <c r="W166">
        <f>HYPERLINK("https://klasma.github.io/Logging_STRANGNAS/klagomålsmail/A 12671-2022.docx")</f>
        <v/>
      </c>
      <c r="X166">
        <f>HYPERLINK("https://klasma.github.io/Logging_STRANGNAS/tillsyn/A 12671-2022.docx")</f>
        <v/>
      </c>
      <c r="Y166">
        <f>HYPERLINK("https://klasma.github.io/Logging_STRANGNAS/tillsynsmail/A 12671-2022.docx")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45182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  <c r="T167">
        <f>HYPERLINK("https://klasma.github.io/Logging_TROSA/kartor/A 13760-2022.png")</f>
        <v/>
      </c>
      <c r="V167">
        <f>HYPERLINK("https://klasma.github.io/Logging_TROSA/klagomål/A 13760-2022.docx")</f>
        <v/>
      </c>
      <c r="W167">
        <f>HYPERLINK("https://klasma.github.io/Logging_TROSA/klagomålsmail/A 13760-2022.docx")</f>
        <v/>
      </c>
      <c r="X167">
        <f>HYPERLINK("https://klasma.github.io/Logging_TROSA/tillsyn/A 13760-2022.docx")</f>
        <v/>
      </c>
      <c r="Y167">
        <f>HYPERLINK("https://klasma.github.io/Logging_TROSA/tillsynsmail/A 13760-2022.docx")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45182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  <c r="T168">
        <f>HYPERLINK("https://klasma.github.io/Logging_ESKILSTUNA/kartor/A 22267-2022.png")</f>
        <v/>
      </c>
      <c r="V168">
        <f>HYPERLINK("https://klasma.github.io/Logging_ESKILSTUNA/klagomål/A 22267-2022.docx")</f>
        <v/>
      </c>
      <c r="W168">
        <f>HYPERLINK("https://klasma.github.io/Logging_ESKILSTUNA/klagomålsmail/A 22267-2022.docx")</f>
        <v/>
      </c>
      <c r="X168">
        <f>HYPERLINK("https://klasma.github.io/Logging_ESKILSTUNA/tillsyn/A 22267-2022.docx")</f>
        <v/>
      </c>
      <c r="Y168">
        <f>HYPERLINK("https://klasma.github.io/Logging_ESKILSTUNA/tillsynsmail/A 22267-2022.docx")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45182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  <c r="T169">
        <f>HYPERLINK("https://klasma.github.io/Logging_ESKILSTUNA/kartor/A 22265-2022.png")</f>
        <v/>
      </c>
      <c r="U169">
        <f>HYPERLINK("https://klasma.github.io/Logging_ESKILSTUNA/knärot/A 22265-2022.png")</f>
        <v/>
      </c>
      <c r="V169">
        <f>HYPERLINK("https://klasma.github.io/Logging_ESKILSTUNA/klagomål/A 22265-2022.docx")</f>
        <v/>
      </c>
      <c r="W169">
        <f>HYPERLINK("https://klasma.github.io/Logging_ESKILSTUNA/klagomålsmail/A 22265-2022.docx")</f>
        <v/>
      </c>
      <c r="X169">
        <f>HYPERLINK("https://klasma.github.io/Logging_ESKILSTUNA/tillsyn/A 22265-2022.docx")</f>
        <v/>
      </c>
      <c r="Y169">
        <f>HYPERLINK("https://klasma.github.io/Logging_ESKILSTUNA/tillsynsmail/A 22265-2022.docx")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45182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  <c r="T170">
        <f>HYPERLINK("https://klasma.github.io/Logging_FLEN/kartor/A 22743-2022.png")</f>
        <v/>
      </c>
      <c r="V170">
        <f>HYPERLINK("https://klasma.github.io/Logging_FLEN/klagomål/A 22743-2022.docx")</f>
        <v/>
      </c>
      <c r="W170">
        <f>HYPERLINK("https://klasma.github.io/Logging_FLEN/klagomålsmail/A 22743-2022.docx")</f>
        <v/>
      </c>
      <c r="X170">
        <f>HYPERLINK("https://klasma.github.io/Logging_FLEN/tillsyn/A 22743-2022.docx")</f>
        <v/>
      </c>
      <c r="Y170">
        <f>HYPERLINK("https://klasma.github.io/Logging_FLEN/tillsynsmail/A 22743-2022.docx")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45182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  <c r="T171">
        <f>HYPERLINK("https://klasma.github.io/Logging_GNESTA/kartor/A 32298-2022.png")</f>
        <v/>
      </c>
      <c r="U171">
        <f>HYPERLINK("https://klasma.github.io/Logging_GNESTA/knärot/A 32298-2022.png")</f>
        <v/>
      </c>
      <c r="V171">
        <f>HYPERLINK("https://klasma.github.io/Logging_GNESTA/klagomål/A 32298-2022.docx")</f>
        <v/>
      </c>
      <c r="W171">
        <f>HYPERLINK("https://klasma.github.io/Logging_GNESTA/klagomålsmail/A 32298-2022.docx")</f>
        <v/>
      </c>
      <c r="X171">
        <f>HYPERLINK("https://klasma.github.io/Logging_GNESTA/tillsyn/A 32298-2022.docx")</f>
        <v/>
      </c>
      <c r="Y171">
        <f>HYPERLINK("https://klasma.github.io/Logging_GNESTA/tillsynsmail/A 32298-2022.docx")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45182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  <c r="T172">
        <f>HYPERLINK("https://klasma.github.io/Logging_NYKOPING/kartor/A 34310-2022.png")</f>
        <v/>
      </c>
      <c r="V172">
        <f>HYPERLINK("https://klasma.github.io/Logging_NYKOPING/klagomål/A 34310-2022.docx")</f>
        <v/>
      </c>
      <c r="W172">
        <f>HYPERLINK("https://klasma.github.io/Logging_NYKOPING/klagomålsmail/A 34310-2022.docx")</f>
        <v/>
      </c>
      <c r="X172">
        <f>HYPERLINK("https://klasma.github.io/Logging_NYKOPING/tillsyn/A 34310-2022.docx")</f>
        <v/>
      </c>
      <c r="Y172">
        <f>HYPERLINK("https://klasma.github.io/Logging_NYKOPING/tillsynsmail/A 34310-2022.docx")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45182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  <c r="T173">
        <f>HYPERLINK("https://klasma.github.io/Logging_KATRINEHOLM/kartor/A 37537-2022.png")</f>
        <v/>
      </c>
      <c r="V173">
        <f>HYPERLINK("https://klasma.github.io/Logging_KATRINEHOLM/klagomål/A 37537-2022.docx")</f>
        <v/>
      </c>
      <c r="W173">
        <f>HYPERLINK("https://klasma.github.io/Logging_KATRINEHOLM/klagomålsmail/A 37537-2022.docx")</f>
        <v/>
      </c>
      <c r="X173">
        <f>HYPERLINK("https://klasma.github.io/Logging_KATRINEHOLM/tillsyn/A 37537-2022.docx")</f>
        <v/>
      </c>
      <c r="Y173">
        <f>HYPERLINK("https://klasma.github.io/Logging_KATRINEHOLM/tillsynsmail/A 37537-2022.docx")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45182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  <c r="T174">
        <f>HYPERLINK("https://klasma.github.io/Logging_NYKOPING/kartor/A 38203-2022.png")</f>
        <v/>
      </c>
      <c r="V174">
        <f>HYPERLINK("https://klasma.github.io/Logging_NYKOPING/klagomål/A 38203-2022.docx")</f>
        <v/>
      </c>
      <c r="W174">
        <f>HYPERLINK("https://klasma.github.io/Logging_NYKOPING/klagomålsmail/A 38203-2022.docx")</f>
        <v/>
      </c>
      <c r="X174">
        <f>HYPERLINK("https://klasma.github.io/Logging_NYKOPING/tillsyn/A 38203-2022.docx")</f>
        <v/>
      </c>
      <c r="Y174">
        <f>HYPERLINK("https://klasma.github.io/Logging_NYKOPING/tillsynsmail/A 38203-2022.docx")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45182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  <c r="T175">
        <f>HYPERLINK("https://klasma.github.io/Logging_FLEN/kartor/A 39885-2022.png")</f>
        <v/>
      </c>
      <c r="V175">
        <f>HYPERLINK("https://klasma.github.io/Logging_FLEN/klagomål/A 39885-2022.docx")</f>
        <v/>
      </c>
      <c r="W175">
        <f>HYPERLINK("https://klasma.github.io/Logging_FLEN/klagomålsmail/A 39885-2022.docx")</f>
        <v/>
      </c>
      <c r="X175">
        <f>HYPERLINK("https://klasma.github.io/Logging_FLEN/tillsyn/A 39885-2022.docx")</f>
        <v/>
      </c>
      <c r="Y175">
        <f>HYPERLINK("https://klasma.github.io/Logging_FLEN/tillsynsmail/A 39885-2022.docx")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45182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  <c r="T176">
        <f>HYPERLINK("https://klasma.github.io/Logging_STRANGNAS/kartor/A 44717-2022.png")</f>
        <v/>
      </c>
      <c r="V176">
        <f>HYPERLINK("https://klasma.github.io/Logging_STRANGNAS/klagomål/A 44717-2022.docx")</f>
        <v/>
      </c>
      <c r="W176">
        <f>HYPERLINK("https://klasma.github.io/Logging_STRANGNAS/klagomålsmail/A 44717-2022.docx")</f>
        <v/>
      </c>
      <c r="X176">
        <f>HYPERLINK("https://klasma.github.io/Logging_STRANGNAS/tillsyn/A 44717-2022.docx")</f>
        <v/>
      </c>
      <c r="Y176">
        <f>HYPERLINK("https://klasma.github.io/Logging_STRANGNAS/tillsynsmail/A 44717-2022.docx")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45182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  <c r="T177">
        <f>HYPERLINK("https://klasma.github.io/Logging_FLEN/kartor/A 50215-2022.png")</f>
        <v/>
      </c>
      <c r="U177">
        <f>HYPERLINK("https://klasma.github.io/Logging_FLEN/knärot/A 50215-2022.png")</f>
        <v/>
      </c>
      <c r="V177">
        <f>HYPERLINK("https://klasma.github.io/Logging_FLEN/klagomål/A 50215-2022.docx")</f>
        <v/>
      </c>
      <c r="W177">
        <f>HYPERLINK("https://klasma.github.io/Logging_FLEN/klagomålsmail/A 50215-2022.docx")</f>
        <v/>
      </c>
      <c r="X177">
        <f>HYPERLINK("https://klasma.github.io/Logging_FLEN/tillsyn/A 50215-2022.docx")</f>
        <v/>
      </c>
      <c r="Y177">
        <f>HYPERLINK("https://klasma.github.io/Logging_FLEN/tillsynsmail/A 50215-2022.docx")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45182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  <c r="T178">
        <f>HYPERLINK("https://klasma.github.io/Logging_NYKOPING/kartor/A 52792-2022.png")</f>
        <v/>
      </c>
      <c r="V178">
        <f>HYPERLINK("https://klasma.github.io/Logging_NYKOPING/klagomål/A 52792-2022.docx")</f>
        <v/>
      </c>
      <c r="W178">
        <f>HYPERLINK("https://klasma.github.io/Logging_NYKOPING/klagomålsmail/A 52792-2022.docx")</f>
        <v/>
      </c>
      <c r="X178">
        <f>HYPERLINK("https://klasma.github.io/Logging_NYKOPING/tillsyn/A 52792-2022.docx")</f>
        <v/>
      </c>
      <c r="Y178">
        <f>HYPERLINK("https://klasma.github.io/Logging_NYKOPING/tillsynsmail/A 52792-2022.docx")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45182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  <c r="T179">
        <f>HYPERLINK("https://klasma.github.io/Logging_ESKILSTUNA/kartor/A 571-2023.png")</f>
        <v/>
      </c>
      <c r="V179">
        <f>HYPERLINK("https://klasma.github.io/Logging_ESKILSTUNA/klagomål/A 571-2023.docx")</f>
        <v/>
      </c>
      <c r="W179">
        <f>HYPERLINK("https://klasma.github.io/Logging_ESKILSTUNA/klagomålsmail/A 571-2023.docx")</f>
        <v/>
      </c>
      <c r="X179">
        <f>HYPERLINK("https://klasma.github.io/Logging_ESKILSTUNA/tillsyn/A 571-2023.docx")</f>
        <v/>
      </c>
      <c r="Y179">
        <f>HYPERLINK("https://klasma.github.io/Logging_ESKILSTUNA/tillsynsmail/A 571-2023.docx")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45182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  <c r="T180">
        <f>HYPERLINK("https://klasma.github.io/Logging_NYKOPING/kartor/A 853-2023.png")</f>
        <v/>
      </c>
      <c r="V180">
        <f>HYPERLINK("https://klasma.github.io/Logging_NYKOPING/klagomål/A 853-2023.docx")</f>
        <v/>
      </c>
      <c r="W180">
        <f>HYPERLINK("https://klasma.github.io/Logging_NYKOPING/klagomålsmail/A 853-2023.docx")</f>
        <v/>
      </c>
      <c r="X180">
        <f>HYPERLINK("https://klasma.github.io/Logging_NYKOPING/tillsyn/A 853-2023.docx")</f>
        <v/>
      </c>
      <c r="Y180">
        <f>HYPERLINK("https://klasma.github.io/Logging_NYKOPING/tillsynsmail/A 853-2023.docx")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45182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  <c r="T181">
        <f>HYPERLINK("https://klasma.github.io/Logging_KATRINEHOLM/kartor/A 1270-2023.png")</f>
        <v/>
      </c>
      <c r="V181">
        <f>HYPERLINK("https://klasma.github.io/Logging_KATRINEHOLM/klagomål/A 1270-2023.docx")</f>
        <v/>
      </c>
      <c r="W181">
        <f>HYPERLINK("https://klasma.github.io/Logging_KATRINEHOLM/klagomålsmail/A 1270-2023.docx")</f>
        <v/>
      </c>
      <c r="X181">
        <f>HYPERLINK("https://klasma.github.io/Logging_KATRINEHOLM/tillsyn/A 1270-2023.docx")</f>
        <v/>
      </c>
      <c r="Y181">
        <f>HYPERLINK("https://klasma.github.io/Logging_KATRINEHOLM/tillsynsmail/A 1270-2023.docx")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45182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  <c r="T182">
        <f>HYPERLINK("https://klasma.github.io/Logging_NYKOPING/kartor/A 3070-2023.png")</f>
        <v/>
      </c>
      <c r="V182">
        <f>HYPERLINK("https://klasma.github.io/Logging_NYKOPING/klagomål/A 3070-2023.docx")</f>
        <v/>
      </c>
      <c r="W182">
        <f>HYPERLINK("https://klasma.github.io/Logging_NYKOPING/klagomålsmail/A 3070-2023.docx")</f>
        <v/>
      </c>
      <c r="X182">
        <f>HYPERLINK("https://klasma.github.io/Logging_NYKOPING/tillsyn/A 3070-2023.docx")</f>
        <v/>
      </c>
      <c r="Y182">
        <f>HYPERLINK("https://klasma.github.io/Logging_NYKOPING/tillsynsmail/A 3070-2023.docx")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45182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  <c r="T183">
        <f>HYPERLINK("https://klasma.github.io/Logging_FLEN/kartor/A 11103-2023.png")</f>
        <v/>
      </c>
      <c r="V183">
        <f>HYPERLINK("https://klasma.github.io/Logging_FLEN/klagomål/A 11103-2023.docx")</f>
        <v/>
      </c>
      <c r="W183">
        <f>HYPERLINK("https://klasma.github.io/Logging_FLEN/klagomålsmail/A 11103-2023.docx")</f>
        <v/>
      </c>
      <c r="X183">
        <f>HYPERLINK("https://klasma.github.io/Logging_FLEN/tillsyn/A 11103-2023.docx")</f>
        <v/>
      </c>
      <c r="Y183">
        <f>HYPERLINK("https://klasma.github.io/Logging_FLEN/tillsynsmail/A 11103-2023.docx")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45182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  <c r="T184">
        <f>HYPERLINK("https://klasma.github.io/Logging_FLEN/kartor/A 34785-2023.png")</f>
        <v/>
      </c>
      <c r="V184">
        <f>HYPERLINK("https://klasma.github.io/Logging_FLEN/klagomål/A 34785-2023.docx")</f>
        <v/>
      </c>
      <c r="W184">
        <f>HYPERLINK("https://klasma.github.io/Logging_FLEN/klagomålsmail/A 34785-2023.docx")</f>
        <v/>
      </c>
      <c r="X184">
        <f>HYPERLINK("https://klasma.github.io/Logging_FLEN/tillsyn/A 34785-2023.docx")</f>
        <v/>
      </c>
      <c r="Y184">
        <f>HYPERLINK("https://klasma.github.io/Logging_FLEN/tillsynsmail/A 34785-2023.docx")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45182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  <c r="T185">
        <f>HYPERLINK("https://klasma.github.io/Logging_KATRINEHOLM/kartor/A 37383-2023.png")</f>
        <v/>
      </c>
      <c r="V185">
        <f>HYPERLINK("https://klasma.github.io/Logging_KATRINEHOLM/klagomål/A 37383-2023.docx")</f>
        <v/>
      </c>
      <c r="W185">
        <f>HYPERLINK("https://klasma.github.io/Logging_KATRINEHOLM/klagomålsmail/A 37383-2023.docx")</f>
        <v/>
      </c>
      <c r="X185">
        <f>HYPERLINK("https://klasma.github.io/Logging_KATRINEHOLM/tillsyn/A 37383-2023.docx")</f>
        <v/>
      </c>
      <c r="Y185">
        <f>HYPERLINK("https://klasma.github.io/Logging_KATRINEHOLM/tillsynsmail/A 37383-2023.docx")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45182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  <c r="T186">
        <f>HYPERLINK("https://klasma.github.io/Logging_KATRINEHOLM/kartor/A 39893-2023.png")</f>
        <v/>
      </c>
      <c r="V186">
        <f>HYPERLINK("https://klasma.github.io/Logging_KATRINEHOLM/klagomål/A 39893-2023.docx")</f>
        <v/>
      </c>
      <c r="W186">
        <f>HYPERLINK("https://klasma.github.io/Logging_KATRINEHOLM/klagomålsmail/A 39893-2023.docx")</f>
        <v/>
      </c>
      <c r="X186">
        <f>HYPERLINK("https://klasma.github.io/Logging_KATRINEHOLM/tillsyn/A 39893-2023.docx")</f>
        <v/>
      </c>
      <c r="Y186">
        <f>HYPERLINK("https://klasma.github.io/Logging_KATRINEHOLM/tillsynsmail/A 39893-2023.docx")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45182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  <c r="T187">
        <f>HYPERLINK("https://klasma.github.io/Logging_GNESTA/kartor/A 36567-2018.png")</f>
        <v/>
      </c>
      <c r="V187">
        <f>HYPERLINK("https://klasma.github.io/Logging_GNESTA/klagomål/A 36567-2018.docx")</f>
        <v/>
      </c>
      <c r="W187">
        <f>HYPERLINK("https://klasma.github.io/Logging_GNESTA/klagomålsmail/A 36567-2018.docx")</f>
        <v/>
      </c>
      <c r="X187">
        <f>HYPERLINK("https://klasma.github.io/Logging_GNESTA/tillsyn/A 36567-2018.docx")</f>
        <v/>
      </c>
      <c r="Y187">
        <f>HYPERLINK("https://klasma.github.io/Logging_GNESTA/tillsynsmail/A 36567-2018.docx")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45182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  <c r="T188">
        <f>HYPERLINK("https://klasma.github.io/Logging_FLEN/kartor/A 45505-2018.png")</f>
        <v/>
      </c>
      <c r="V188">
        <f>HYPERLINK("https://klasma.github.io/Logging_FLEN/klagomål/A 45505-2018.docx")</f>
        <v/>
      </c>
      <c r="W188">
        <f>HYPERLINK("https://klasma.github.io/Logging_FLEN/klagomålsmail/A 45505-2018.docx")</f>
        <v/>
      </c>
      <c r="X188">
        <f>HYPERLINK("https://klasma.github.io/Logging_FLEN/tillsyn/A 45505-2018.docx")</f>
        <v/>
      </c>
      <c r="Y188">
        <f>HYPERLINK("https://klasma.github.io/Logging_FLEN/tillsynsmail/A 45505-2018.docx")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45182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  <c r="T189">
        <f>HYPERLINK("https://klasma.github.io/Logging_NYKOPING/kartor/A 48223-2018.png")</f>
        <v/>
      </c>
      <c r="V189">
        <f>HYPERLINK("https://klasma.github.io/Logging_NYKOPING/klagomål/A 48223-2018.docx")</f>
        <v/>
      </c>
      <c r="W189">
        <f>HYPERLINK("https://klasma.github.io/Logging_NYKOPING/klagomålsmail/A 48223-2018.docx")</f>
        <v/>
      </c>
      <c r="X189">
        <f>HYPERLINK("https://klasma.github.io/Logging_NYKOPING/tillsyn/A 48223-2018.docx")</f>
        <v/>
      </c>
      <c r="Y189">
        <f>HYPERLINK("https://klasma.github.io/Logging_NYKOPING/tillsynsmail/A 48223-2018.docx")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45182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58767-2018.xlsx")</f>
        <v/>
      </c>
      <c r="T190">
        <f>HYPERLINK("https://klasma.github.io/Logging_NYKOPING/kartor/A 58767-2018.png")</f>
        <v/>
      </c>
      <c r="V190">
        <f>HYPERLINK("https://klasma.github.io/Logging_NYKOPING/klagomål/A 58767-2018.docx")</f>
        <v/>
      </c>
      <c r="W190">
        <f>HYPERLINK("https://klasma.github.io/Logging_NYKOPING/klagomålsmail/A 58767-2018.docx")</f>
        <v/>
      </c>
      <c r="X190">
        <f>HYPERLINK("https://klasma.github.io/Logging_NYKOPING/tillsyn/A 58767-2018.docx")</f>
        <v/>
      </c>
      <c r="Y190">
        <f>HYPERLINK("https://klasma.github.io/Logging_NYKOPING/tillsynsmail/A 58767-2018.docx")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45182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67790-2018.xlsx")</f>
        <v/>
      </c>
      <c r="T191">
        <f>HYPERLINK("https://klasma.github.io/Logging_NYKOPING/kartor/A 67790-2018.png")</f>
        <v/>
      </c>
      <c r="V191">
        <f>HYPERLINK("https://klasma.github.io/Logging_NYKOPING/klagomål/A 67790-2018.docx")</f>
        <v/>
      </c>
      <c r="W191">
        <f>HYPERLINK("https://klasma.github.io/Logging_NYKOPING/klagomålsmail/A 67790-2018.docx")</f>
        <v/>
      </c>
      <c r="X191">
        <f>HYPERLINK("https://klasma.github.io/Logging_NYKOPING/tillsyn/A 67790-2018.docx")</f>
        <v/>
      </c>
      <c r="Y191">
        <f>HYPERLINK("https://klasma.github.io/Logging_NYKOPING/tillsynsmail/A 67790-2018.docx")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45182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68180-2018.xlsx")</f>
        <v/>
      </c>
      <c r="T192">
        <f>HYPERLINK("https://klasma.github.io/Logging_NYKOPING/kartor/A 68180-2018.png")</f>
        <v/>
      </c>
      <c r="V192">
        <f>HYPERLINK("https://klasma.github.io/Logging_NYKOPING/klagomål/A 68180-2018.docx")</f>
        <v/>
      </c>
      <c r="W192">
        <f>HYPERLINK("https://klasma.github.io/Logging_NYKOPING/klagomålsmail/A 68180-2018.docx")</f>
        <v/>
      </c>
      <c r="X192">
        <f>HYPERLINK("https://klasma.github.io/Logging_NYKOPING/tillsyn/A 68180-2018.docx")</f>
        <v/>
      </c>
      <c r="Y192">
        <f>HYPERLINK("https://klasma.github.io/Logging_NYKOPING/tillsynsmail/A 68180-2018.docx")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45182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2055-2019.xlsx")</f>
        <v/>
      </c>
      <c r="T193">
        <f>HYPERLINK("https://klasma.github.io/Logging_VINGAKER/kartor/A 2055-2019.png")</f>
        <v/>
      </c>
      <c r="V193">
        <f>HYPERLINK("https://klasma.github.io/Logging_VINGAKER/klagomål/A 2055-2019.docx")</f>
        <v/>
      </c>
      <c r="W193">
        <f>HYPERLINK("https://klasma.github.io/Logging_VINGAKER/klagomålsmail/A 2055-2019.docx")</f>
        <v/>
      </c>
      <c r="X193">
        <f>HYPERLINK("https://klasma.github.io/Logging_VINGAKER/tillsyn/A 2055-2019.docx")</f>
        <v/>
      </c>
      <c r="Y193">
        <f>HYPERLINK("https://klasma.github.io/Logging_VINGAKER/tillsynsmail/A 2055-2019.docx")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45182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3499-2019.xlsx")</f>
        <v/>
      </c>
      <c r="T194">
        <f>HYPERLINK("https://klasma.github.io/Logging_KATRINEHOLM/kartor/A 3499-2019.png")</f>
        <v/>
      </c>
      <c r="V194">
        <f>HYPERLINK("https://klasma.github.io/Logging_KATRINEHOLM/klagomål/A 3499-2019.docx")</f>
        <v/>
      </c>
      <c r="W194">
        <f>HYPERLINK("https://klasma.github.io/Logging_KATRINEHOLM/klagomålsmail/A 3499-2019.docx")</f>
        <v/>
      </c>
      <c r="X194">
        <f>HYPERLINK("https://klasma.github.io/Logging_KATRINEHOLM/tillsyn/A 3499-2019.docx")</f>
        <v/>
      </c>
      <c r="Y194">
        <f>HYPERLINK("https://klasma.github.io/Logging_KATRINEHOLM/tillsynsmail/A 3499-2019.docx")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45182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8638-2019.xlsx")</f>
        <v/>
      </c>
      <c r="T195">
        <f>HYPERLINK("https://klasma.github.io/Logging_STRANGNAS/kartor/A 8638-2019.png")</f>
        <v/>
      </c>
      <c r="V195">
        <f>HYPERLINK("https://klasma.github.io/Logging_STRANGNAS/klagomål/A 8638-2019.docx")</f>
        <v/>
      </c>
      <c r="W195">
        <f>HYPERLINK("https://klasma.github.io/Logging_STRANGNAS/klagomålsmail/A 8638-2019.docx")</f>
        <v/>
      </c>
      <c r="X195">
        <f>HYPERLINK("https://klasma.github.io/Logging_STRANGNAS/tillsyn/A 8638-2019.docx")</f>
        <v/>
      </c>
      <c r="Y195">
        <f>HYPERLINK("https://klasma.github.io/Logging_STRANGNAS/tillsynsmail/A 8638-2019.docx")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45182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9360-2019.xlsx")</f>
        <v/>
      </c>
      <c r="T196">
        <f>HYPERLINK("https://klasma.github.io/Logging_ESKILSTUNA/kartor/A 9360-2019.png")</f>
        <v/>
      </c>
      <c r="V196">
        <f>HYPERLINK("https://klasma.github.io/Logging_ESKILSTUNA/klagomål/A 9360-2019.docx")</f>
        <v/>
      </c>
      <c r="W196">
        <f>HYPERLINK("https://klasma.github.io/Logging_ESKILSTUNA/klagomålsmail/A 9360-2019.docx")</f>
        <v/>
      </c>
      <c r="X196">
        <f>HYPERLINK("https://klasma.github.io/Logging_ESKILSTUNA/tillsyn/A 9360-2019.docx")</f>
        <v/>
      </c>
      <c r="Y196">
        <f>HYPERLINK("https://klasma.github.io/Logging_ESKILSTUNA/tillsynsmail/A 9360-2019.docx")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45182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9659-2019.xlsx")</f>
        <v/>
      </c>
      <c r="T197">
        <f>HYPERLINK("https://klasma.github.io/Logging_NYKOPING/kartor/A 9659-2019.png")</f>
        <v/>
      </c>
      <c r="V197">
        <f>HYPERLINK("https://klasma.github.io/Logging_NYKOPING/klagomål/A 9659-2019.docx")</f>
        <v/>
      </c>
      <c r="W197">
        <f>HYPERLINK("https://klasma.github.io/Logging_NYKOPING/klagomålsmail/A 9659-2019.docx")</f>
        <v/>
      </c>
      <c r="X197">
        <f>HYPERLINK("https://klasma.github.io/Logging_NYKOPING/tillsyn/A 9659-2019.docx")</f>
        <v/>
      </c>
      <c r="Y197">
        <f>HYPERLINK("https://klasma.github.io/Logging_NYKOPING/tillsynsmail/A 9659-2019.docx")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45182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13821-2019.xlsx")</f>
        <v/>
      </c>
      <c r="T198">
        <f>HYPERLINK("https://klasma.github.io/Logging_NYKOPING/kartor/A 13821-2019.png")</f>
        <v/>
      </c>
      <c r="V198">
        <f>HYPERLINK("https://klasma.github.io/Logging_NYKOPING/klagomål/A 13821-2019.docx")</f>
        <v/>
      </c>
      <c r="W198">
        <f>HYPERLINK("https://klasma.github.io/Logging_NYKOPING/klagomålsmail/A 13821-2019.docx")</f>
        <v/>
      </c>
      <c r="X198">
        <f>HYPERLINK("https://klasma.github.io/Logging_NYKOPING/tillsyn/A 13821-2019.docx")</f>
        <v/>
      </c>
      <c r="Y198">
        <f>HYPERLINK("https://klasma.github.io/Logging_NYKOPING/tillsynsmail/A 13821-2019.docx")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45182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18548-2019.xlsx")</f>
        <v/>
      </c>
      <c r="T199">
        <f>HYPERLINK("https://klasma.github.io/Logging_FLEN/kartor/A 18548-2019.png")</f>
        <v/>
      </c>
      <c r="V199">
        <f>HYPERLINK("https://klasma.github.io/Logging_FLEN/klagomål/A 18548-2019.docx")</f>
        <v/>
      </c>
      <c r="W199">
        <f>HYPERLINK("https://klasma.github.io/Logging_FLEN/klagomålsmail/A 18548-2019.docx")</f>
        <v/>
      </c>
      <c r="X199">
        <f>HYPERLINK("https://klasma.github.io/Logging_FLEN/tillsyn/A 18548-2019.docx")</f>
        <v/>
      </c>
      <c r="Y199">
        <f>HYPERLINK("https://klasma.github.io/Logging_FLEN/tillsynsmail/A 18548-2019.docx")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45182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21540-2019.xlsx")</f>
        <v/>
      </c>
      <c r="T200">
        <f>HYPERLINK("https://klasma.github.io/Logging_KATRINEHOLM/kartor/A 21540-2019.png")</f>
        <v/>
      </c>
      <c r="V200">
        <f>HYPERLINK("https://klasma.github.io/Logging_KATRINEHOLM/klagomål/A 21540-2019.docx")</f>
        <v/>
      </c>
      <c r="W200">
        <f>HYPERLINK("https://klasma.github.io/Logging_KATRINEHOLM/klagomålsmail/A 21540-2019.docx")</f>
        <v/>
      </c>
      <c r="X200">
        <f>HYPERLINK("https://klasma.github.io/Logging_KATRINEHOLM/tillsyn/A 21540-2019.docx")</f>
        <v/>
      </c>
      <c r="Y200">
        <f>HYPERLINK("https://klasma.github.io/Logging_KATRINEHOLM/tillsynsmail/A 21540-2019.docx")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45182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23204-2019.xlsx")</f>
        <v/>
      </c>
      <c r="T201">
        <f>HYPERLINK("https://klasma.github.io/Logging_ESKILSTUNA/kartor/A 23204-2019.png")</f>
        <v/>
      </c>
      <c r="V201">
        <f>HYPERLINK("https://klasma.github.io/Logging_ESKILSTUNA/klagomål/A 23204-2019.docx")</f>
        <v/>
      </c>
      <c r="W201">
        <f>HYPERLINK("https://klasma.github.io/Logging_ESKILSTUNA/klagomålsmail/A 23204-2019.docx")</f>
        <v/>
      </c>
      <c r="X201">
        <f>HYPERLINK("https://klasma.github.io/Logging_ESKILSTUNA/tillsyn/A 23204-2019.docx")</f>
        <v/>
      </c>
      <c r="Y201">
        <f>HYPERLINK("https://klasma.github.io/Logging_ESKILSTUNA/tillsynsmail/A 23204-2019.docx")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45182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23556-2019.xlsx")</f>
        <v/>
      </c>
      <c r="T202">
        <f>HYPERLINK("https://klasma.github.io/Logging_NYKOPING/kartor/A 23556-2019.png")</f>
        <v/>
      </c>
      <c r="V202">
        <f>HYPERLINK("https://klasma.github.io/Logging_NYKOPING/klagomål/A 23556-2019.docx")</f>
        <v/>
      </c>
      <c r="W202">
        <f>HYPERLINK("https://klasma.github.io/Logging_NYKOPING/klagomålsmail/A 23556-2019.docx")</f>
        <v/>
      </c>
      <c r="X202">
        <f>HYPERLINK("https://klasma.github.io/Logging_NYKOPING/tillsyn/A 23556-2019.docx")</f>
        <v/>
      </c>
      <c r="Y202">
        <f>HYPERLINK("https://klasma.github.io/Logging_NYKOPING/tillsynsmail/A 23556-2019.docx")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45182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28647-2019.xlsx")</f>
        <v/>
      </c>
      <c r="T203">
        <f>HYPERLINK("https://klasma.github.io/Logging_NYKOPING/kartor/A 28647-2019.png")</f>
        <v/>
      </c>
      <c r="V203">
        <f>HYPERLINK("https://klasma.github.io/Logging_NYKOPING/klagomål/A 28647-2019.docx")</f>
        <v/>
      </c>
      <c r="W203">
        <f>HYPERLINK("https://klasma.github.io/Logging_NYKOPING/klagomålsmail/A 28647-2019.docx")</f>
        <v/>
      </c>
      <c r="X203">
        <f>HYPERLINK("https://klasma.github.io/Logging_NYKOPING/tillsyn/A 28647-2019.docx")</f>
        <v/>
      </c>
      <c r="Y203">
        <f>HYPERLINK("https://klasma.github.io/Logging_NYKOPING/tillsynsmail/A 28647-2019.docx")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45182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28403-2019.xlsx")</f>
        <v/>
      </c>
      <c r="T204">
        <f>HYPERLINK("https://klasma.github.io/Logging_NYKOPING/kartor/A 28403-2019.png")</f>
        <v/>
      </c>
      <c r="V204">
        <f>HYPERLINK("https://klasma.github.io/Logging_NYKOPING/klagomål/A 28403-2019.docx")</f>
        <v/>
      </c>
      <c r="W204">
        <f>HYPERLINK("https://klasma.github.io/Logging_NYKOPING/klagomålsmail/A 28403-2019.docx")</f>
        <v/>
      </c>
      <c r="X204">
        <f>HYPERLINK("https://klasma.github.io/Logging_NYKOPING/tillsyn/A 28403-2019.docx")</f>
        <v/>
      </c>
      <c r="Y204">
        <f>HYPERLINK("https://klasma.github.io/Logging_NYKOPING/tillsynsmail/A 28403-2019.docx")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45182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29459-2019.xlsx")</f>
        <v/>
      </c>
      <c r="T205">
        <f>HYPERLINK("https://klasma.github.io/Logging_ESKILSTUNA/kartor/A 29459-2019.png")</f>
        <v/>
      </c>
      <c r="U205">
        <f>HYPERLINK("https://klasma.github.io/Logging_ESKILSTUNA/knärot/A 29459-2019.png")</f>
        <v/>
      </c>
      <c r="V205">
        <f>HYPERLINK("https://klasma.github.io/Logging_ESKILSTUNA/klagomål/A 29459-2019.docx")</f>
        <v/>
      </c>
      <c r="W205">
        <f>HYPERLINK("https://klasma.github.io/Logging_ESKILSTUNA/klagomålsmail/A 29459-2019.docx")</f>
        <v/>
      </c>
      <c r="X205">
        <f>HYPERLINK("https://klasma.github.io/Logging_ESKILSTUNA/tillsyn/A 29459-2019.docx")</f>
        <v/>
      </c>
      <c r="Y205">
        <f>HYPERLINK("https://klasma.github.io/Logging_ESKILSTUNA/tillsynsmail/A 29459-2019.docx")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45182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30159-2019.xlsx")</f>
        <v/>
      </c>
      <c r="T206">
        <f>HYPERLINK("https://klasma.github.io/Logging_NYKOPING/kartor/A 30159-2019.png")</f>
        <v/>
      </c>
      <c r="V206">
        <f>HYPERLINK("https://klasma.github.io/Logging_NYKOPING/klagomål/A 30159-2019.docx")</f>
        <v/>
      </c>
      <c r="W206">
        <f>HYPERLINK("https://klasma.github.io/Logging_NYKOPING/klagomålsmail/A 30159-2019.docx")</f>
        <v/>
      </c>
      <c r="X206">
        <f>HYPERLINK("https://klasma.github.io/Logging_NYKOPING/tillsyn/A 30159-2019.docx")</f>
        <v/>
      </c>
      <c r="Y206">
        <f>HYPERLINK("https://klasma.github.io/Logging_NYKOPING/tillsynsmail/A 30159-2019.docx")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45182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33322-2019.xlsx")</f>
        <v/>
      </c>
      <c r="T207">
        <f>HYPERLINK("https://klasma.github.io/Logging_NYKOPING/kartor/A 33322-2019.png")</f>
        <v/>
      </c>
      <c r="V207">
        <f>HYPERLINK("https://klasma.github.io/Logging_NYKOPING/klagomål/A 33322-2019.docx")</f>
        <v/>
      </c>
      <c r="W207">
        <f>HYPERLINK("https://klasma.github.io/Logging_NYKOPING/klagomålsmail/A 33322-2019.docx")</f>
        <v/>
      </c>
      <c r="X207">
        <f>HYPERLINK("https://klasma.github.io/Logging_NYKOPING/tillsyn/A 33322-2019.docx")</f>
        <v/>
      </c>
      <c r="Y207">
        <f>HYPERLINK("https://klasma.github.io/Logging_NYKOPING/tillsynsmail/A 33322-2019.docx")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45182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35997-2019.xlsx")</f>
        <v/>
      </c>
      <c r="T208">
        <f>HYPERLINK("https://klasma.github.io/Logging_VINGAKER/kartor/A 35997-2019.png")</f>
        <v/>
      </c>
      <c r="V208">
        <f>HYPERLINK("https://klasma.github.io/Logging_VINGAKER/klagomål/A 35997-2019.docx")</f>
        <v/>
      </c>
      <c r="W208">
        <f>HYPERLINK("https://klasma.github.io/Logging_VINGAKER/klagomålsmail/A 35997-2019.docx")</f>
        <v/>
      </c>
      <c r="X208">
        <f>HYPERLINK("https://klasma.github.io/Logging_VINGAKER/tillsyn/A 35997-2019.docx")</f>
        <v/>
      </c>
      <c r="Y208">
        <f>HYPERLINK("https://klasma.github.io/Logging_VINGAKER/tillsynsmail/A 35997-2019.docx")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45182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35023-2019.xlsx")</f>
        <v/>
      </c>
      <c r="T209">
        <f>HYPERLINK("https://klasma.github.io/Logging_FLEN/kartor/A 35023-2019.png")</f>
        <v/>
      </c>
      <c r="V209">
        <f>HYPERLINK("https://klasma.github.io/Logging_FLEN/klagomål/A 35023-2019.docx")</f>
        <v/>
      </c>
      <c r="W209">
        <f>HYPERLINK("https://klasma.github.io/Logging_FLEN/klagomålsmail/A 35023-2019.docx")</f>
        <v/>
      </c>
      <c r="X209">
        <f>HYPERLINK("https://klasma.github.io/Logging_FLEN/tillsyn/A 35023-2019.docx")</f>
        <v/>
      </c>
      <c r="Y209">
        <f>HYPERLINK("https://klasma.github.io/Logging_FLEN/tillsynsmail/A 35023-2019.docx")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45182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35143-2019.xlsx")</f>
        <v/>
      </c>
      <c r="T210">
        <f>HYPERLINK("https://klasma.github.io/Logging_NYKOPING/kartor/A 35143-2019.png")</f>
        <v/>
      </c>
      <c r="V210">
        <f>HYPERLINK("https://klasma.github.io/Logging_NYKOPING/klagomål/A 35143-2019.docx")</f>
        <v/>
      </c>
      <c r="W210">
        <f>HYPERLINK("https://klasma.github.io/Logging_NYKOPING/klagomålsmail/A 35143-2019.docx")</f>
        <v/>
      </c>
      <c r="X210">
        <f>HYPERLINK("https://klasma.github.io/Logging_NYKOPING/tillsyn/A 35143-2019.docx")</f>
        <v/>
      </c>
      <c r="Y210">
        <f>HYPERLINK("https://klasma.github.io/Logging_NYKOPING/tillsynsmail/A 35143-2019.docx")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45182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39446-2019.xlsx")</f>
        <v/>
      </c>
      <c r="T211">
        <f>HYPERLINK("https://klasma.github.io/Logging_FLEN/kartor/A 39446-2019.png")</f>
        <v/>
      </c>
      <c r="V211">
        <f>HYPERLINK("https://klasma.github.io/Logging_FLEN/klagomål/A 39446-2019.docx")</f>
        <v/>
      </c>
      <c r="W211">
        <f>HYPERLINK("https://klasma.github.io/Logging_FLEN/klagomålsmail/A 39446-2019.docx")</f>
        <v/>
      </c>
      <c r="X211">
        <f>HYPERLINK("https://klasma.github.io/Logging_FLEN/tillsyn/A 39446-2019.docx")</f>
        <v/>
      </c>
      <c r="Y211">
        <f>HYPERLINK("https://klasma.github.io/Logging_FLEN/tillsynsmail/A 39446-2019.docx")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45182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39788-2019.xlsx")</f>
        <v/>
      </c>
      <c r="T212">
        <f>HYPERLINK("https://klasma.github.io/Logging_VINGAKER/kartor/A 39788-2019.png")</f>
        <v/>
      </c>
      <c r="V212">
        <f>HYPERLINK("https://klasma.github.io/Logging_VINGAKER/klagomål/A 39788-2019.docx")</f>
        <v/>
      </c>
      <c r="W212">
        <f>HYPERLINK("https://klasma.github.io/Logging_VINGAKER/klagomålsmail/A 39788-2019.docx")</f>
        <v/>
      </c>
      <c r="X212">
        <f>HYPERLINK("https://klasma.github.io/Logging_VINGAKER/tillsyn/A 39788-2019.docx")</f>
        <v/>
      </c>
      <c r="Y212">
        <f>HYPERLINK("https://klasma.github.io/Logging_VINGAKER/tillsynsmail/A 39788-2019.docx")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45182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43369-2019.xlsx")</f>
        <v/>
      </c>
      <c r="T213">
        <f>HYPERLINK("https://klasma.github.io/Logging_FLEN/kartor/A 43369-2019.png")</f>
        <v/>
      </c>
      <c r="V213">
        <f>HYPERLINK("https://klasma.github.io/Logging_FLEN/klagomål/A 43369-2019.docx")</f>
        <v/>
      </c>
      <c r="W213">
        <f>HYPERLINK("https://klasma.github.io/Logging_FLEN/klagomålsmail/A 43369-2019.docx")</f>
        <v/>
      </c>
      <c r="X213">
        <f>HYPERLINK("https://klasma.github.io/Logging_FLEN/tillsyn/A 43369-2019.docx")</f>
        <v/>
      </c>
      <c r="Y213">
        <f>HYPERLINK("https://klasma.github.io/Logging_FLEN/tillsynsmail/A 43369-2019.docx")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45182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43329-2019.xlsx")</f>
        <v/>
      </c>
      <c r="T214">
        <f>HYPERLINK("https://klasma.github.io/Logging_FLEN/kartor/A 43329-2019.png")</f>
        <v/>
      </c>
      <c r="U214">
        <f>HYPERLINK("https://klasma.github.io/Logging_FLEN/knärot/A 43329-2019.png")</f>
        <v/>
      </c>
      <c r="V214">
        <f>HYPERLINK("https://klasma.github.io/Logging_FLEN/klagomål/A 43329-2019.docx")</f>
        <v/>
      </c>
      <c r="W214">
        <f>HYPERLINK("https://klasma.github.io/Logging_FLEN/klagomålsmail/A 43329-2019.docx")</f>
        <v/>
      </c>
      <c r="X214">
        <f>HYPERLINK("https://klasma.github.io/Logging_FLEN/tillsyn/A 43329-2019.docx")</f>
        <v/>
      </c>
      <c r="Y214">
        <f>HYPERLINK("https://klasma.github.io/Logging_FLEN/tillsynsmail/A 43329-2019.docx")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45182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42633-2019.xlsx")</f>
        <v/>
      </c>
      <c r="T215">
        <f>HYPERLINK("https://klasma.github.io/Logging_NYKOPING/kartor/A 42633-2019.png")</f>
        <v/>
      </c>
      <c r="V215">
        <f>HYPERLINK("https://klasma.github.io/Logging_NYKOPING/klagomål/A 42633-2019.docx")</f>
        <v/>
      </c>
      <c r="W215">
        <f>HYPERLINK("https://klasma.github.io/Logging_NYKOPING/klagomålsmail/A 42633-2019.docx")</f>
        <v/>
      </c>
      <c r="X215">
        <f>HYPERLINK("https://klasma.github.io/Logging_NYKOPING/tillsyn/A 42633-2019.docx")</f>
        <v/>
      </c>
      <c r="Y215">
        <f>HYPERLINK("https://klasma.github.io/Logging_NYKOPING/tillsynsmail/A 42633-2019.docx")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45182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45577-2019.xlsx")</f>
        <v/>
      </c>
      <c r="T216">
        <f>HYPERLINK("https://klasma.github.io/Logging_GNESTA/kartor/A 45577-2019.png")</f>
        <v/>
      </c>
      <c r="V216">
        <f>HYPERLINK("https://klasma.github.io/Logging_GNESTA/klagomål/A 45577-2019.docx")</f>
        <v/>
      </c>
      <c r="W216">
        <f>HYPERLINK("https://klasma.github.io/Logging_GNESTA/klagomålsmail/A 45577-2019.docx")</f>
        <v/>
      </c>
      <c r="X216">
        <f>HYPERLINK("https://klasma.github.io/Logging_GNESTA/tillsyn/A 45577-2019.docx")</f>
        <v/>
      </c>
      <c r="Y216">
        <f>HYPERLINK("https://klasma.github.io/Logging_GNESTA/tillsynsmail/A 45577-2019.docx")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45182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50952-2019.xlsx")</f>
        <v/>
      </c>
      <c r="T217">
        <f>HYPERLINK("https://klasma.github.io/Logging_ESKILSTUNA/kartor/A 50952-2019.png")</f>
        <v/>
      </c>
      <c r="V217">
        <f>HYPERLINK("https://klasma.github.io/Logging_ESKILSTUNA/klagomål/A 50952-2019.docx")</f>
        <v/>
      </c>
      <c r="W217">
        <f>HYPERLINK("https://klasma.github.io/Logging_ESKILSTUNA/klagomålsmail/A 50952-2019.docx")</f>
        <v/>
      </c>
      <c r="X217">
        <f>HYPERLINK("https://klasma.github.io/Logging_ESKILSTUNA/tillsyn/A 50952-2019.docx")</f>
        <v/>
      </c>
      <c r="Y217">
        <f>HYPERLINK("https://klasma.github.io/Logging_ESKILSTUNA/tillsynsmail/A 50952-2019.docx")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45182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51437-2019.xlsx")</f>
        <v/>
      </c>
      <c r="T218">
        <f>HYPERLINK("https://klasma.github.io/Logging_GNESTA/kartor/A 51437-2019.png")</f>
        <v/>
      </c>
      <c r="V218">
        <f>HYPERLINK("https://klasma.github.io/Logging_GNESTA/klagomål/A 51437-2019.docx")</f>
        <v/>
      </c>
      <c r="W218">
        <f>HYPERLINK("https://klasma.github.io/Logging_GNESTA/klagomålsmail/A 51437-2019.docx")</f>
        <v/>
      </c>
      <c r="X218">
        <f>HYPERLINK("https://klasma.github.io/Logging_GNESTA/tillsyn/A 51437-2019.docx")</f>
        <v/>
      </c>
      <c r="Y218">
        <f>HYPERLINK("https://klasma.github.io/Logging_GNESTA/tillsynsmail/A 51437-2019.docx")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45182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51651-2019.xlsx")</f>
        <v/>
      </c>
      <c r="T219">
        <f>HYPERLINK("https://klasma.github.io/Logging_ESKILSTUNA/kartor/A 51651-2019.png")</f>
        <v/>
      </c>
      <c r="V219">
        <f>HYPERLINK("https://klasma.github.io/Logging_ESKILSTUNA/klagomål/A 51651-2019.docx")</f>
        <v/>
      </c>
      <c r="W219">
        <f>HYPERLINK("https://klasma.github.io/Logging_ESKILSTUNA/klagomålsmail/A 51651-2019.docx")</f>
        <v/>
      </c>
      <c r="X219">
        <f>HYPERLINK("https://klasma.github.io/Logging_ESKILSTUNA/tillsyn/A 51651-2019.docx")</f>
        <v/>
      </c>
      <c r="Y219">
        <f>HYPERLINK("https://klasma.github.io/Logging_ESKILSTUNA/tillsynsmail/A 51651-2019.docx")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45182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51874-2019.xlsx")</f>
        <v/>
      </c>
      <c r="T220">
        <f>HYPERLINK("https://klasma.github.io/Logging_KATRINEHOLM/kartor/A 51874-2019.png")</f>
        <v/>
      </c>
      <c r="V220">
        <f>HYPERLINK("https://klasma.github.io/Logging_KATRINEHOLM/klagomål/A 51874-2019.docx")</f>
        <v/>
      </c>
      <c r="W220">
        <f>HYPERLINK("https://klasma.github.io/Logging_KATRINEHOLM/klagomålsmail/A 51874-2019.docx")</f>
        <v/>
      </c>
      <c r="X220">
        <f>HYPERLINK("https://klasma.github.io/Logging_KATRINEHOLM/tillsyn/A 51874-2019.docx")</f>
        <v/>
      </c>
      <c r="Y220">
        <f>HYPERLINK("https://klasma.github.io/Logging_KATRINEHOLM/tillsynsmail/A 51874-2019.docx")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45182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52557-2019.xlsx")</f>
        <v/>
      </c>
      <c r="T221">
        <f>HYPERLINK("https://klasma.github.io/Logging_KATRINEHOLM/kartor/A 52557-2019.png")</f>
        <v/>
      </c>
      <c r="V221">
        <f>HYPERLINK("https://klasma.github.io/Logging_KATRINEHOLM/klagomål/A 52557-2019.docx")</f>
        <v/>
      </c>
      <c r="W221">
        <f>HYPERLINK("https://klasma.github.io/Logging_KATRINEHOLM/klagomålsmail/A 52557-2019.docx")</f>
        <v/>
      </c>
      <c r="X221">
        <f>HYPERLINK("https://klasma.github.io/Logging_KATRINEHOLM/tillsyn/A 52557-2019.docx")</f>
        <v/>
      </c>
      <c r="Y221">
        <f>HYPERLINK("https://klasma.github.io/Logging_KATRINEHOLM/tillsynsmail/A 52557-2019.docx")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45182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54163-2019.xlsx")</f>
        <v/>
      </c>
      <c r="T222">
        <f>HYPERLINK("https://klasma.github.io/Logging_NYKOPING/kartor/A 54163-2019.png")</f>
        <v/>
      </c>
      <c r="V222">
        <f>HYPERLINK("https://klasma.github.io/Logging_NYKOPING/klagomål/A 54163-2019.docx")</f>
        <v/>
      </c>
      <c r="W222">
        <f>HYPERLINK("https://klasma.github.io/Logging_NYKOPING/klagomålsmail/A 54163-2019.docx")</f>
        <v/>
      </c>
      <c r="X222">
        <f>HYPERLINK("https://klasma.github.io/Logging_NYKOPING/tillsyn/A 54163-2019.docx")</f>
        <v/>
      </c>
      <c r="Y222">
        <f>HYPERLINK("https://klasma.github.io/Logging_NYKOPING/tillsynsmail/A 54163-2019.docx")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45182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54326-2019.xlsx")</f>
        <v/>
      </c>
      <c r="T223">
        <f>HYPERLINK("https://klasma.github.io/Logging_ESKILSTUNA/kartor/A 54326-2019.png")</f>
        <v/>
      </c>
      <c r="V223">
        <f>HYPERLINK("https://klasma.github.io/Logging_ESKILSTUNA/klagomål/A 54326-2019.docx")</f>
        <v/>
      </c>
      <c r="W223">
        <f>HYPERLINK("https://klasma.github.io/Logging_ESKILSTUNA/klagomålsmail/A 54326-2019.docx")</f>
        <v/>
      </c>
      <c r="X223">
        <f>HYPERLINK("https://klasma.github.io/Logging_ESKILSTUNA/tillsyn/A 54326-2019.docx")</f>
        <v/>
      </c>
      <c r="Y223">
        <f>HYPERLINK("https://klasma.github.io/Logging_ESKILSTUNA/tillsynsmail/A 54326-2019.docx")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45182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54418-2019.xlsx")</f>
        <v/>
      </c>
      <c r="T224">
        <f>HYPERLINK("https://klasma.github.io/Logging_FLEN/kartor/A 54418-2019.png")</f>
        <v/>
      </c>
      <c r="V224">
        <f>HYPERLINK("https://klasma.github.io/Logging_FLEN/klagomål/A 54418-2019.docx")</f>
        <v/>
      </c>
      <c r="W224">
        <f>HYPERLINK("https://klasma.github.io/Logging_FLEN/klagomålsmail/A 54418-2019.docx")</f>
        <v/>
      </c>
      <c r="X224">
        <f>HYPERLINK("https://klasma.github.io/Logging_FLEN/tillsyn/A 54418-2019.docx")</f>
        <v/>
      </c>
      <c r="Y224">
        <f>HYPERLINK("https://klasma.github.io/Logging_FLEN/tillsynsmail/A 54418-2019.docx")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45182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55376-2019.xlsx")</f>
        <v/>
      </c>
      <c r="T225">
        <f>HYPERLINK("https://klasma.github.io/Logging_FLEN/kartor/A 55376-2019.png")</f>
        <v/>
      </c>
      <c r="V225">
        <f>HYPERLINK("https://klasma.github.io/Logging_FLEN/klagomål/A 55376-2019.docx")</f>
        <v/>
      </c>
      <c r="W225">
        <f>HYPERLINK("https://klasma.github.io/Logging_FLEN/klagomålsmail/A 55376-2019.docx")</f>
        <v/>
      </c>
      <c r="X225">
        <f>HYPERLINK("https://klasma.github.io/Logging_FLEN/tillsyn/A 55376-2019.docx")</f>
        <v/>
      </c>
      <c r="Y225">
        <f>HYPERLINK("https://klasma.github.io/Logging_FLEN/tillsynsmail/A 55376-2019.docx")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45182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60216-2019.xlsx")</f>
        <v/>
      </c>
      <c r="T226">
        <f>HYPERLINK("https://klasma.github.io/Logging_FLEN/kartor/A 60216-2019.png")</f>
        <v/>
      </c>
      <c r="V226">
        <f>HYPERLINK("https://klasma.github.io/Logging_FLEN/klagomål/A 60216-2019.docx")</f>
        <v/>
      </c>
      <c r="W226">
        <f>HYPERLINK("https://klasma.github.io/Logging_FLEN/klagomålsmail/A 60216-2019.docx")</f>
        <v/>
      </c>
      <c r="X226">
        <f>HYPERLINK("https://klasma.github.io/Logging_FLEN/tillsyn/A 60216-2019.docx")</f>
        <v/>
      </c>
      <c r="Y226">
        <f>HYPERLINK("https://klasma.github.io/Logging_FLEN/tillsynsmail/A 60216-2019.docx")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45182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872-2020.xlsx")</f>
        <v/>
      </c>
      <c r="T227">
        <f>HYPERLINK("https://klasma.github.io/Logging_NYKOPING/kartor/A 872-2020.png")</f>
        <v/>
      </c>
      <c r="V227">
        <f>HYPERLINK("https://klasma.github.io/Logging_NYKOPING/klagomål/A 872-2020.docx")</f>
        <v/>
      </c>
      <c r="W227">
        <f>HYPERLINK("https://klasma.github.io/Logging_NYKOPING/klagomålsmail/A 872-2020.docx")</f>
        <v/>
      </c>
      <c r="X227">
        <f>HYPERLINK("https://klasma.github.io/Logging_NYKOPING/tillsyn/A 872-2020.docx")</f>
        <v/>
      </c>
      <c r="Y227">
        <f>HYPERLINK("https://klasma.github.io/Logging_NYKOPING/tillsynsmail/A 872-2020.docx")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45182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1380-2020.xlsx")</f>
        <v/>
      </c>
      <c r="T228">
        <f>HYPERLINK("https://klasma.github.io/Logging_NYKOPING/kartor/A 1380-2020.png")</f>
        <v/>
      </c>
      <c r="V228">
        <f>HYPERLINK("https://klasma.github.io/Logging_NYKOPING/klagomål/A 1380-2020.docx")</f>
        <v/>
      </c>
      <c r="W228">
        <f>HYPERLINK("https://klasma.github.io/Logging_NYKOPING/klagomålsmail/A 1380-2020.docx")</f>
        <v/>
      </c>
      <c r="X228">
        <f>HYPERLINK("https://klasma.github.io/Logging_NYKOPING/tillsyn/A 1380-2020.docx")</f>
        <v/>
      </c>
      <c r="Y228">
        <f>HYPERLINK("https://klasma.github.io/Logging_NYKOPING/tillsynsmail/A 1380-2020.docx")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45182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4244-2020.xlsx")</f>
        <v/>
      </c>
      <c r="T229">
        <f>HYPERLINK("https://klasma.github.io/Logging_NYKOPING/kartor/A 4244-2020.png")</f>
        <v/>
      </c>
      <c r="U229">
        <f>HYPERLINK("https://klasma.github.io/Logging_NYKOPING/knärot/A 4244-2020.png")</f>
        <v/>
      </c>
      <c r="V229">
        <f>HYPERLINK("https://klasma.github.io/Logging_NYKOPING/klagomål/A 4244-2020.docx")</f>
        <v/>
      </c>
      <c r="W229">
        <f>HYPERLINK("https://klasma.github.io/Logging_NYKOPING/klagomålsmail/A 4244-2020.docx")</f>
        <v/>
      </c>
      <c r="X229">
        <f>HYPERLINK("https://klasma.github.io/Logging_NYKOPING/tillsyn/A 4244-2020.docx")</f>
        <v/>
      </c>
      <c r="Y229">
        <f>HYPERLINK("https://klasma.github.io/Logging_NYKOPING/tillsynsmail/A 4244-2020.docx")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45182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4372-2020.xlsx")</f>
        <v/>
      </c>
      <c r="T230">
        <f>HYPERLINK("https://klasma.github.io/Logging_FLEN/kartor/A 4372-2020.png")</f>
        <v/>
      </c>
      <c r="V230">
        <f>HYPERLINK("https://klasma.github.io/Logging_FLEN/klagomål/A 4372-2020.docx")</f>
        <v/>
      </c>
      <c r="W230">
        <f>HYPERLINK("https://klasma.github.io/Logging_FLEN/klagomålsmail/A 4372-2020.docx")</f>
        <v/>
      </c>
      <c r="X230">
        <f>HYPERLINK("https://klasma.github.io/Logging_FLEN/tillsyn/A 4372-2020.docx")</f>
        <v/>
      </c>
      <c r="Y230">
        <f>HYPERLINK("https://klasma.github.io/Logging_FLEN/tillsynsmail/A 4372-2020.docx")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45182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5210-2020.xlsx")</f>
        <v/>
      </c>
      <c r="T231">
        <f>HYPERLINK("https://klasma.github.io/Logging_FLEN/kartor/A 5210-2020.png")</f>
        <v/>
      </c>
      <c r="V231">
        <f>HYPERLINK("https://klasma.github.io/Logging_FLEN/klagomål/A 5210-2020.docx")</f>
        <v/>
      </c>
      <c r="W231">
        <f>HYPERLINK("https://klasma.github.io/Logging_FLEN/klagomålsmail/A 5210-2020.docx")</f>
        <v/>
      </c>
      <c r="X231">
        <f>HYPERLINK("https://klasma.github.io/Logging_FLEN/tillsyn/A 5210-2020.docx")</f>
        <v/>
      </c>
      <c r="Y231">
        <f>HYPERLINK("https://klasma.github.io/Logging_FLEN/tillsynsmail/A 5210-2020.docx")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45182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7702-2020.xlsx")</f>
        <v/>
      </c>
      <c r="T232">
        <f>HYPERLINK("https://klasma.github.io/Logging_NYKOPING/kartor/A 7702-2020.png")</f>
        <v/>
      </c>
      <c r="V232">
        <f>HYPERLINK("https://klasma.github.io/Logging_NYKOPING/klagomål/A 7702-2020.docx")</f>
        <v/>
      </c>
      <c r="W232">
        <f>HYPERLINK("https://klasma.github.io/Logging_NYKOPING/klagomålsmail/A 7702-2020.docx")</f>
        <v/>
      </c>
      <c r="X232">
        <f>HYPERLINK("https://klasma.github.io/Logging_NYKOPING/tillsyn/A 7702-2020.docx")</f>
        <v/>
      </c>
      <c r="Y232">
        <f>HYPERLINK("https://klasma.github.io/Logging_NYKOPING/tillsynsmail/A 7702-2020.docx")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45182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13747-2020.xlsx")</f>
        <v/>
      </c>
      <c r="T233">
        <f>HYPERLINK("https://klasma.github.io/Logging_GNESTA/kartor/A 13747-2020.png")</f>
        <v/>
      </c>
      <c r="V233">
        <f>HYPERLINK("https://klasma.github.io/Logging_GNESTA/klagomål/A 13747-2020.docx")</f>
        <v/>
      </c>
      <c r="W233">
        <f>HYPERLINK("https://klasma.github.io/Logging_GNESTA/klagomålsmail/A 13747-2020.docx")</f>
        <v/>
      </c>
      <c r="X233">
        <f>HYPERLINK("https://klasma.github.io/Logging_GNESTA/tillsyn/A 13747-2020.docx")</f>
        <v/>
      </c>
      <c r="Y233">
        <f>HYPERLINK("https://klasma.github.io/Logging_GNESTA/tillsynsmail/A 13747-2020.docx")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45182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13756-2020.xlsx")</f>
        <v/>
      </c>
      <c r="T234">
        <f>HYPERLINK("https://klasma.github.io/Logging_NYKOPING/kartor/A 13756-2020.png")</f>
        <v/>
      </c>
      <c r="V234">
        <f>HYPERLINK("https://klasma.github.io/Logging_NYKOPING/klagomål/A 13756-2020.docx")</f>
        <v/>
      </c>
      <c r="W234">
        <f>HYPERLINK("https://klasma.github.io/Logging_NYKOPING/klagomålsmail/A 13756-2020.docx")</f>
        <v/>
      </c>
      <c r="X234">
        <f>HYPERLINK("https://klasma.github.io/Logging_NYKOPING/tillsyn/A 13756-2020.docx")</f>
        <v/>
      </c>
      <c r="Y234">
        <f>HYPERLINK("https://klasma.github.io/Logging_NYKOPING/tillsynsmail/A 13756-2020.docx")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45182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16877-2020.xlsx")</f>
        <v/>
      </c>
      <c r="T235">
        <f>HYPERLINK("https://klasma.github.io/Logging_ESKILSTUNA/kartor/A 16877-2020.png")</f>
        <v/>
      </c>
      <c r="V235">
        <f>HYPERLINK("https://klasma.github.io/Logging_ESKILSTUNA/klagomål/A 16877-2020.docx")</f>
        <v/>
      </c>
      <c r="W235">
        <f>HYPERLINK("https://klasma.github.io/Logging_ESKILSTUNA/klagomålsmail/A 16877-2020.docx")</f>
        <v/>
      </c>
      <c r="X235">
        <f>HYPERLINK("https://klasma.github.io/Logging_ESKILSTUNA/tillsyn/A 16877-2020.docx")</f>
        <v/>
      </c>
      <c r="Y235">
        <f>HYPERLINK("https://klasma.github.io/Logging_ESKILSTUNA/tillsynsmail/A 16877-2020.docx")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45182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18283-2020.xlsx")</f>
        <v/>
      </c>
      <c r="T236">
        <f>HYPERLINK("https://klasma.github.io/Logging_KATRINEHOLM/kartor/A 18283-2020.png")</f>
        <v/>
      </c>
      <c r="U236">
        <f>HYPERLINK("https://klasma.github.io/Logging_KATRINEHOLM/knärot/A 18283-2020.png")</f>
        <v/>
      </c>
      <c r="V236">
        <f>HYPERLINK("https://klasma.github.io/Logging_KATRINEHOLM/klagomål/A 18283-2020.docx")</f>
        <v/>
      </c>
      <c r="W236">
        <f>HYPERLINK("https://klasma.github.io/Logging_KATRINEHOLM/klagomålsmail/A 18283-2020.docx")</f>
        <v/>
      </c>
      <c r="X236">
        <f>HYPERLINK("https://klasma.github.io/Logging_KATRINEHOLM/tillsyn/A 18283-2020.docx")</f>
        <v/>
      </c>
      <c r="Y236">
        <f>HYPERLINK("https://klasma.github.io/Logging_KATRINEHOLM/tillsynsmail/A 18283-2020.docx")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45182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19647-2020.xlsx")</f>
        <v/>
      </c>
      <c r="T237">
        <f>HYPERLINK("https://klasma.github.io/Logging_NYKOPING/kartor/A 19647-2020.png")</f>
        <v/>
      </c>
      <c r="V237">
        <f>HYPERLINK("https://klasma.github.io/Logging_NYKOPING/klagomål/A 19647-2020.docx")</f>
        <v/>
      </c>
      <c r="W237">
        <f>HYPERLINK("https://klasma.github.io/Logging_NYKOPING/klagomålsmail/A 19647-2020.docx")</f>
        <v/>
      </c>
      <c r="X237">
        <f>HYPERLINK("https://klasma.github.io/Logging_NYKOPING/tillsyn/A 19647-2020.docx")</f>
        <v/>
      </c>
      <c r="Y237">
        <f>HYPERLINK("https://klasma.github.io/Logging_NYKOPING/tillsynsmail/A 19647-2020.docx")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45182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20017-2020.xlsx")</f>
        <v/>
      </c>
      <c r="T238">
        <f>HYPERLINK("https://klasma.github.io/Logging_NYKOPING/kartor/A 20017-2020.png")</f>
        <v/>
      </c>
      <c r="V238">
        <f>HYPERLINK("https://klasma.github.io/Logging_NYKOPING/klagomål/A 20017-2020.docx")</f>
        <v/>
      </c>
      <c r="W238">
        <f>HYPERLINK("https://klasma.github.io/Logging_NYKOPING/klagomålsmail/A 20017-2020.docx")</f>
        <v/>
      </c>
      <c r="X238">
        <f>HYPERLINK("https://klasma.github.io/Logging_NYKOPING/tillsyn/A 20017-2020.docx")</f>
        <v/>
      </c>
      <c r="Y238">
        <f>HYPERLINK("https://klasma.github.io/Logging_NYKOPING/tillsynsmail/A 20017-2020.docx")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45182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20001-2020.xlsx")</f>
        <v/>
      </c>
      <c r="T239">
        <f>HYPERLINK("https://klasma.github.io/Logging_FLEN/kartor/A 20001-2020.png")</f>
        <v/>
      </c>
      <c r="V239">
        <f>HYPERLINK("https://klasma.github.io/Logging_FLEN/klagomål/A 20001-2020.docx")</f>
        <v/>
      </c>
      <c r="W239">
        <f>HYPERLINK("https://klasma.github.io/Logging_FLEN/klagomålsmail/A 20001-2020.docx")</f>
        <v/>
      </c>
      <c r="X239">
        <f>HYPERLINK("https://klasma.github.io/Logging_FLEN/tillsyn/A 20001-2020.docx")</f>
        <v/>
      </c>
      <c r="Y239">
        <f>HYPERLINK("https://klasma.github.io/Logging_FLEN/tillsynsmail/A 20001-2020.docx")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45182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20041-2020.xlsx")</f>
        <v/>
      </c>
      <c r="T240">
        <f>HYPERLINK("https://klasma.github.io/Logging_STRANGNAS/kartor/A 20041-2020.png")</f>
        <v/>
      </c>
      <c r="V240">
        <f>HYPERLINK("https://klasma.github.io/Logging_STRANGNAS/klagomål/A 20041-2020.docx")</f>
        <v/>
      </c>
      <c r="W240">
        <f>HYPERLINK("https://klasma.github.io/Logging_STRANGNAS/klagomålsmail/A 20041-2020.docx")</f>
        <v/>
      </c>
      <c r="X240">
        <f>HYPERLINK("https://klasma.github.io/Logging_STRANGNAS/tillsyn/A 20041-2020.docx")</f>
        <v/>
      </c>
      <c r="Y240">
        <f>HYPERLINK("https://klasma.github.io/Logging_STRANGNAS/tillsynsmail/A 20041-2020.docx")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45182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21940-2020.xlsx")</f>
        <v/>
      </c>
      <c r="T241">
        <f>HYPERLINK("https://klasma.github.io/Logging_TROSA/kartor/A 21940-2020.png")</f>
        <v/>
      </c>
      <c r="V241">
        <f>HYPERLINK("https://klasma.github.io/Logging_TROSA/klagomål/A 21940-2020.docx")</f>
        <v/>
      </c>
      <c r="W241">
        <f>HYPERLINK("https://klasma.github.io/Logging_TROSA/klagomålsmail/A 21940-2020.docx")</f>
        <v/>
      </c>
      <c r="X241">
        <f>HYPERLINK("https://klasma.github.io/Logging_TROSA/tillsyn/A 21940-2020.docx")</f>
        <v/>
      </c>
      <c r="Y241">
        <f>HYPERLINK("https://klasma.github.io/Logging_TROSA/tillsynsmail/A 21940-2020.docx")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45182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21808-2020.xlsx")</f>
        <v/>
      </c>
      <c r="T242">
        <f>HYPERLINK("https://klasma.github.io/Logging_KATRINEHOLM/kartor/A 21808-2020.png")</f>
        <v/>
      </c>
      <c r="V242">
        <f>HYPERLINK("https://klasma.github.io/Logging_KATRINEHOLM/klagomål/A 21808-2020.docx")</f>
        <v/>
      </c>
      <c r="W242">
        <f>HYPERLINK("https://klasma.github.io/Logging_KATRINEHOLM/klagomålsmail/A 21808-2020.docx")</f>
        <v/>
      </c>
      <c r="X242">
        <f>HYPERLINK("https://klasma.github.io/Logging_KATRINEHOLM/tillsyn/A 21808-2020.docx")</f>
        <v/>
      </c>
      <c r="Y242">
        <f>HYPERLINK("https://klasma.github.io/Logging_KATRINEHOLM/tillsynsmail/A 21808-2020.docx")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45182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23201-2020.xlsx")</f>
        <v/>
      </c>
      <c r="T243">
        <f>HYPERLINK("https://klasma.github.io/Logging_ESKILSTUNA/kartor/A 23201-2020.png")</f>
        <v/>
      </c>
      <c r="V243">
        <f>HYPERLINK("https://klasma.github.io/Logging_ESKILSTUNA/klagomål/A 23201-2020.docx")</f>
        <v/>
      </c>
      <c r="W243">
        <f>HYPERLINK("https://klasma.github.io/Logging_ESKILSTUNA/klagomålsmail/A 23201-2020.docx")</f>
        <v/>
      </c>
      <c r="X243">
        <f>HYPERLINK("https://klasma.github.io/Logging_ESKILSTUNA/tillsyn/A 23201-2020.docx")</f>
        <v/>
      </c>
      <c r="Y243">
        <f>HYPERLINK("https://klasma.github.io/Logging_ESKILSTUNA/tillsynsmail/A 23201-2020.docx")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45182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23515-2020.xlsx")</f>
        <v/>
      </c>
      <c r="T244">
        <f>HYPERLINK("https://klasma.github.io/Logging_STRANGNAS/kartor/A 23515-2020.png")</f>
        <v/>
      </c>
      <c r="V244">
        <f>HYPERLINK("https://klasma.github.io/Logging_STRANGNAS/klagomål/A 23515-2020.docx")</f>
        <v/>
      </c>
      <c r="W244">
        <f>HYPERLINK("https://klasma.github.io/Logging_STRANGNAS/klagomålsmail/A 23515-2020.docx")</f>
        <v/>
      </c>
      <c r="X244">
        <f>HYPERLINK("https://klasma.github.io/Logging_STRANGNAS/tillsyn/A 23515-2020.docx")</f>
        <v/>
      </c>
      <c r="Y244">
        <f>HYPERLINK("https://klasma.github.io/Logging_STRANGNAS/tillsynsmail/A 23515-2020.docx")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45182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25802-2020.xlsx")</f>
        <v/>
      </c>
      <c r="T245">
        <f>HYPERLINK("https://klasma.github.io/Logging_NYKOPING/kartor/A 25802-2020.png")</f>
        <v/>
      </c>
      <c r="V245">
        <f>HYPERLINK("https://klasma.github.io/Logging_NYKOPING/klagomål/A 25802-2020.docx")</f>
        <v/>
      </c>
      <c r="W245">
        <f>HYPERLINK("https://klasma.github.io/Logging_NYKOPING/klagomålsmail/A 25802-2020.docx")</f>
        <v/>
      </c>
      <c r="X245">
        <f>HYPERLINK("https://klasma.github.io/Logging_NYKOPING/tillsyn/A 25802-2020.docx")</f>
        <v/>
      </c>
      <c r="Y245">
        <f>HYPERLINK("https://klasma.github.io/Logging_NYKOPING/tillsynsmail/A 25802-2020.docx")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45182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28149-2020.xlsx")</f>
        <v/>
      </c>
      <c r="T246">
        <f>HYPERLINK("https://klasma.github.io/Logging_TROSA/kartor/A 28149-2020.png")</f>
        <v/>
      </c>
      <c r="V246">
        <f>HYPERLINK("https://klasma.github.io/Logging_TROSA/klagomål/A 28149-2020.docx")</f>
        <v/>
      </c>
      <c r="W246">
        <f>HYPERLINK("https://klasma.github.io/Logging_TROSA/klagomålsmail/A 28149-2020.docx")</f>
        <v/>
      </c>
      <c r="X246">
        <f>HYPERLINK("https://klasma.github.io/Logging_TROSA/tillsyn/A 28149-2020.docx")</f>
        <v/>
      </c>
      <c r="Y246">
        <f>HYPERLINK("https://klasma.github.io/Logging_TROSA/tillsynsmail/A 28149-2020.docx")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45182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29320-2020.xlsx")</f>
        <v/>
      </c>
      <c r="T247">
        <f>HYPERLINK("https://klasma.github.io/Logging_NYKOPING/kartor/A 29320-2020.png")</f>
        <v/>
      </c>
      <c r="V247">
        <f>HYPERLINK("https://klasma.github.io/Logging_NYKOPING/klagomål/A 29320-2020.docx")</f>
        <v/>
      </c>
      <c r="W247">
        <f>HYPERLINK("https://klasma.github.io/Logging_NYKOPING/klagomålsmail/A 29320-2020.docx")</f>
        <v/>
      </c>
      <c r="X247">
        <f>HYPERLINK("https://klasma.github.io/Logging_NYKOPING/tillsyn/A 29320-2020.docx")</f>
        <v/>
      </c>
      <c r="Y247">
        <f>HYPERLINK("https://klasma.github.io/Logging_NYKOPING/tillsynsmail/A 29320-2020.docx")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45182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29400-2020.xlsx")</f>
        <v/>
      </c>
      <c r="T248">
        <f>HYPERLINK("https://klasma.github.io/Logging_NYKOPING/kartor/A 29400-2020.png")</f>
        <v/>
      </c>
      <c r="V248">
        <f>HYPERLINK("https://klasma.github.io/Logging_NYKOPING/klagomål/A 29400-2020.docx")</f>
        <v/>
      </c>
      <c r="W248">
        <f>HYPERLINK("https://klasma.github.io/Logging_NYKOPING/klagomålsmail/A 29400-2020.docx")</f>
        <v/>
      </c>
      <c r="X248">
        <f>HYPERLINK("https://klasma.github.io/Logging_NYKOPING/tillsyn/A 29400-2020.docx")</f>
        <v/>
      </c>
      <c r="Y248">
        <f>HYPERLINK("https://klasma.github.io/Logging_NYKOPING/tillsynsmail/A 29400-2020.docx")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45182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29402-2020.xlsx")</f>
        <v/>
      </c>
      <c r="T249">
        <f>HYPERLINK("https://klasma.github.io/Logging_NYKOPING/kartor/A 29402-2020.png")</f>
        <v/>
      </c>
      <c r="V249">
        <f>HYPERLINK("https://klasma.github.io/Logging_NYKOPING/klagomål/A 29402-2020.docx")</f>
        <v/>
      </c>
      <c r="W249">
        <f>HYPERLINK("https://klasma.github.io/Logging_NYKOPING/klagomålsmail/A 29402-2020.docx")</f>
        <v/>
      </c>
      <c r="X249">
        <f>HYPERLINK("https://klasma.github.io/Logging_NYKOPING/tillsyn/A 29402-2020.docx")</f>
        <v/>
      </c>
      <c r="Y249">
        <f>HYPERLINK("https://klasma.github.io/Logging_NYKOPING/tillsynsmail/A 29402-2020.docx")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45182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30887-2020.xlsx")</f>
        <v/>
      </c>
      <c r="T250">
        <f>HYPERLINK("https://klasma.github.io/Logging_NYKOPING/kartor/A 30887-2020.png")</f>
        <v/>
      </c>
      <c r="V250">
        <f>HYPERLINK("https://klasma.github.io/Logging_NYKOPING/klagomål/A 30887-2020.docx")</f>
        <v/>
      </c>
      <c r="W250">
        <f>HYPERLINK("https://klasma.github.io/Logging_NYKOPING/klagomålsmail/A 30887-2020.docx")</f>
        <v/>
      </c>
      <c r="X250">
        <f>HYPERLINK("https://klasma.github.io/Logging_NYKOPING/tillsyn/A 30887-2020.docx")</f>
        <v/>
      </c>
      <c r="Y250">
        <f>HYPERLINK("https://klasma.github.io/Logging_NYKOPING/tillsynsmail/A 30887-2020.docx")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45182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31870-2020.xlsx")</f>
        <v/>
      </c>
      <c r="T251">
        <f>HYPERLINK("https://klasma.github.io/Logging_FLEN/kartor/A 31870-2020.png")</f>
        <v/>
      </c>
      <c r="V251">
        <f>HYPERLINK("https://klasma.github.io/Logging_FLEN/klagomål/A 31870-2020.docx")</f>
        <v/>
      </c>
      <c r="W251">
        <f>HYPERLINK("https://klasma.github.io/Logging_FLEN/klagomålsmail/A 31870-2020.docx")</f>
        <v/>
      </c>
      <c r="X251">
        <f>HYPERLINK("https://klasma.github.io/Logging_FLEN/tillsyn/A 31870-2020.docx")</f>
        <v/>
      </c>
      <c r="Y251">
        <f>HYPERLINK("https://klasma.github.io/Logging_FLEN/tillsynsmail/A 31870-2020.docx")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45182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35106-2020.xlsx")</f>
        <v/>
      </c>
      <c r="T252">
        <f>HYPERLINK("https://klasma.github.io/Logging_TROSA/kartor/A 35106-2020.png")</f>
        <v/>
      </c>
      <c r="V252">
        <f>HYPERLINK("https://klasma.github.io/Logging_TROSA/klagomål/A 35106-2020.docx")</f>
        <v/>
      </c>
      <c r="W252">
        <f>HYPERLINK("https://klasma.github.io/Logging_TROSA/klagomålsmail/A 35106-2020.docx")</f>
        <v/>
      </c>
      <c r="X252">
        <f>HYPERLINK("https://klasma.github.io/Logging_TROSA/tillsyn/A 35106-2020.docx")</f>
        <v/>
      </c>
      <c r="Y252">
        <f>HYPERLINK("https://klasma.github.io/Logging_TROSA/tillsynsmail/A 35106-2020.docx")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45182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38423-2020.xlsx")</f>
        <v/>
      </c>
      <c r="T253">
        <f>HYPERLINK("https://klasma.github.io/Logging_ESKILSTUNA/kartor/A 38423-2020.png")</f>
        <v/>
      </c>
      <c r="V253">
        <f>HYPERLINK("https://klasma.github.io/Logging_ESKILSTUNA/klagomål/A 38423-2020.docx")</f>
        <v/>
      </c>
      <c r="W253">
        <f>HYPERLINK("https://klasma.github.io/Logging_ESKILSTUNA/klagomålsmail/A 38423-2020.docx")</f>
        <v/>
      </c>
      <c r="X253">
        <f>HYPERLINK("https://klasma.github.io/Logging_ESKILSTUNA/tillsyn/A 38423-2020.docx")</f>
        <v/>
      </c>
      <c r="Y253">
        <f>HYPERLINK("https://klasma.github.io/Logging_ESKILSTUNA/tillsynsmail/A 38423-2020.docx")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45182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38880-2020.xlsx")</f>
        <v/>
      </c>
      <c r="T254">
        <f>HYPERLINK("https://klasma.github.io/Logging_TROSA/kartor/A 38880-2020.png")</f>
        <v/>
      </c>
      <c r="V254">
        <f>HYPERLINK("https://klasma.github.io/Logging_TROSA/klagomål/A 38880-2020.docx")</f>
        <v/>
      </c>
      <c r="W254">
        <f>HYPERLINK("https://klasma.github.io/Logging_TROSA/klagomålsmail/A 38880-2020.docx")</f>
        <v/>
      </c>
      <c r="X254">
        <f>HYPERLINK("https://klasma.github.io/Logging_TROSA/tillsyn/A 38880-2020.docx")</f>
        <v/>
      </c>
      <c r="Y254">
        <f>HYPERLINK("https://klasma.github.io/Logging_TROSA/tillsynsmail/A 38880-2020.docx")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45182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44224-2020.xlsx")</f>
        <v/>
      </c>
      <c r="T255">
        <f>HYPERLINK("https://klasma.github.io/Logging_NYKOPING/kartor/A 44224-2020.png")</f>
        <v/>
      </c>
      <c r="V255">
        <f>HYPERLINK("https://klasma.github.io/Logging_NYKOPING/klagomål/A 44224-2020.docx")</f>
        <v/>
      </c>
      <c r="W255">
        <f>HYPERLINK("https://klasma.github.io/Logging_NYKOPING/klagomålsmail/A 44224-2020.docx")</f>
        <v/>
      </c>
      <c r="X255">
        <f>HYPERLINK("https://klasma.github.io/Logging_NYKOPING/tillsyn/A 44224-2020.docx")</f>
        <v/>
      </c>
      <c r="Y255">
        <f>HYPERLINK("https://klasma.github.io/Logging_NYKOPING/tillsynsmail/A 44224-2020.docx")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45182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44227-2020.xlsx")</f>
        <v/>
      </c>
      <c r="T256">
        <f>HYPERLINK("https://klasma.github.io/Logging_NYKOPING/kartor/A 44227-2020.png")</f>
        <v/>
      </c>
      <c r="V256">
        <f>HYPERLINK("https://klasma.github.io/Logging_NYKOPING/klagomål/A 44227-2020.docx")</f>
        <v/>
      </c>
      <c r="W256">
        <f>HYPERLINK("https://klasma.github.io/Logging_NYKOPING/klagomålsmail/A 44227-2020.docx")</f>
        <v/>
      </c>
      <c r="X256">
        <f>HYPERLINK("https://klasma.github.io/Logging_NYKOPING/tillsyn/A 44227-2020.docx")</f>
        <v/>
      </c>
      <c r="Y256">
        <f>HYPERLINK("https://klasma.github.io/Logging_NYKOPING/tillsynsmail/A 44227-2020.docx")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45182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47989-2020.xlsx")</f>
        <v/>
      </c>
      <c r="T257">
        <f>HYPERLINK("https://klasma.github.io/Logging_KATRINEHOLM/kartor/A 47989-2020.png")</f>
        <v/>
      </c>
      <c r="V257">
        <f>HYPERLINK("https://klasma.github.io/Logging_KATRINEHOLM/klagomål/A 47989-2020.docx")</f>
        <v/>
      </c>
      <c r="W257">
        <f>HYPERLINK("https://klasma.github.io/Logging_KATRINEHOLM/klagomålsmail/A 47989-2020.docx")</f>
        <v/>
      </c>
      <c r="X257">
        <f>HYPERLINK("https://klasma.github.io/Logging_KATRINEHOLM/tillsyn/A 47989-2020.docx")</f>
        <v/>
      </c>
      <c r="Y257">
        <f>HYPERLINK("https://klasma.github.io/Logging_KATRINEHOLM/tillsynsmail/A 47989-2020.docx")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45182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51080-2020.xlsx")</f>
        <v/>
      </c>
      <c r="T258">
        <f>HYPERLINK("https://klasma.github.io/Logging_GNESTA/kartor/A 51080-2020.png")</f>
        <v/>
      </c>
      <c r="V258">
        <f>HYPERLINK("https://klasma.github.io/Logging_GNESTA/klagomål/A 51080-2020.docx")</f>
        <v/>
      </c>
      <c r="W258">
        <f>HYPERLINK("https://klasma.github.io/Logging_GNESTA/klagomålsmail/A 51080-2020.docx")</f>
        <v/>
      </c>
      <c r="X258">
        <f>HYPERLINK("https://klasma.github.io/Logging_GNESTA/tillsyn/A 51080-2020.docx")</f>
        <v/>
      </c>
      <c r="Y258">
        <f>HYPERLINK("https://klasma.github.io/Logging_GNESTA/tillsynsmail/A 51080-2020.docx")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45182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52828-2020.xlsx")</f>
        <v/>
      </c>
      <c r="T259">
        <f>HYPERLINK("https://klasma.github.io/Logging_GNESTA/kartor/A 52828-2020.png")</f>
        <v/>
      </c>
      <c r="V259">
        <f>HYPERLINK("https://klasma.github.io/Logging_GNESTA/klagomål/A 52828-2020.docx")</f>
        <v/>
      </c>
      <c r="W259">
        <f>HYPERLINK("https://klasma.github.io/Logging_GNESTA/klagomålsmail/A 52828-2020.docx")</f>
        <v/>
      </c>
      <c r="X259">
        <f>HYPERLINK("https://klasma.github.io/Logging_GNESTA/tillsyn/A 52828-2020.docx")</f>
        <v/>
      </c>
      <c r="Y259">
        <f>HYPERLINK("https://klasma.github.io/Logging_GNESTA/tillsynsmail/A 52828-2020.docx")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45182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55009-2020.xlsx")</f>
        <v/>
      </c>
      <c r="T260">
        <f>HYPERLINK("https://klasma.github.io/Logging_FLEN/kartor/A 55009-2020.png")</f>
        <v/>
      </c>
      <c r="V260">
        <f>HYPERLINK("https://klasma.github.io/Logging_FLEN/klagomål/A 55009-2020.docx")</f>
        <v/>
      </c>
      <c r="W260">
        <f>HYPERLINK("https://klasma.github.io/Logging_FLEN/klagomålsmail/A 55009-2020.docx")</f>
        <v/>
      </c>
      <c r="X260">
        <f>HYPERLINK("https://klasma.github.io/Logging_FLEN/tillsyn/A 55009-2020.docx")</f>
        <v/>
      </c>
      <c r="Y260">
        <f>HYPERLINK("https://klasma.github.io/Logging_FLEN/tillsynsmail/A 55009-2020.docx")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45182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55760-2020.xlsx")</f>
        <v/>
      </c>
      <c r="T261">
        <f>HYPERLINK("https://klasma.github.io/Logging_TROSA/kartor/A 55760-2020.png")</f>
        <v/>
      </c>
      <c r="V261">
        <f>HYPERLINK("https://klasma.github.io/Logging_TROSA/klagomål/A 55760-2020.docx")</f>
        <v/>
      </c>
      <c r="W261">
        <f>HYPERLINK("https://klasma.github.io/Logging_TROSA/klagomålsmail/A 55760-2020.docx")</f>
        <v/>
      </c>
      <c r="X261">
        <f>HYPERLINK("https://klasma.github.io/Logging_TROSA/tillsyn/A 55760-2020.docx")</f>
        <v/>
      </c>
      <c r="Y261">
        <f>HYPERLINK("https://klasma.github.io/Logging_TROSA/tillsynsmail/A 55760-2020.docx")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45182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56228-2020.xlsx")</f>
        <v/>
      </c>
      <c r="T262">
        <f>HYPERLINK("https://klasma.github.io/Logging_ESKILSTUNA/kartor/A 56228-2020.png")</f>
        <v/>
      </c>
      <c r="V262">
        <f>HYPERLINK("https://klasma.github.io/Logging_ESKILSTUNA/klagomål/A 56228-2020.docx")</f>
        <v/>
      </c>
      <c r="W262">
        <f>HYPERLINK("https://klasma.github.io/Logging_ESKILSTUNA/klagomålsmail/A 56228-2020.docx")</f>
        <v/>
      </c>
      <c r="X262">
        <f>HYPERLINK("https://klasma.github.io/Logging_ESKILSTUNA/tillsyn/A 56228-2020.docx")</f>
        <v/>
      </c>
      <c r="Y262">
        <f>HYPERLINK("https://klasma.github.io/Logging_ESKILSTUNA/tillsynsmail/A 56228-2020.docx")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45182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58011-2020.xlsx")</f>
        <v/>
      </c>
      <c r="T263">
        <f>HYPERLINK("https://klasma.github.io/Logging_STRANGNAS/kartor/A 58011-2020.png")</f>
        <v/>
      </c>
      <c r="V263">
        <f>HYPERLINK("https://klasma.github.io/Logging_STRANGNAS/klagomål/A 58011-2020.docx")</f>
        <v/>
      </c>
      <c r="W263">
        <f>HYPERLINK("https://klasma.github.io/Logging_STRANGNAS/klagomålsmail/A 58011-2020.docx")</f>
        <v/>
      </c>
      <c r="X263">
        <f>HYPERLINK("https://klasma.github.io/Logging_STRANGNAS/tillsyn/A 58011-2020.docx")</f>
        <v/>
      </c>
      <c r="Y263">
        <f>HYPERLINK("https://klasma.github.io/Logging_STRANGNAS/tillsynsmail/A 58011-2020.docx")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45182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64960-2020.xlsx")</f>
        <v/>
      </c>
      <c r="T264">
        <f>HYPERLINK("https://klasma.github.io/Logging_STRANGNAS/kartor/A 64960-2020.png")</f>
        <v/>
      </c>
      <c r="U264">
        <f>HYPERLINK("https://klasma.github.io/Logging_STRANGNAS/knärot/A 64960-2020.png")</f>
        <v/>
      </c>
      <c r="V264">
        <f>HYPERLINK("https://klasma.github.io/Logging_STRANGNAS/klagomål/A 64960-2020.docx")</f>
        <v/>
      </c>
      <c r="W264">
        <f>HYPERLINK("https://klasma.github.io/Logging_STRANGNAS/klagomålsmail/A 64960-2020.docx")</f>
        <v/>
      </c>
      <c r="X264">
        <f>HYPERLINK("https://klasma.github.io/Logging_STRANGNAS/tillsyn/A 64960-2020.docx")</f>
        <v/>
      </c>
      <c r="Y264">
        <f>HYPERLINK("https://klasma.github.io/Logging_STRANGNAS/tillsynsmail/A 64960-2020.docx")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45182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66876-2020.xlsx")</f>
        <v/>
      </c>
      <c r="T265">
        <f>HYPERLINK("https://klasma.github.io/Logging_KATRINEHOLM/kartor/A 66876-2020.png")</f>
        <v/>
      </c>
      <c r="V265">
        <f>HYPERLINK("https://klasma.github.io/Logging_KATRINEHOLM/klagomål/A 66876-2020.docx")</f>
        <v/>
      </c>
      <c r="W265">
        <f>HYPERLINK("https://klasma.github.io/Logging_KATRINEHOLM/klagomålsmail/A 66876-2020.docx")</f>
        <v/>
      </c>
      <c r="X265">
        <f>HYPERLINK("https://klasma.github.io/Logging_KATRINEHOLM/tillsyn/A 66876-2020.docx")</f>
        <v/>
      </c>
      <c r="Y265">
        <f>HYPERLINK("https://klasma.github.io/Logging_KATRINEHOLM/tillsynsmail/A 66876-2020.docx")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45182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7130-2021.xlsx")</f>
        <v/>
      </c>
      <c r="T266">
        <f>HYPERLINK("https://klasma.github.io/Logging_NYKOPING/kartor/A 7130-2021.png")</f>
        <v/>
      </c>
      <c r="V266">
        <f>HYPERLINK("https://klasma.github.io/Logging_NYKOPING/klagomål/A 7130-2021.docx")</f>
        <v/>
      </c>
      <c r="W266">
        <f>HYPERLINK("https://klasma.github.io/Logging_NYKOPING/klagomålsmail/A 7130-2021.docx")</f>
        <v/>
      </c>
      <c r="X266">
        <f>HYPERLINK("https://klasma.github.io/Logging_NYKOPING/tillsyn/A 7130-2021.docx")</f>
        <v/>
      </c>
      <c r="Y266">
        <f>HYPERLINK("https://klasma.github.io/Logging_NYKOPING/tillsynsmail/A 7130-2021.docx")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45182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11150-2021.xlsx")</f>
        <v/>
      </c>
      <c r="T267">
        <f>HYPERLINK("https://klasma.github.io/Logging_GNESTA/kartor/A 11150-2021.png")</f>
        <v/>
      </c>
      <c r="V267">
        <f>HYPERLINK("https://klasma.github.io/Logging_GNESTA/klagomål/A 11150-2021.docx")</f>
        <v/>
      </c>
      <c r="W267">
        <f>HYPERLINK("https://klasma.github.io/Logging_GNESTA/klagomålsmail/A 11150-2021.docx")</f>
        <v/>
      </c>
      <c r="X267">
        <f>HYPERLINK("https://klasma.github.io/Logging_GNESTA/tillsyn/A 11150-2021.docx")</f>
        <v/>
      </c>
      <c r="Y267">
        <f>HYPERLINK("https://klasma.github.io/Logging_GNESTA/tillsynsmail/A 11150-2021.docx")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45182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11354-2021.xlsx")</f>
        <v/>
      </c>
      <c r="T268">
        <f>HYPERLINK("https://klasma.github.io/Logging_NYKOPING/kartor/A 11354-2021.png")</f>
        <v/>
      </c>
      <c r="V268">
        <f>HYPERLINK("https://klasma.github.io/Logging_NYKOPING/klagomål/A 11354-2021.docx")</f>
        <v/>
      </c>
      <c r="W268">
        <f>HYPERLINK("https://klasma.github.io/Logging_NYKOPING/klagomålsmail/A 11354-2021.docx")</f>
        <v/>
      </c>
      <c r="X268">
        <f>HYPERLINK("https://klasma.github.io/Logging_NYKOPING/tillsyn/A 11354-2021.docx")</f>
        <v/>
      </c>
      <c r="Y268">
        <f>HYPERLINK("https://klasma.github.io/Logging_NYKOPING/tillsynsmail/A 11354-2021.docx")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45182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16826-2021.xlsx")</f>
        <v/>
      </c>
      <c r="T269">
        <f>HYPERLINK("https://klasma.github.io/Logging_GNESTA/kartor/A 16826-2021.png")</f>
        <v/>
      </c>
      <c r="V269">
        <f>HYPERLINK("https://klasma.github.io/Logging_GNESTA/klagomål/A 16826-2021.docx")</f>
        <v/>
      </c>
      <c r="W269">
        <f>HYPERLINK("https://klasma.github.io/Logging_GNESTA/klagomålsmail/A 16826-2021.docx")</f>
        <v/>
      </c>
      <c r="X269">
        <f>HYPERLINK("https://klasma.github.io/Logging_GNESTA/tillsyn/A 16826-2021.docx")</f>
        <v/>
      </c>
      <c r="Y269">
        <f>HYPERLINK("https://klasma.github.io/Logging_GNESTA/tillsynsmail/A 16826-2021.docx")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45182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24223-2021.xlsx")</f>
        <v/>
      </c>
      <c r="T270">
        <f>HYPERLINK("https://klasma.github.io/Logging_VINGAKER/kartor/A 24223-2021.png")</f>
        <v/>
      </c>
      <c r="V270">
        <f>HYPERLINK("https://klasma.github.io/Logging_VINGAKER/klagomål/A 24223-2021.docx")</f>
        <v/>
      </c>
      <c r="W270">
        <f>HYPERLINK("https://klasma.github.io/Logging_VINGAKER/klagomålsmail/A 24223-2021.docx")</f>
        <v/>
      </c>
      <c r="X270">
        <f>HYPERLINK("https://klasma.github.io/Logging_VINGAKER/tillsyn/A 24223-2021.docx")</f>
        <v/>
      </c>
      <c r="Y270">
        <f>HYPERLINK("https://klasma.github.io/Logging_VINGAKER/tillsynsmail/A 24223-2021.docx")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45182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24301-2021.xlsx")</f>
        <v/>
      </c>
      <c r="T271">
        <f>HYPERLINK("https://klasma.github.io/Logging_VINGAKER/kartor/A 24301-2021.png")</f>
        <v/>
      </c>
      <c r="V271">
        <f>HYPERLINK("https://klasma.github.io/Logging_VINGAKER/klagomål/A 24301-2021.docx")</f>
        <v/>
      </c>
      <c r="W271">
        <f>HYPERLINK("https://klasma.github.io/Logging_VINGAKER/klagomålsmail/A 24301-2021.docx")</f>
        <v/>
      </c>
      <c r="X271">
        <f>HYPERLINK("https://klasma.github.io/Logging_VINGAKER/tillsyn/A 24301-2021.docx")</f>
        <v/>
      </c>
      <c r="Y271">
        <f>HYPERLINK("https://klasma.github.io/Logging_VINGAKER/tillsynsmail/A 24301-2021.docx")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45182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26647-2021.xlsx")</f>
        <v/>
      </c>
      <c r="T272">
        <f>HYPERLINK("https://klasma.github.io/Logging_NYKOPING/kartor/A 26647-2021.png")</f>
        <v/>
      </c>
      <c r="V272">
        <f>HYPERLINK("https://klasma.github.io/Logging_NYKOPING/klagomål/A 26647-2021.docx")</f>
        <v/>
      </c>
      <c r="W272">
        <f>HYPERLINK("https://klasma.github.io/Logging_NYKOPING/klagomålsmail/A 26647-2021.docx")</f>
        <v/>
      </c>
      <c r="X272">
        <f>HYPERLINK("https://klasma.github.io/Logging_NYKOPING/tillsyn/A 26647-2021.docx")</f>
        <v/>
      </c>
      <c r="Y272">
        <f>HYPERLINK("https://klasma.github.io/Logging_NYKOPING/tillsynsmail/A 26647-2021.docx")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45182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30155-2021.xlsx")</f>
        <v/>
      </c>
      <c r="T273">
        <f>HYPERLINK("https://klasma.github.io/Logging_NYKOPING/kartor/A 30155-2021.png")</f>
        <v/>
      </c>
      <c r="V273">
        <f>HYPERLINK("https://klasma.github.io/Logging_NYKOPING/klagomål/A 30155-2021.docx")</f>
        <v/>
      </c>
      <c r="W273">
        <f>HYPERLINK("https://klasma.github.io/Logging_NYKOPING/klagomålsmail/A 30155-2021.docx")</f>
        <v/>
      </c>
      <c r="X273">
        <f>HYPERLINK("https://klasma.github.io/Logging_NYKOPING/tillsyn/A 30155-2021.docx")</f>
        <v/>
      </c>
      <c r="Y273">
        <f>HYPERLINK("https://klasma.github.io/Logging_NYKOPING/tillsynsmail/A 30155-2021.docx")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45182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33759-2021.xlsx")</f>
        <v/>
      </c>
      <c r="T274">
        <f>HYPERLINK("https://klasma.github.io/Logging_ESKILSTUNA/kartor/A 33759-2021.png")</f>
        <v/>
      </c>
      <c r="V274">
        <f>HYPERLINK("https://klasma.github.io/Logging_ESKILSTUNA/klagomål/A 33759-2021.docx")</f>
        <v/>
      </c>
      <c r="W274">
        <f>HYPERLINK("https://klasma.github.io/Logging_ESKILSTUNA/klagomålsmail/A 33759-2021.docx")</f>
        <v/>
      </c>
      <c r="X274">
        <f>HYPERLINK("https://klasma.github.io/Logging_ESKILSTUNA/tillsyn/A 33759-2021.docx")</f>
        <v/>
      </c>
      <c r="Y274">
        <f>HYPERLINK("https://klasma.github.io/Logging_ESKILSTUNA/tillsynsmail/A 33759-2021.docx")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45182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37347-2021.xlsx")</f>
        <v/>
      </c>
      <c r="T275">
        <f>HYPERLINK("https://klasma.github.io/Logging_FLEN/kartor/A 37347-2021.png")</f>
        <v/>
      </c>
      <c r="V275">
        <f>HYPERLINK("https://klasma.github.io/Logging_FLEN/klagomål/A 37347-2021.docx")</f>
        <v/>
      </c>
      <c r="W275">
        <f>HYPERLINK("https://klasma.github.io/Logging_FLEN/klagomålsmail/A 37347-2021.docx")</f>
        <v/>
      </c>
      <c r="X275">
        <f>HYPERLINK("https://klasma.github.io/Logging_FLEN/tillsyn/A 37347-2021.docx")</f>
        <v/>
      </c>
      <c r="Y275">
        <f>HYPERLINK("https://klasma.github.io/Logging_FLEN/tillsynsmail/A 37347-2021.docx")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45182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37836-2021.xlsx")</f>
        <v/>
      </c>
      <c r="T276">
        <f>HYPERLINK("https://klasma.github.io/Logging_TROSA/kartor/A 37836-2021.png")</f>
        <v/>
      </c>
      <c r="U276">
        <f>HYPERLINK("https://klasma.github.io/Logging_TROSA/knärot/A 37836-2021.png")</f>
        <v/>
      </c>
      <c r="V276">
        <f>HYPERLINK("https://klasma.github.io/Logging_TROSA/klagomål/A 37836-2021.docx")</f>
        <v/>
      </c>
      <c r="W276">
        <f>HYPERLINK("https://klasma.github.io/Logging_TROSA/klagomålsmail/A 37836-2021.docx")</f>
        <v/>
      </c>
      <c r="X276">
        <f>HYPERLINK("https://klasma.github.io/Logging_TROSA/tillsyn/A 37836-2021.docx")</f>
        <v/>
      </c>
      <c r="Y276">
        <f>HYPERLINK("https://klasma.github.io/Logging_TROSA/tillsynsmail/A 37836-2021.docx")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45182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37879-2021.xlsx")</f>
        <v/>
      </c>
      <c r="T277">
        <f>HYPERLINK("https://klasma.github.io/Logging_NYKOPING/kartor/A 37879-2021.png")</f>
        <v/>
      </c>
      <c r="V277">
        <f>HYPERLINK("https://klasma.github.io/Logging_NYKOPING/klagomål/A 37879-2021.docx")</f>
        <v/>
      </c>
      <c r="W277">
        <f>HYPERLINK("https://klasma.github.io/Logging_NYKOPING/klagomålsmail/A 37879-2021.docx")</f>
        <v/>
      </c>
      <c r="X277">
        <f>HYPERLINK("https://klasma.github.io/Logging_NYKOPING/tillsyn/A 37879-2021.docx")</f>
        <v/>
      </c>
      <c r="Y277">
        <f>HYPERLINK("https://klasma.github.io/Logging_NYKOPING/tillsynsmail/A 37879-2021.docx")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45182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38366-2021.xlsx")</f>
        <v/>
      </c>
      <c r="T278">
        <f>HYPERLINK("https://klasma.github.io/Logging_NYKOPING/kartor/A 38366-2021.png")</f>
        <v/>
      </c>
      <c r="V278">
        <f>HYPERLINK("https://klasma.github.io/Logging_NYKOPING/klagomål/A 38366-2021.docx")</f>
        <v/>
      </c>
      <c r="W278">
        <f>HYPERLINK("https://klasma.github.io/Logging_NYKOPING/klagomålsmail/A 38366-2021.docx")</f>
        <v/>
      </c>
      <c r="X278">
        <f>HYPERLINK("https://klasma.github.io/Logging_NYKOPING/tillsyn/A 38366-2021.docx")</f>
        <v/>
      </c>
      <c r="Y278">
        <f>HYPERLINK("https://klasma.github.io/Logging_NYKOPING/tillsynsmail/A 38366-2021.docx")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45182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42903-2021.xlsx")</f>
        <v/>
      </c>
      <c r="T279">
        <f>HYPERLINK("https://klasma.github.io/Logging_NYKOPING/kartor/A 42903-2021.png")</f>
        <v/>
      </c>
      <c r="V279">
        <f>HYPERLINK("https://klasma.github.io/Logging_NYKOPING/klagomål/A 42903-2021.docx")</f>
        <v/>
      </c>
      <c r="W279">
        <f>HYPERLINK("https://klasma.github.io/Logging_NYKOPING/klagomålsmail/A 42903-2021.docx")</f>
        <v/>
      </c>
      <c r="X279">
        <f>HYPERLINK("https://klasma.github.io/Logging_NYKOPING/tillsyn/A 42903-2021.docx")</f>
        <v/>
      </c>
      <c r="Y279">
        <f>HYPERLINK("https://klasma.github.io/Logging_NYKOPING/tillsynsmail/A 42903-2021.docx")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45182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43536-2021.xlsx")</f>
        <v/>
      </c>
      <c r="T280">
        <f>HYPERLINK("https://klasma.github.io/Logging_KATRINEHOLM/kartor/A 43536-2021.png")</f>
        <v/>
      </c>
      <c r="V280">
        <f>HYPERLINK("https://klasma.github.io/Logging_KATRINEHOLM/klagomål/A 43536-2021.docx")</f>
        <v/>
      </c>
      <c r="W280">
        <f>HYPERLINK("https://klasma.github.io/Logging_KATRINEHOLM/klagomålsmail/A 43536-2021.docx")</f>
        <v/>
      </c>
      <c r="X280">
        <f>HYPERLINK("https://klasma.github.io/Logging_KATRINEHOLM/tillsyn/A 43536-2021.docx")</f>
        <v/>
      </c>
      <c r="Y280">
        <f>HYPERLINK("https://klasma.github.io/Logging_KATRINEHOLM/tillsynsmail/A 43536-2021.docx")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45182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47095-2021.xlsx")</f>
        <v/>
      </c>
      <c r="T281">
        <f>HYPERLINK("https://klasma.github.io/Logging_NYKOPING/kartor/A 47095-2021.png")</f>
        <v/>
      </c>
      <c r="V281">
        <f>HYPERLINK("https://klasma.github.io/Logging_NYKOPING/klagomål/A 47095-2021.docx")</f>
        <v/>
      </c>
      <c r="W281">
        <f>HYPERLINK("https://klasma.github.io/Logging_NYKOPING/klagomålsmail/A 47095-2021.docx")</f>
        <v/>
      </c>
      <c r="X281">
        <f>HYPERLINK("https://klasma.github.io/Logging_NYKOPING/tillsyn/A 47095-2021.docx")</f>
        <v/>
      </c>
      <c r="Y281">
        <f>HYPERLINK("https://klasma.github.io/Logging_NYKOPING/tillsynsmail/A 47095-2021.docx")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45182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47107-2021.xlsx")</f>
        <v/>
      </c>
      <c r="T282">
        <f>HYPERLINK("https://klasma.github.io/Logging_NYKOPING/kartor/A 47107-2021.png")</f>
        <v/>
      </c>
      <c r="V282">
        <f>HYPERLINK("https://klasma.github.io/Logging_NYKOPING/klagomål/A 47107-2021.docx")</f>
        <v/>
      </c>
      <c r="W282">
        <f>HYPERLINK("https://klasma.github.io/Logging_NYKOPING/klagomålsmail/A 47107-2021.docx")</f>
        <v/>
      </c>
      <c r="X282">
        <f>HYPERLINK("https://klasma.github.io/Logging_NYKOPING/tillsyn/A 47107-2021.docx")</f>
        <v/>
      </c>
      <c r="Y282">
        <f>HYPERLINK("https://klasma.github.io/Logging_NYKOPING/tillsynsmail/A 47107-2021.docx")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45182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53206-2021.xlsx")</f>
        <v/>
      </c>
      <c r="T283">
        <f>HYPERLINK("https://klasma.github.io/Logging_ESKILSTUNA/kartor/A 53206-2021.png")</f>
        <v/>
      </c>
      <c r="V283">
        <f>HYPERLINK("https://klasma.github.io/Logging_ESKILSTUNA/klagomål/A 53206-2021.docx")</f>
        <v/>
      </c>
      <c r="W283">
        <f>HYPERLINK("https://klasma.github.io/Logging_ESKILSTUNA/klagomålsmail/A 53206-2021.docx")</f>
        <v/>
      </c>
      <c r="X283">
        <f>HYPERLINK("https://klasma.github.io/Logging_ESKILSTUNA/tillsyn/A 53206-2021.docx")</f>
        <v/>
      </c>
      <c r="Y283">
        <f>HYPERLINK("https://klasma.github.io/Logging_ESKILSTUNA/tillsynsmail/A 53206-2021.docx")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56420-2021.xlsx")</f>
        <v/>
      </c>
      <c r="T284">
        <f>HYPERLINK("https://klasma.github.io/Logging_NYKOPING/kartor/A 56420-2021.png")</f>
        <v/>
      </c>
      <c r="V284">
        <f>HYPERLINK("https://klasma.github.io/Logging_NYKOPING/klagomål/A 56420-2021.docx")</f>
        <v/>
      </c>
      <c r="W284">
        <f>HYPERLINK("https://klasma.github.io/Logging_NYKOPING/klagomålsmail/A 56420-2021.docx")</f>
        <v/>
      </c>
      <c r="X284">
        <f>HYPERLINK("https://klasma.github.io/Logging_NYKOPING/tillsyn/A 56420-2021.docx")</f>
        <v/>
      </c>
      <c r="Y284">
        <f>HYPERLINK("https://klasma.github.io/Logging_NYKOPING/tillsynsmail/A 56420-2021.docx")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45182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56897-2021.xlsx")</f>
        <v/>
      </c>
      <c r="T285">
        <f>HYPERLINK("https://klasma.github.io/Logging_KATRINEHOLM/kartor/A 56897-2021.png")</f>
        <v/>
      </c>
      <c r="V285">
        <f>HYPERLINK("https://klasma.github.io/Logging_KATRINEHOLM/klagomål/A 56897-2021.docx")</f>
        <v/>
      </c>
      <c r="W285">
        <f>HYPERLINK("https://klasma.github.io/Logging_KATRINEHOLM/klagomålsmail/A 56897-2021.docx")</f>
        <v/>
      </c>
      <c r="X285">
        <f>HYPERLINK("https://klasma.github.io/Logging_KATRINEHOLM/tillsyn/A 56897-2021.docx")</f>
        <v/>
      </c>
      <c r="Y285">
        <f>HYPERLINK("https://klasma.github.io/Logging_KATRINEHOLM/tillsynsmail/A 56897-2021.docx")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45182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57519-2021.xlsx")</f>
        <v/>
      </c>
      <c r="T286">
        <f>HYPERLINK("https://klasma.github.io/Logging_KATRINEHOLM/kartor/A 57519-2021.png")</f>
        <v/>
      </c>
      <c r="V286">
        <f>HYPERLINK("https://klasma.github.io/Logging_KATRINEHOLM/klagomål/A 57519-2021.docx")</f>
        <v/>
      </c>
      <c r="W286">
        <f>HYPERLINK("https://klasma.github.io/Logging_KATRINEHOLM/klagomålsmail/A 57519-2021.docx")</f>
        <v/>
      </c>
      <c r="X286">
        <f>HYPERLINK("https://klasma.github.io/Logging_KATRINEHOLM/tillsyn/A 57519-2021.docx")</f>
        <v/>
      </c>
      <c r="Y286">
        <f>HYPERLINK("https://klasma.github.io/Logging_KATRINEHOLM/tillsynsmail/A 57519-2021.docx")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45182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57766-2021.xlsx")</f>
        <v/>
      </c>
      <c r="T287">
        <f>HYPERLINK("https://klasma.github.io/Logging_FLEN/kartor/A 57766-2021.png")</f>
        <v/>
      </c>
      <c r="V287">
        <f>HYPERLINK("https://klasma.github.io/Logging_FLEN/klagomål/A 57766-2021.docx")</f>
        <v/>
      </c>
      <c r="W287">
        <f>HYPERLINK("https://klasma.github.io/Logging_FLEN/klagomålsmail/A 57766-2021.docx")</f>
        <v/>
      </c>
      <c r="X287">
        <f>HYPERLINK("https://klasma.github.io/Logging_FLEN/tillsyn/A 57766-2021.docx")</f>
        <v/>
      </c>
      <c r="Y287">
        <f>HYPERLINK("https://klasma.github.io/Logging_FLEN/tillsynsmail/A 57766-2021.docx")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45182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61071-2021.xlsx")</f>
        <v/>
      </c>
      <c r="T288">
        <f>HYPERLINK("https://klasma.github.io/Logging_NYKOPING/kartor/A 61071-2021.png")</f>
        <v/>
      </c>
      <c r="V288">
        <f>HYPERLINK("https://klasma.github.io/Logging_NYKOPING/klagomål/A 61071-2021.docx")</f>
        <v/>
      </c>
      <c r="W288">
        <f>HYPERLINK("https://klasma.github.io/Logging_NYKOPING/klagomålsmail/A 61071-2021.docx")</f>
        <v/>
      </c>
      <c r="X288">
        <f>HYPERLINK("https://klasma.github.io/Logging_NYKOPING/tillsyn/A 61071-2021.docx")</f>
        <v/>
      </c>
      <c r="Y288">
        <f>HYPERLINK("https://klasma.github.io/Logging_NYKOPING/tillsynsmail/A 61071-2021.docx")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45182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62141-2021.xlsx")</f>
        <v/>
      </c>
      <c r="T289">
        <f>HYPERLINK("https://klasma.github.io/Logging_ESKILSTUNA/kartor/A 62141-2021.png")</f>
        <v/>
      </c>
      <c r="V289">
        <f>HYPERLINK("https://klasma.github.io/Logging_ESKILSTUNA/klagomål/A 62141-2021.docx")</f>
        <v/>
      </c>
      <c r="W289">
        <f>HYPERLINK("https://klasma.github.io/Logging_ESKILSTUNA/klagomålsmail/A 62141-2021.docx")</f>
        <v/>
      </c>
      <c r="X289">
        <f>HYPERLINK("https://klasma.github.io/Logging_ESKILSTUNA/tillsyn/A 62141-2021.docx")</f>
        <v/>
      </c>
      <c r="Y289">
        <f>HYPERLINK("https://klasma.github.io/Logging_ESKILSTUNA/tillsynsmail/A 62141-2021.docx")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45182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62355-2021.xlsx")</f>
        <v/>
      </c>
      <c r="T290">
        <f>HYPERLINK("https://klasma.github.io/Logging_FLEN/kartor/A 62355-2021.png")</f>
        <v/>
      </c>
      <c r="V290">
        <f>HYPERLINK("https://klasma.github.io/Logging_FLEN/klagomål/A 62355-2021.docx")</f>
        <v/>
      </c>
      <c r="W290">
        <f>HYPERLINK("https://klasma.github.io/Logging_FLEN/klagomålsmail/A 62355-2021.docx")</f>
        <v/>
      </c>
      <c r="X290">
        <f>HYPERLINK("https://klasma.github.io/Logging_FLEN/tillsyn/A 62355-2021.docx")</f>
        <v/>
      </c>
      <c r="Y290">
        <f>HYPERLINK("https://klasma.github.io/Logging_FLEN/tillsynsmail/A 62355-2021.docx")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45182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62535-2021.xlsx")</f>
        <v/>
      </c>
      <c r="T291">
        <f>HYPERLINK("https://klasma.github.io/Logging_FLEN/kartor/A 62535-2021.png")</f>
        <v/>
      </c>
      <c r="V291">
        <f>HYPERLINK("https://klasma.github.io/Logging_FLEN/klagomål/A 62535-2021.docx")</f>
        <v/>
      </c>
      <c r="W291">
        <f>HYPERLINK("https://klasma.github.io/Logging_FLEN/klagomålsmail/A 62535-2021.docx")</f>
        <v/>
      </c>
      <c r="X291">
        <f>HYPERLINK("https://klasma.github.io/Logging_FLEN/tillsyn/A 62535-2021.docx")</f>
        <v/>
      </c>
      <c r="Y291">
        <f>HYPERLINK("https://klasma.github.io/Logging_FLEN/tillsynsmail/A 62535-2021.docx")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45182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62716-2021.xlsx")</f>
        <v/>
      </c>
      <c r="T292">
        <f>HYPERLINK("https://klasma.github.io/Logging_NYKOPING/kartor/A 62716-2021.png")</f>
        <v/>
      </c>
      <c r="V292">
        <f>HYPERLINK("https://klasma.github.io/Logging_NYKOPING/klagomål/A 62716-2021.docx")</f>
        <v/>
      </c>
      <c r="W292">
        <f>HYPERLINK("https://klasma.github.io/Logging_NYKOPING/klagomålsmail/A 62716-2021.docx")</f>
        <v/>
      </c>
      <c r="X292">
        <f>HYPERLINK("https://klasma.github.io/Logging_NYKOPING/tillsyn/A 62716-2021.docx")</f>
        <v/>
      </c>
      <c r="Y292">
        <f>HYPERLINK("https://klasma.github.io/Logging_NYKOPING/tillsynsmail/A 62716-2021.docx")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45182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63029-2021.xlsx")</f>
        <v/>
      </c>
      <c r="T293">
        <f>HYPERLINK("https://klasma.github.io/Logging_TROSA/kartor/A 63029-2021.png")</f>
        <v/>
      </c>
      <c r="V293">
        <f>HYPERLINK("https://klasma.github.io/Logging_TROSA/klagomål/A 63029-2021.docx")</f>
        <v/>
      </c>
      <c r="W293">
        <f>HYPERLINK("https://klasma.github.io/Logging_TROSA/klagomålsmail/A 63029-2021.docx")</f>
        <v/>
      </c>
      <c r="X293">
        <f>HYPERLINK("https://klasma.github.io/Logging_TROSA/tillsyn/A 63029-2021.docx")</f>
        <v/>
      </c>
      <c r="Y293">
        <f>HYPERLINK("https://klasma.github.io/Logging_TROSA/tillsynsmail/A 63029-2021.docx")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45182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63301-2021.xlsx")</f>
        <v/>
      </c>
      <c r="T294">
        <f>HYPERLINK("https://klasma.github.io/Logging_STRANGNAS/kartor/A 63301-2021.png")</f>
        <v/>
      </c>
      <c r="V294">
        <f>HYPERLINK("https://klasma.github.io/Logging_STRANGNAS/klagomål/A 63301-2021.docx")</f>
        <v/>
      </c>
      <c r="W294">
        <f>HYPERLINK("https://klasma.github.io/Logging_STRANGNAS/klagomålsmail/A 63301-2021.docx")</f>
        <v/>
      </c>
      <c r="X294">
        <f>HYPERLINK("https://klasma.github.io/Logging_STRANGNAS/tillsyn/A 63301-2021.docx")</f>
        <v/>
      </c>
      <c r="Y294">
        <f>HYPERLINK("https://klasma.github.io/Logging_STRANGNAS/tillsynsmail/A 63301-2021.docx")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45182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65184-2021.xlsx")</f>
        <v/>
      </c>
      <c r="T295">
        <f>HYPERLINK("https://klasma.github.io/Logging_KATRINEHOLM/kartor/A 65184-2021.png")</f>
        <v/>
      </c>
      <c r="V295">
        <f>HYPERLINK("https://klasma.github.io/Logging_KATRINEHOLM/klagomål/A 65184-2021.docx")</f>
        <v/>
      </c>
      <c r="W295">
        <f>HYPERLINK("https://klasma.github.io/Logging_KATRINEHOLM/klagomålsmail/A 65184-2021.docx")</f>
        <v/>
      </c>
      <c r="X295">
        <f>HYPERLINK("https://klasma.github.io/Logging_KATRINEHOLM/tillsyn/A 65184-2021.docx")</f>
        <v/>
      </c>
      <c r="Y295">
        <f>HYPERLINK("https://klasma.github.io/Logging_KATRINEHOLM/tillsynsmail/A 65184-2021.docx")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45182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65380-2021.xlsx")</f>
        <v/>
      </c>
      <c r="T296">
        <f>HYPERLINK("https://klasma.github.io/Logging_ESKILSTUNA/kartor/A 65380-2021.png")</f>
        <v/>
      </c>
      <c r="V296">
        <f>HYPERLINK("https://klasma.github.io/Logging_ESKILSTUNA/klagomål/A 65380-2021.docx")</f>
        <v/>
      </c>
      <c r="W296">
        <f>HYPERLINK("https://klasma.github.io/Logging_ESKILSTUNA/klagomålsmail/A 65380-2021.docx")</f>
        <v/>
      </c>
      <c r="X296">
        <f>HYPERLINK("https://klasma.github.io/Logging_ESKILSTUNA/tillsyn/A 65380-2021.docx")</f>
        <v/>
      </c>
      <c r="Y296">
        <f>HYPERLINK("https://klasma.github.io/Logging_ESKILSTUNA/tillsynsmail/A 65380-2021.docx")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45182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65330-2021.xlsx")</f>
        <v/>
      </c>
      <c r="T297">
        <f>HYPERLINK("https://klasma.github.io/Logging_STRANGNAS/kartor/A 65330-2021.png")</f>
        <v/>
      </c>
      <c r="V297">
        <f>HYPERLINK("https://klasma.github.io/Logging_STRANGNAS/klagomål/A 65330-2021.docx")</f>
        <v/>
      </c>
      <c r="W297">
        <f>HYPERLINK("https://klasma.github.io/Logging_STRANGNAS/klagomålsmail/A 65330-2021.docx")</f>
        <v/>
      </c>
      <c r="X297">
        <f>HYPERLINK("https://klasma.github.io/Logging_STRANGNAS/tillsyn/A 65330-2021.docx")</f>
        <v/>
      </c>
      <c r="Y297">
        <f>HYPERLINK("https://klasma.github.io/Logging_STRANGNAS/tillsynsmail/A 65330-2021.docx")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45182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65889-2021.xlsx")</f>
        <v/>
      </c>
      <c r="T298">
        <f>HYPERLINK("https://klasma.github.io/Logging_NYKOPING/kartor/A 65889-2021.png")</f>
        <v/>
      </c>
      <c r="V298">
        <f>HYPERLINK("https://klasma.github.io/Logging_NYKOPING/klagomål/A 65889-2021.docx")</f>
        <v/>
      </c>
      <c r="W298">
        <f>HYPERLINK("https://klasma.github.io/Logging_NYKOPING/klagomålsmail/A 65889-2021.docx")</f>
        <v/>
      </c>
      <c r="X298">
        <f>HYPERLINK("https://klasma.github.io/Logging_NYKOPING/tillsyn/A 65889-2021.docx")</f>
        <v/>
      </c>
      <c r="Y298">
        <f>HYPERLINK("https://klasma.github.io/Logging_NYKOPING/tillsynsmail/A 65889-2021.docx")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45182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65892-2021.xlsx")</f>
        <v/>
      </c>
      <c r="T299">
        <f>HYPERLINK("https://klasma.github.io/Logging_NYKOPING/kartor/A 65892-2021.png")</f>
        <v/>
      </c>
      <c r="V299">
        <f>HYPERLINK("https://klasma.github.io/Logging_NYKOPING/klagomål/A 65892-2021.docx")</f>
        <v/>
      </c>
      <c r="W299">
        <f>HYPERLINK("https://klasma.github.io/Logging_NYKOPING/klagomålsmail/A 65892-2021.docx")</f>
        <v/>
      </c>
      <c r="X299">
        <f>HYPERLINK("https://klasma.github.io/Logging_NYKOPING/tillsyn/A 65892-2021.docx")</f>
        <v/>
      </c>
      <c r="Y299">
        <f>HYPERLINK("https://klasma.github.io/Logging_NYKOPING/tillsynsmail/A 65892-2021.docx")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45182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66246-2021.xlsx")</f>
        <v/>
      </c>
      <c r="T300">
        <f>HYPERLINK("https://klasma.github.io/Logging_VINGAKER/kartor/A 66246-2021.png")</f>
        <v/>
      </c>
      <c r="V300">
        <f>HYPERLINK("https://klasma.github.io/Logging_VINGAKER/klagomål/A 66246-2021.docx")</f>
        <v/>
      </c>
      <c r="W300">
        <f>HYPERLINK("https://klasma.github.io/Logging_VINGAKER/klagomålsmail/A 66246-2021.docx")</f>
        <v/>
      </c>
      <c r="X300">
        <f>HYPERLINK("https://klasma.github.io/Logging_VINGAKER/tillsyn/A 66246-2021.docx")</f>
        <v/>
      </c>
      <c r="Y300">
        <f>HYPERLINK("https://klasma.github.io/Logging_VINGAKER/tillsynsmail/A 66246-2021.docx")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45182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66243-2021.xlsx")</f>
        <v/>
      </c>
      <c r="T301">
        <f>HYPERLINK("https://klasma.github.io/Logging_VINGAKER/kartor/A 66243-2021.png")</f>
        <v/>
      </c>
      <c r="V301">
        <f>HYPERLINK("https://klasma.github.io/Logging_VINGAKER/klagomål/A 66243-2021.docx")</f>
        <v/>
      </c>
      <c r="W301">
        <f>HYPERLINK("https://klasma.github.io/Logging_VINGAKER/klagomålsmail/A 66243-2021.docx")</f>
        <v/>
      </c>
      <c r="X301">
        <f>HYPERLINK("https://klasma.github.io/Logging_VINGAKER/tillsyn/A 66243-2021.docx")</f>
        <v/>
      </c>
      <c r="Y301">
        <f>HYPERLINK("https://klasma.github.io/Logging_VINGAKER/tillsynsmail/A 66243-2021.docx")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45182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67819-2021.xlsx")</f>
        <v/>
      </c>
      <c r="T302">
        <f>HYPERLINK("https://klasma.github.io/Logging_NYKOPING/kartor/A 67819-2021.png")</f>
        <v/>
      </c>
      <c r="V302">
        <f>HYPERLINK("https://klasma.github.io/Logging_NYKOPING/klagomål/A 67819-2021.docx")</f>
        <v/>
      </c>
      <c r="W302">
        <f>HYPERLINK("https://klasma.github.io/Logging_NYKOPING/klagomålsmail/A 67819-2021.docx")</f>
        <v/>
      </c>
      <c r="X302">
        <f>HYPERLINK("https://klasma.github.io/Logging_NYKOPING/tillsyn/A 67819-2021.docx")</f>
        <v/>
      </c>
      <c r="Y302">
        <f>HYPERLINK("https://klasma.github.io/Logging_NYKOPING/tillsynsmail/A 67819-2021.docx")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45182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70039-2021.xlsx")</f>
        <v/>
      </c>
      <c r="T303">
        <f>HYPERLINK("https://klasma.github.io/Logging_FLEN/kartor/A 70039-2021.png")</f>
        <v/>
      </c>
      <c r="V303">
        <f>HYPERLINK("https://klasma.github.io/Logging_FLEN/klagomål/A 70039-2021.docx")</f>
        <v/>
      </c>
      <c r="W303">
        <f>HYPERLINK("https://klasma.github.io/Logging_FLEN/klagomålsmail/A 70039-2021.docx")</f>
        <v/>
      </c>
      <c r="X303">
        <f>HYPERLINK("https://klasma.github.io/Logging_FLEN/tillsyn/A 70039-2021.docx")</f>
        <v/>
      </c>
      <c r="Y303">
        <f>HYPERLINK("https://klasma.github.io/Logging_FLEN/tillsynsmail/A 70039-2021.docx")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45182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72851-2021.xlsx")</f>
        <v/>
      </c>
      <c r="T304">
        <f>HYPERLINK("https://klasma.github.io/Logging_KATRINEHOLM/kartor/A 72851-2021.png")</f>
        <v/>
      </c>
      <c r="V304">
        <f>HYPERLINK("https://klasma.github.io/Logging_KATRINEHOLM/klagomål/A 72851-2021.docx")</f>
        <v/>
      </c>
      <c r="W304">
        <f>HYPERLINK("https://klasma.github.io/Logging_KATRINEHOLM/klagomålsmail/A 72851-2021.docx")</f>
        <v/>
      </c>
      <c r="X304">
        <f>HYPERLINK("https://klasma.github.io/Logging_KATRINEHOLM/tillsyn/A 72851-2021.docx")</f>
        <v/>
      </c>
      <c r="Y304">
        <f>HYPERLINK("https://klasma.github.io/Logging_KATRINEHOLM/tillsynsmail/A 72851-2021.docx")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45182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2012-2022.xlsx")</f>
        <v/>
      </c>
      <c r="T305">
        <f>HYPERLINK("https://klasma.github.io/Logging_GNESTA/kartor/A 2012-2022.png")</f>
        <v/>
      </c>
      <c r="V305">
        <f>HYPERLINK("https://klasma.github.io/Logging_GNESTA/klagomål/A 2012-2022.docx")</f>
        <v/>
      </c>
      <c r="W305">
        <f>HYPERLINK("https://klasma.github.io/Logging_GNESTA/klagomålsmail/A 2012-2022.docx")</f>
        <v/>
      </c>
      <c r="X305">
        <f>HYPERLINK("https://klasma.github.io/Logging_GNESTA/tillsyn/A 2012-2022.docx")</f>
        <v/>
      </c>
      <c r="Y305">
        <f>HYPERLINK("https://klasma.github.io/Logging_GNESTA/tillsynsmail/A 2012-2022.docx")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45182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3162-2022.xlsx")</f>
        <v/>
      </c>
      <c r="T306">
        <f>HYPERLINK("https://klasma.github.io/Logging_ESKILSTUNA/kartor/A 3162-2022.png")</f>
        <v/>
      </c>
      <c r="V306">
        <f>HYPERLINK("https://klasma.github.io/Logging_ESKILSTUNA/klagomål/A 3162-2022.docx")</f>
        <v/>
      </c>
      <c r="W306">
        <f>HYPERLINK("https://klasma.github.io/Logging_ESKILSTUNA/klagomålsmail/A 3162-2022.docx")</f>
        <v/>
      </c>
      <c r="X306">
        <f>HYPERLINK("https://klasma.github.io/Logging_ESKILSTUNA/tillsyn/A 3162-2022.docx")</f>
        <v/>
      </c>
      <c r="Y306">
        <f>HYPERLINK("https://klasma.github.io/Logging_ESKILSTUNA/tillsynsmail/A 3162-2022.docx")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45182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6076-2022.xlsx")</f>
        <v/>
      </c>
      <c r="T307">
        <f>HYPERLINK("https://klasma.github.io/Logging_KATRINEHOLM/kartor/A 6076-2022.png")</f>
        <v/>
      </c>
      <c r="V307">
        <f>HYPERLINK("https://klasma.github.io/Logging_KATRINEHOLM/klagomål/A 6076-2022.docx")</f>
        <v/>
      </c>
      <c r="W307">
        <f>HYPERLINK("https://klasma.github.io/Logging_KATRINEHOLM/klagomålsmail/A 6076-2022.docx")</f>
        <v/>
      </c>
      <c r="X307">
        <f>HYPERLINK("https://klasma.github.io/Logging_KATRINEHOLM/tillsyn/A 6076-2022.docx")</f>
        <v/>
      </c>
      <c r="Y307">
        <f>HYPERLINK("https://klasma.github.io/Logging_KATRINEHOLM/tillsynsmail/A 6076-2022.docx")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45182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7767-2022.xlsx")</f>
        <v/>
      </c>
      <c r="T308">
        <f>HYPERLINK("https://klasma.github.io/Logging_VINGAKER/kartor/A 7767-2022.png")</f>
        <v/>
      </c>
      <c r="V308">
        <f>HYPERLINK("https://klasma.github.io/Logging_VINGAKER/klagomål/A 7767-2022.docx")</f>
        <v/>
      </c>
      <c r="W308">
        <f>HYPERLINK("https://klasma.github.io/Logging_VINGAKER/klagomålsmail/A 7767-2022.docx")</f>
        <v/>
      </c>
      <c r="X308">
        <f>HYPERLINK("https://klasma.github.io/Logging_VINGAKER/tillsyn/A 7767-2022.docx")</f>
        <v/>
      </c>
      <c r="Y308">
        <f>HYPERLINK("https://klasma.github.io/Logging_VINGAKER/tillsynsmail/A 7767-2022.docx")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45182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7883-2022.xlsx")</f>
        <v/>
      </c>
      <c r="T309">
        <f>HYPERLINK("https://klasma.github.io/Logging_FLEN/kartor/A 7883-2022.png")</f>
        <v/>
      </c>
      <c r="V309">
        <f>HYPERLINK("https://klasma.github.io/Logging_FLEN/klagomål/A 7883-2022.docx")</f>
        <v/>
      </c>
      <c r="W309">
        <f>HYPERLINK("https://klasma.github.io/Logging_FLEN/klagomålsmail/A 7883-2022.docx")</f>
        <v/>
      </c>
      <c r="X309">
        <f>HYPERLINK("https://klasma.github.io/Logging_FLEN/tillsyn/A 7883-2022.docx")</f>
        <v/>
      </c>
      <c r="Y309">
        <f>HYPERLINK("https://klasma.github.io/Logging_FLEN/tillsynsmail/A 7883-2022.docx")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45182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9973-2022.xlsx")</f>
        <v/>
      </c>
      <c r="T310">
        <f>HYPERLINK("https://klasma.github.io/Logging_NYKOPING/kartor/A 9973-2022.png")</f>
        <v/>
      </c>
      <c r="V310">
        <f>HYPERLINK("https://klasma.github.io/Logging_NYKOPING/klagomål/A 9973-2022.docx")</f>
        <v/>
      </c>
      <c r="W310">
        <f>HYPERLINK("https://klasma.github.io/Logging_NYKOPING/klagomålsmail/A 9973-2022.docx")</f>
        <v/>
      </c>
      <c r="X310">
        <f>HYPERLINK("https://klasma.github.io/Logging_NYKOPING/tillsyn/A 9973-2022.docx")</f>
        <v/>
      </c>
      <c r="Y310">
        <f>HYPERLINK("https://klasma.github.io/Logging_NYKOPING/tillsynsmail/A 9973-2022.docx")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45182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10770-2022.xlsx")</f>
        <v/>
      </c>
      <c r="T311">
        <f>HYPERLINK("https://klasma.github.io/Logging_FLEN/kartor/A 10770-2022.png")</f>
        <v/>
      </c>
      <c r="V311">
        <f>HYPERLINK("https://klasma.github.io/Logging_FLEN/klagomål/A 10770-2022.docx")</f>
        <v/>
      </c>
      <c r="W311">
        <f>HYPERLINK("https://klasma.github.io/Logging_FLEN/klagomålsmail/A 10770-2022.docx")</f>
        <v/>
      </c>
      <c r="X311">
        <f>HYPERLINK("https://klasma.github.io/Logging_FLEN/tillsyn/A 10770-2022.docx")</f>
        <v/>
      </c>
      <c r="Y311">
        <f>HYPERLINK("https://klasma.github.io/Logging_FLEN/tillsynsmail/A 10770-2022.docx")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45182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10789-2022.xlsx")</f>
        <v/>
      </c>
      <c r="T312">
        <f>HYPERLINK("https://klasma.github.io/Logging_FLEN/kartor/A 10789-2022.png")</f>
        <v/>
      </c>
      <c r="V312">
        <f>HYPERLINK("https://klasma.github.io/Logging_FLEN/klagomål/A 10789-2022.docx")</f>
        <v/>
      </c>
      <c r="W312">
        <f>HYPERLINK("https://klasma.github.io/Logging_FLEN/klagomålsmail/A 10789-2022.docx")</f>
        <v/>
      </c>
      <c r="X312">
        <f>HYPERLINK("https://klasma.github.io/Logging_FLEN/tillsyn/A 10789-2022.docx")</f>
        <v/>
      </c>
      <c r="Y312">
        <f>HYPERLINK("https://klasma.github.io/Logging_FLEN/tillsynsmail/A 10789-2022.docx")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45182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11751-2022.xlsx")</f>
        <v/>
      </c>
      <c r="T313">
        <f>HYPERLINK("https://klasma.github.io/Logging_NYKOPING/kartor/A 11751-2022.png")</f>
        <v/>
      </c>
      <c r="V313">
        <f>HYPERLINK("https://klasma.github.io/Logging_NYKOPING/klagomål/A 11751-2022.docx")</f>
        <v/>
      </c>
      <c r="W313">
        <f>HYPERLINK("https://klasma.github.io/Logging_NYKOPING/klagomålsmail/A 11751-2022.docx")</f>
        <v/>
      </c>
      <c r="X313">
        <f>HYPERLINK("https://klasma.github.io/Logging_NYKOPING/tillsyn/A 11751-2022.docx")</f>
        <v/>
      </c>
      <c r="Y313">
        <f>HYPERLINK("https://klasma.github.io/Logging_NYKOPING/tillsynsmail/A 11751-2022.docx")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45182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13464-2022.xlsx")</f>
        <v/>
      </c>
      <c r="T314">
        <f>HYPERLINK("https://klasma.github.io/Logging_NYKOPING/kartor/A 13464-2022.png")</f>
        <v/>
      </c>
      <c r="V314">
        <f>HYPERLINK("https://klasma.github.io/Logging_NYKOPING/klagomål/A 13464-2022.docx")</f>
        <v/>
      </c>
      <c r="W314">
        <f>HYPERLINK("https://klasma.github.io/Logging_NYKOPING/klagomålsmail/A 13464-2022.docx")</f>
        <v/>
      </c>
      <c r="X314">
        <f>HYPERLINK("https://klasma.github.io/Logging_NYKOPING/tillsyn/A 13464-2022.docx")</f>
        <v/>
      </c>
      <c r="Y314">
        <f>HYPERLINK("https://klasma.github.io/Logging_NYKOPING/tillsynsmail/A 13464-2022.docx")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45182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15960-2022.xlsx")</f>
        <v/>
      </c>
      <c r="T315">
        <f>HYPERLINK("https://klasma.github.io/Logging_ESKILSTUNA/kartor/A 15960-2022.png")</f>
        <v/>
      </c>
      <c r="V315">
        <f>HYPERLINK("https://klasma.github.io/Logging_ESKILSTUNA/klagomål/A 15960-2022.docx")</f>
        <v/>
      </c>
      <c r="W315">
        <f>HYPERLINK("https://klasma.github.io/Logging_ESKILSTUNA/klagomålsmail/A 15960-2022.docx")</f>
        <v/>
      </c>
      <c r="X315">
        <f>HYPERLINK("https://klasma.github.io/Logging_ESKILSTUNA/tillsyn/A 15960-2022.docx")</f>
        <v/>
      </c>
      <c r="Y315">
        <f>HYPERLINK("https://klasma.github.io/Logging_ESKILSTUNA/tillsynsmail/A 15960-2022.docx")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45182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16458-2022.xlsx")</f>
        <v/>
      </c>
      <c r="T316">
        <f>HYPERLINK("https://klasma.github.io/Logging_KATRINEHOLM/kartor/A 16458-2022.png")</f>
        <v/>
      </c>
      <c r="V316">
        <f>HYPERLINK("https://klasma.github.io/Logging_KATRINEHOLM/klagomål/A 16458-2022.docx")</f>
        <v/>
      </c>
      <c r="W316">
        <f>HYPERLINK("https://klasma.github.io/Logging_KATRINEHOLM/klagomålsmail/A 16458-2022.docx")</f>
        <v/>
      </c>
      <c r="X316">
        <f>HYPERLINK("https://klasma.github.io/Logging_KATRINEHOLM/tillsyn/A 16458-2022.docx")</f>
        <v/>
      </c>
      <c r="Y316">
        <f>HYPERLINK("https://klasma.github.io/Logging_KATRINEHOLM/tillsynsmail/A 16458-2022.docx")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45182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24454-2022.xlsx")</f>
        <v/>
      </c>
      <c r="T317">
        <f>HYPERLINK("https://klasma.github.io/Logging_STRANGNAS/kartor/A 24454-2022.png")</f>
        <v/>
      </c>
      <c r="V317">
        <f>HYPERLINK("https://klasma.github.io/Logging_STRANGNAS/klagomål/A 24454-2022.docx")</f>
        <v/>
      </c>
      <c r="W317">
        <f>HYPERLINK("https://klasma.github.io/Logging_STRANGNAS/klagomålsmail/A 24454-2022.docx")</f>
        <v/>
      </c>
      <c r="X317">
        <f>HYPERLINK("https://klasma.github.io/Logging_STRANGNAS/tillsyn/A 24454-2022.docx")</f>
        <v/>
      </c>
      <c r="Y317">
        <f>HYPERLINK("https://klasma.github.io/Logging_STRANGNAS/tillsynsmail/A 24454-2022.docx")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45182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25724-2022.xlsx")</f>
        <v/>
      </c>
      <c r="T318">
        <f>HYPERLINK("https://klasma.github.io/Logging_KATRINEHOLM/kartor/A 25724-2022.png")</f>
        <v/>
      </c>
      <c r="V318">
        <f>HYPERLINK("https://klasma.github.io/Logging_KATRINEHOLM/klagomål/A 25724-2022.docx")</f>
        <v/>
      </c>
      <c r="W318">
        <f>HYPERLINK("https://klasma.github.io/Logging_KATRINEHOLM/klagomålsmail/A 25724-2022.docx")</f>
        <v/>
      </c>
      <c r="X318">
        <f>HYPERLINK("https://klasma.github.io/Logging_KATRINEHOLM/tillsyn/A 25724-2022.docx")</f>
        <v/>
      </c>
      <c r="Y318">
        <f>HYPERLINK("https://klasma.github.io/Logging_KATRINEHOLM/tillsynsmail/A 25724-2022.docx")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45182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30727-2022.xlsx")</f>
        <v/>
      </c>
      <c r="T319">
        <f>HYPERLINK("https://klasma.github.io/Logging_KATRINEHOLM/kartor/A 30727-2022.png")</f>
        <v/>
      </c>
      <c r="U319">
        <f>HYPERLINK("https://klasma.github.io/Logging_KATRINEHOLM/knärot/A 30727-2022.png")</f>
        <v/>
      </c>
      <c r="V319">
        <f>HYPERLINK("https://klasma.github.io/Logging_KATRINEHOLM/klagomål/A 30727-2022.docx")</f>
        <v/>
      </c>
      <c r="W319">
        <f>HYPERLINK("https://klasma.github.io/Logging_KATRINEHOLM/klagomålsmail/A 30727-2022.docx")</f>
        <v/>
      </c>
      <c r="X319">
        <f>HYPERLINK("https://klasma.github.io/Logging_KATRINEHOLM/tillsyn/A 30727-2022.docx")</f>
        <v/>
      </c>
      <c r="Y319">
        <f>HYPERLINK("https://klasma.github.io/Logging_KATRINEHOLM/tillsynsmail/A 30727-2022.docx")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45182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32252-2022.xlsx")</f>
        <v/>
      </c>
      <c r="T320">
        <f>HYPERLINK("https://klasma.github.io/Logging_GNESTA/kartor/A 32252-2022.png")</f>
        <v/>
      </c>
      <c r="V320">
        <f>HYPERLINK("https://klasma.github.io/Logging_GNESTA/klagomål/A 32252-2022.docx")</f>
        <v/>
      </c>
      <c r="W320">
        <f>HYPERLINK("https://klasma.github.io/Logging_GNESTA/klagomålsmail/A 32252-2022.docx")</f>
        <v/>
      </c>
      <c r="X320">
        <f>HYPERLINK("https://klasma.github.io/Logging_GNESTA/tillsyn/A 32252-2022.docx")</f>
        <v/>
      </c>
      <c r="Y320">
        <f>HYPERLINK("https://klasma.github.io/Logging_GNESTA/tillsynsmail/A 32252-2022.docx")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45182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33751-2022.xlsx")</f>
        <v/>
      </c>
      <c r="T321">
        <f>HYPERLINK("https://klasma.github.io/Logging_STRANGNAS/kartor/A 33751-2022.png")</f>
        <v/>
      </c>
      <c r="V321">
        <f>HYPERLINK("https://klasma.github.io/Logging_STRANGNAS/klagomål/A 33751-2022.docx")</f>
        <v/>
      </c>
      <c r="W321">
        <f>HYPERLINK("https://klasma.github.io/Logging_STRANGNAS/klagomålsmail/A 33751-2022.docx")</f>
        <v/>
      </c>
      <c r="X321">
        <f>HYPERLINK("https://klasma.github.io/Logging_STRANGNAS/tillsyn/A 33751-2022.docx")</f>
        <v/>
      </c>
      <c r="Y321">
        <f>HYPERLINK("https://klasma.github.io/Logging_STRANGNAS/tillsynsmail/A 33751-2022.docx")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45182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33825-2022.xlsx")</f>
        <v/>
      </c>
      <c r="T322">
        <f>HYPERLINK("https://klasma.github.io/Logging_GNESTA/kartor/A 33825-2022.png")</f>
        <v/>
      </c>
      <c r="V322">
        <f>HYPERLINK("https://klasma.github.io/Logging_GNESTA/klagomål/A 33825-2022.docx")</f>
        <v/>
      </c>
      <c r="W322">
        <f>HYPERLINK("https://klasma.github.io/Logging_GNESTA/klagomålsmail/A 33825-2022.docx")</f>
        <v/>
      </c>
      <c r="X322">
        <f>HYPERLINK("https://klasma.github.io/Logging_GNESTA/tillsyn/A 33825-2022.docx")</f>
        <v/>
      </c>
      <c r="Y322">
        <f>HYPERLINK("https://klasma.github.io/Logging_GNESTA/tillsynsmail/A 33825-2022.docx")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45182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34498-2022.xlsx")</f>
        <v/>
      </c>
      <c r="T323">
        <f>HYPERLINK("https://klasma.github.io/Logging_FLEN/kartor/A 34498-2022.png")</f>
        <v/>
      </c>
      <c r="V323">
        <f>HYPERLINK("https://klasma.github.io/Logging_FLEN/klagomål/A 34498-2022.docx")</f>
        <v/>
      </c>
      <c r="W323">
        <f>HYPERLINK("https://klasma.github.io/Logging_FLEN/klagomålsmail/A 34498-2022.docx")</f>
        <v/>
      </c>
      <c r="X323">
        <f>HYPERLINK("https://klasma.github.io/Logging_FLEN/tillsyn/A 34498-2022.docx")</f>
        <v/>
      </c>
      <c r="Y323">
        <f>HYPERLINK("https://klasma.github.io/Logging_FLEN/tillsynsmail/A 34498-2022.docx")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45182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35278-2022.xlsx")</f>
        <v/>
      </c>
      <c r="T324">
        <f>HYPERLINK("https://klasma.github.io/Logging_FLEN/kartor/A 35278-2022.png")</f>
        <v/>
      </c>
      <c r="V324">
        <f>HYPERLINK("https://klasma.github.io/Logging_FLEN/klagomål/A 35278-2022.docx")</f>
        <v/>
      </c>
      <c r="W324">
        <f>HYPERLINK("https://klasma.github.io/Logging_FLEN/klagomålsmail/A 35278-2022.docx")</f>
        <v/>
      </c>
      <c r="X324">
        <f>HYPERLINK("https://klasma.github.io/Logging_FLEN/tillsyn/A 35278-2022.docx")</f>
        <v/>
      </c>
      <c r="Y324">
        <f>HYPERLINK("https://klasma.github.io/Logging_FLEN/tillsynsmail/A 35278-2022.docx")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45182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36155-2022.xlsx")</f>
        <v/>
      </c>
      <c r="T325">
        <f>HYPERLINK("https://klasma.github.io/Logging_ESKILSTUNA/kartor/A 36155-2022.png")</f>
        <v/>
      </c>
      <c r="V325">
        <f>HYPERLINK("https://klasma.github.io/Logging_ESKILSTUNA/klagomål/A 36155-2022.docx")</f>
        <v/>
      </c>
      <c r="W325">
        <f>HYPERLINK("https://klasma.github.io/Logging_ESKILSTUNA/klagomålsmail/A 36155-2022.docx")</f>
        <v/>
      </c>
      <c r="X325">
        <f>HYPERLINK("https://klasma.github.io/Logging_ESKILSTUNA/tillsyn/A 36155-2022.docx")</f>
        <v/>
      </c>
      <c r="Y325">
        <f>HYPERLINK("https://klasma.github.io/Logging_ESKILSTUNA/tillsynsmail/A 36155-2022.docx")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45182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36220-2022.xlsx")</f>
        <v/>
      </c>
      <c r="T326">
        <f>HYPERLINK("https://klasma.github.io/Logging_KATRINEHOLM/kartor/A 36220-2022.png")</f>
        <v/>
      </c>
      <c r="V326">
        <f>HYPERLINK("https://klasma.github.io/Logging_KATRINEHOLM/klagomål/A 36220-2022.docx")</f>
        <v/>
      </c>
      <c r="W326">
        <f>HYPERLINK("https://klasma.github.io/Logging_KATRINEHOLM/klagomålsmail/A 36220-2022.docx")</f>
        <v/>
      </c>
      <c r="X326">
        <f>HYPERLINK("https://klasma.github.io/Logging_KATRINEHOLM/tillsyn/A 36220-2022.docx")</f>
        <v/>
      </c>
      <c r="Y326">
        <f>HYPERLINK("https://klasma.github.io/Logging_KATRINEHOLM/tillsynsmail/A 36220-2022.docx")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45182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36140-2022.xlsx")</f>
        <v/>
      </c>
      <c r="T327">
        <f>HYPERLINK("https://klasma.github.io/Logging_ESKILSTUNA/kartor/A 36140-2022.png")</f>
        <v/>
      </c>
      <c r="V327">
        <f>HYPERLINK("https://klasma.github.io/Logging_ESKILSTUNA/klagomål/A 36140-2022.docx")</f>
        <v/>
      </c>
      <c r="W327">
        <f>HYPERLINK("https://klasma.github.io/Logging_ESKILSTUNA/klagomålsmail/A 36140-2022.docx")</f>
        <v/>
      </c>
      <c r="X327">
        <f>HYPERLINK("https://klasma.github.io/Logging_ESKILSTUNA/tillsyn/A 36140-2022.docx")</f>
        <v/>
      </c>
      <c r="Y327">
        <f>HYPERLINK("https://klasma.github.io/Logging_ESKILSTUNA/tillsynsmail/A 36140-2022.docx")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45182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36996-2022.xlsx")</f>
        <v/>
      </c>
      <c r="T328">
        <f>HYPERLINK("https://klasma.github.io/Logging_NYKOPING/kartor/A 36996-2022.png")</f>
        <v/>
      </c>
      <c r="V328">
        <f>HYPERLINK("https://klasma.github.io/Logging_NYKOPING/klagomål/A 36996-2022.docx")</f>
        <v/>
      </c>
      <c r="W328">
        <f>HYPERLINK("https://klasma.github.io/Logging_NYKOPING/klagomålsmail/A 36996-2022.docx")</f>
        <v/>
      </c>
      <c r="X328">
        <f>HYPERLINK("https://klasma.github.io/Logging_NYKOPING/tillsyn/A 36996-2022.docx")</f>
        <v/>
      </c>
      <c r="Y328">
        <f>HYPERLINK("https://klasma.github.io/Logging_NYKOPING/tillsynsmail/A 36996-2022.docx")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39740-2022.xlsx")</f>
        <v/>
      </c>
      <c r="T329">
        <f>HYPERLINK("https://klasma.github.io/Logging_NYKOPING/kartor/A 39740-2022.png")</f>
        <v/>
      </c>
      <c r="V329">
        <f>HYPERLINK("https://klasma.github.io/Logging_NYKOPING/klagomål/A 39740-2022.docx")</f>
        <v/>
      </c>
      <c r="W329">
        <f>HYPERLINK("https://klasma.github.io/Logging_NYKOPING/klagomålsmail/A 39740-2022.docx")</f>
        <v/>
      </c>
      <c r="X329">
        <f>HYPERLINK("https://klasma.github.io/Logging_NYKOPING/tillsyn/A 39740-2022.docx")</f>
        <v/>
      </c>
      <c r="Y329">
        <f>HYPERLINK("https://klasma.github.io/Logging_NYKOPING/tillsynsmail/A 39740-2022.docx")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45182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41511-2022.xlsx")</f>
        <v/>
      </c>
      <c r="T330">
        <f>HYPERLINK("https://klasma.github.io/Logging_STRANGNAS/kartor/A 41511-2022.png")</f>
        <v/>
      </c>
      <c r="V330">
        <f>HYPERLINK("https://klasma.github.io/Logging_STRANGNAS/klagomål/A 41511-2022.docx")</f>
        <v/>
      </c>
      <c r="W330">
        <f>HYPERLINK("https://klasma.github.io/Logging_STRANGNAS/klagomålsmail/A 41511-2022.docx")</f>
        <v/>
      </c>
      <c r="X330">
        <f>HYPERLINK("https://klasma.github.io/Logging_STRANGNAS/tillsyn/A 41511-2022.docx")</f>
        <v/>
      </c>
      <c r="Y330">
        <f>HYPERLINK("https://klasma.github.io/Logging_STRANGNAS/tillsynsmail/A 41511-2022.docx")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45182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42227-2022.xlsx")</f>
        <v/>
      </c>
      <c r="T331">
        <f>HYPERLINK("https://klasma.github.io/Logging_GNESTA/kartor/A 42227-2022.png")</f>
        <v/>
      </c>
      <c r="V331">
        <f>HYPERLINK("https://klasma.github.io/Logging_GNESTA/klagomål/A 42227-2022.docx")</f>
        <v/>
      </c>
      <c r="W331">
        <f>HYPERLINK("https://klasma.github.io/Logging_GNESTA/klagomålsmail/A 42227-2022.docx")</f>
        <v/>
      </c>
      <c r="X331">
        <f>HYPERLINK("https://klasma.github.io/Logging_GNESTA/tillsyn/A 42227-2022.docx")</f>
        <v/>
      </c>
      <c r="Y331">
        <f>HYPERLINK("https://klasma.github.io/Logging_GNESTA/tillsynsmail/A 42227-2022.docx")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45182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42745-2022.xlsx")</f>
        <v/>
      </c>
      <c r="T332">
        <f>HYPERLINK("https://klasma.github.io/Logging_KATRINEHOLM/kartor/A 42745-2022.png")</f>
        <v/>
      </c>
      <c r="V332">
        <f>HYPERLINK("https://klasma.github.io/Logging_KATRINEHOLM/klagomål/A 42745-2022.docx")</f>
        <v/>
      </c>
      <c r="W332">
        <f>HYPERLINK("https://klasma.github.io/Logging_KATRINEHOLM/klagomålsmail/A 42745-2022.docx")</f>
        <v/>
      </c>
      <c r="X332">
        <f>HYPERLINK("https://klasma.github.io/Logging_KATRINEHOLM/tillsyn/A 42745-2022.docx")</f>
        <v/>
      </c>
      <c r="Y332">
        <f>HYPERLINK("https://klasma.github.io/Logging_KATRINEHOLM/tillsynsmail/A 42745-2022.docx")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45182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43547-2022.xlsx")</f>
        <v/>
      </c>
      <c r="T333">
        <f>HYPERLINK("https://klasma.github.io/Logging_ESKILSTUNA/kartor/A 43547-2022.png")</f>
        <v/>
      </c>
      <c r="U333">
        <f>HYPERLINK("https://klasma.github.io/Logging_ESKILSTUNA/knärot/A 43547-2022.png")</f>
        <v/>
      </c>
      <c r="V333">
        <f>HYPERLINK("https://klasma.github.io/Logging_ESKILSTUNA/klagomål/A 43547-2022.docx")</f>
        <v/>
      </c>
      <c r="W333">
        <f>HYPERLINK("https://klasma.github.io/Logging_ESKILSTUNA/klagomålsmail/A 43547-2022.docx")</f>
        <v/>
      </c>
      <c r="X333">
        <f>HYPERLINK("https://klasma.github.io/Logging_ESKILSTUNA/tillsyn/A 43547-2022.docx")</f>
        <v/>
      </c>
      <c r="Y333">
        <f>HYPERLINK("https://klasma.github.io/Logging_ESKILSTUNA/tillsynsmail/A 43547-2022.docx")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45182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44782-2022.xlsx")</f>
        <v/>
      </c>
      <c r="T334">
        <f>HYPERLINK("https://klasma.github.io/Logging_GNESTA/kartor/A 44782-2022.png")</f>
        <v/>
      </c>
      <c r="V334">
        <f>HYPERLINK("https://klasma.github.io/Logging_GNESTA/klagomål/A 44782-2022.docx")</f>
        <v/>
      </c>
      <c r="W334">
        <f>HYPERLINK("https://klasma.github.io/Logging_GNESTA/klagomålsmail/A 44782-2022.docx")</f>
        <v/>
      </c>
      <c r="X334">
        <f>HYPERLINK("https://klasma.github.io/Logging_GNESTA/tillsyn/A 44782-2022.docx")</f>
        <v/>
      </c>
      <c r="Y334">
        <f>HYPERLINK("https://klasma.github.io/Logging_GNESTA/tillsynsmail/A 44782-2022.docx")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45182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44262-2022.xlsx")</f>
        <v/>
      </c>
      <c r="T335">
        <f>HYPERLINK("https://klasma.github.io/Logging_KATRINEHOLM/kartor/A 44262-2022.png")</f>
        <v/>
      </c>
      <c r="V335">
        <f>HYPERLINK("https://klasma.github.io/Logging_KATRINEHOLM/klagomål/A 44262-2022.docx")</f>
        <v/>
      </c>
      <c r="W335">
        <f>HYPERLINK("https://klasma.github.io/Logging_KATRINEHOLM/klagomålsmail/A 44262-2022.docx")</f>
        <v/>
      </c>
      <c r="X335">
        <f>HYPERLINK("https://klasma.github.io/Logging_KATRINEHOLM/tillsyn/A 44262-2022.docx")</f>
        <v/>
      </c>
      <c r="Y335">
        <f>HYPERLINK("https://klasma.github.io/Logging_KATRINEHOLM/tillsynsmail/A 44262-2022.docx")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45182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44664-2022.xlsx")</f>
        <v/>
      </c>
      <c r="T336">
        <f>HYPERLINK("https://klasma.github.io/Logging_ESKILSTUNA/kartor/A 44664-2022.png")</f>
        <v/>
      </c>
      <c r="U336">
        <f>HYPERLINK("https://klasma.github.io/Logging_ESKILSTUNA/knärot/A 44664-2022.png")</f>
        <v/>
      </c>
      <c r="V336">
        <f>HYPERLINK("https://klasma.github.io/Logging_ESKILSTUNA/klagomål/A 44664-2022.docx")</f>
        <v/>
      </c>
      <c r="W336">
        <f>HYPERLINK("https://klasma.github.io/Logging_ESKILSTUNA/klagomålsmail/A 44664-2022.docx")</f>
        <v/>
      </c>
      <c r="X336">
        <f>HYPERLINK("https://klasma.github.io/Logging_ESKILSTUNA/tillsyn/A 44664-2022.docx")</f>
        <v/>
      </c>
      <c r="Y336">
        <f>HYPERLINK("https://klasma.github.io/Logging_ESKILSTUNA/tillsynsmail/A 44664-2022.docx")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45182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45656-2022.xlsx")</f>
        <v/>
      </c>
      <c r="T337">
        <f>HYPERLINK("https://klasma.github.io/Logging_GNESTA/kartor/A 45656-2022.png")</f>
        <v/>
      </c>
      <c r="V337">
        <f>HYPERLINK("https://klasma.github.io/Logging_GNESTA/klagomål/A 45656-2022.docx")</f>
        <v/>
      </c>
      <c r="W337">
        <f>HYPERLINK("https://klasma.github.io/Logging_GNESTA/klagomålsmail/A 45656-2022.docx")</f>
        <v/>
      </c>
      <c r="X337">
        <f>HYPERLINK("https://klasma.github.io/Logging_GNESTA/tillsyn/A 45656-2022.docx")</f>
        <v/>
      </c>
      <c r="Y337">
        <f>HYPERLINK("https://klasma.github.io/Logging_GNESTA/tillsynsmail/A 45656-2022.docx")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45182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47648-2022.xlsx")</f>
        <v/>
      </c>
      <c r="T338">
        <f>HYPERLINK("https://klasma.github.io/Logging_ESKILSTUNA/kartor/A 47648-2022.png")</f>
        <v/>
      </c>
      <c r="V338">
        <f>HYPERLINK("https://klasma.github.io/Logging_ESKILSTUNA/klagomål/A 47648-2022.docx")</f>
        <v/>
      </c>
      <c r="W338">
        <f>HYPERLINK("https://klasma.github.io/Logging_ESKILSTUNA/klagomålsmail/A 47648-2022.docx")</f>
        <v/>
      </c>
      <c r="X338">
        <f>HYPERLINK("https://klasma.github.io/Logging_ESKILSTUNA/tillsyn/A 47648-2022.docx")</f>
        <v/>
      </c>
      <c r="Y338">
        <f>HYPERLINK("https://klasma.github.io/Logging_ESKILSTUNA/tillsynsmail/A 47648-2022.docx")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45182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48822-2022.xlsx")</f>
        <v/>
      </c>
      <c r="T339">
        <f>HYPERLINK("https://klasma.github.io/Logging_KATRINEHOLM/kartor/A 48822-2022.png")</f>
        <v/>
      </c>
      <c r="V339">
        <f>HYPERLINK("https://klasma.github.io/Logging_KATRINEHOLM/klagomål/A 48822-2022.docx")</f>
        <v/>
      </c>
      <c r="W339">
        <f>HYPERLINK("https://klasma.github.io/Logging_KATRINEHOLM/klagomålsmail/A 48822-2022.docx")</f>
        <v/>
      </c>
      <c r="X339">
        <f>HYPERLINK("https://klasma.github.io/Logging_KATRINEHOLM/tillsyn/A 48822-2022.docx")</f>
        <v/>
      </c>
      <c r="Y339">
        <f>HYPERLINK("https://klasma.github.io/Logging_KATRINEHOLM/tillsynsmail/A 48822-2022.docx")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45182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49442-2022.xlsx")</f>
        <v/>
      </c>
      <c r="T340">
        <f>HYPERLINK("https://klasma.github.io/Logging_GNESTA/kartor/A 49442-2022.png")</f>
        <v/>
      </c>
      <c r="V340">
        <f>HYPERLINK("https://klasma.github.io/Logging_GNESTA/klagomål/A 49442-2022.docx")</f>
        <v/>
      </c>
      <c r="W340">
        <f>HYPERLINK("https://klasma.github.io/Logging_GNESTA/klagomålsmail/A 49442-2022.docx")</f>
        <v/>
      </c>
      <c r="X340">
        <f>HYPERLINK("https://klasma.github.io/Logging_GNESTA/tillsyn/A 49442-2022.docx")</f>
        <v/>
      </c>
      <c r="Y340">
        <f>HYPERLINK("https://klasma.github.io/Logging_GNESTA/tillsynsmail/A 49442-2022.docx")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45182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49460-2022.xlsx")</f>
        <v/>
      </c>
      <c r="T341">
        <f>HYPERLINK("https://klasma.github.io/Logging_GNESTA/kartor/A 49460-2022.png")</f>
        <v/>
      </c>
      <c r="V341">
        <f>HYPERLINK("https://klasma.github.io/Logging_GNESTA/klagomål/A 49460-2022.docx")</f>
        <v/>
      </c>
      <c r="W341">
        <f>HYPERLINK("https://klasma.github.io/Logging_GNESTA/klagomålsmail/A 49460-2022.docx")</f>
        <v/>
      </c>
      <c r="X341">
        <f>HYPERLINK("https://klasma.github.io/Logging_GNESTA/tillsyn/A 49460-2022.docx")</f>
        <v/>
      </c>
      <c r="Y341">
        <f>HYPERLINK("https://klasma.github.io/Logging_GNESTA/tillsynsmail/A 49460-2022.docx")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45182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50202-2022.xlsx")</f>
        <v/>
      </c>
      <c r="T342">
        <f>HYPERLINK("https://klasma.github.io/Logging_FLEN/kartor/A 50202-2022.png")</f>
        <v/>
      </c>
      <c r="V342">
        <f>HYPERLINK("https://klasma.github.io/Logging_FLEN/klagomål/A 50202-2022.docx")</f>
        <v/>
      </c>
      <c r="W342">
        <f>HYPERLINK("https://klasma.github.io/Logging_FLEN/klagomålsmail/A 50202-2022.docx")</f>
        <v/>
      </c>
      <c r="X342">
        <f>HYPERLINK("https://klasma.github.io/Logging_FLEN/tillsyn/A 50202-2022.docx")</f>
        <v/>
      </c>
      <c r="Y342">
        <f>HYPERLINK("https://klasma.github.io/Logging_FLEN/tillsynsmail/A 50202-2022.docx")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45182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56074-2022.xlsx")</f>
        <v/>
      </c>
      <c r="T343">
        <f>HYPERLINK("https://klasma.github.io/Logging_KATRINEHOLM/kartor/A 56074-2022.png")</f>
        <v/>
      </c>
      <c r="V343">
        <f>HYPERLINK("https://klasma.github.io/Logging_KATRINEHOLM/klagomål/A 56074-2022.docx")</f>
        <v/>
      </c>
      <c r="W343">
        <f>HYPERLINK("https://klasma.github.io/Logging_KATRINEHOLM/klagomålsmail/A 56074-2022.docx")</f>
        <v/>
      </c>
      <c r="X343">
        <f>HYPERLINK("https://klasma.github.io/Logging_KATRINEHOLM/tillsyn/A 56074-2022.docx")</f>
        <v/>
      </c>
      <c r="Y343">
        <f>HYPERLINK("https://klasma.github.io/Logging_KATRINEHOLM/tillsynsmail/A 56074-2022.docx")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45182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56791-2022.xlsx")</f>
        <v/>
      </c>
      <c r="T344">
        <f>HYPERLINK("https://klasma.github.io/Logging_GNESTA/kartor/A 56791-2022.png")</f>
        <v/>
      </c>
      <c r="V344">
        <f>HYPERLINK("https://klasma.github.io/Logging_GNESTA/klagomål/A 56791-2022.docx")</f>
        <v/>
      </c>
      <c r="W344">
        <f>HYPERLINK("https://klasma.github.io/Logging_GNESTA/klagomålsmail/A 56791-2022.docx")</f>
        <v/>
      </c>
      <c r="X344">
        <f>HYPERLINK("https://klasma.github.io/Logging_GNESTA/tillsyn/A 56791-2022.docx")</f>
        <v/>
      </c>
      <c r="Y344">
        <f>HYPERLINK("https://klasma.github.io/Logging_GNESTA/tillsynsmail/A 56791-2022.docx")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45182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60591-2022.xlsx")</f>
        <v/>
      </c>
      <c r="T345">
        <f>HYPERLINK("https://klasma.github.io/Logging_FLEN/kartor/A 60591-2022.png")</f>
        <v/>
      </c>
      <c r="V345">
        <f>HYPERLINK("https://klasma.github.io/Logging_FLEN/klagomål/A 60591-2022.docx")</f>
        <v/>
      </c>
      <c r="W345">
        <f>HYPERLINK("https://klasma.github.io/Logging_FLEN/klagomålsmail/A 60591-2022.docx")</f>
        <v/>
      </c>
      <c r="X345">
        <f>HYPERLINK("https://klasma.github.io/Logging_FLEN/tillsyn/A 60591-2022.docx")</f>
        <v/>
      </c>
      <c r="Y345">
        <f>HYPERLINK("https://klasma.github.io/Logging_FLEN/tillsynsmail/A 60591-2022.docx")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45182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61986-2022.xlsx")</f>
        <v/>
      </c>
      <c r="T346">
        <f>HYPERLINK("https://klasma.github.io/Logging_GNESTA/kartor/A 61986-2022.png")</f>
        <v/>
      </c>
      <c r="V346">
        <f>HYPERLINK("https://klasma.github.io/Logging_GNESTA/klagomål/A 61986-2022.docx")</f>
        <v/>
      </c>
      <c r="W346">
        <f>HYPERLINK("https://klasma.github.io/Logging_GNESTA/klagomålsmail/A 61986-2022.docx")</f>
        <v/>
      </c>
      <c r="X346">
        <f>HYPERLINK("https://klasma.github.io/Logging_GNESTA/tillsyn/A 61986-2022.docx")</f>
        <v/>
      </c>
      <c r="Y346">
        <f>HYPERLINK("https://klasma.github.io/Logging_GNESTA/tillsynsmail/A 61986-2022.docx")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45182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62007-2022.xlsx")</f>
        <v/>
      </c>
      <c r="T347">
        <f>HYPERLINK("https://klasma.github.io/Logging_GNESTA/kartor/A 62007-2022.png")</f>
        <v/>
      </c>
      <c r="V347">
        <f>HYPERLINK("https://klasma.github.io/Logging_GNESTA/klagomål/A 62007-2022.docx")</f>
        <v/>
      </c>
      <c r="W347">
        <f>HYPERLINK("https://klasma.github.io/Logging_GNESTA/klagomålsmail/A 62007-2022.docx")</f>
        <v/>
      </c>
      <c r="X347">
        <f>HYPERLINK("https://klasma.github.io/Logging_GNESTA/tillsyn/A 62007-2022.docx")</f>
        <v/>
      </c>
      <c r="Y347">
        <f>HYPERLINK("https://klasma.github.io/Logging_GNESTA/tillsynsmail/A 62007-2022.docx")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45182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61987-2022.xlsx")</f>
        <v/>
      </c>
      <c r="T348">
        <f>HYPERLINK("https://klasma.github.io/Logging_ESKILSTUNA/kartor/A 61987-2022.png")</f>
        <v/>
      </c>
      <c r="V348">
        <f>HYPERLINK("https://klasma.github.io/Logging_ESKILSTUNA/klagomål/A 61987-2022.docx")</f>
        <v/>
      </c>
      <c r="W348">
        <f>HYPERLINK("https://klasma.github.io/Logging_ESKILSTUNA/klagomålsmail/A 61987-2022.docx")</f>
        <v/>
      </c>
      <c r="X348">
        <f>HYPERLINK("https://klasma.github.io/Logging_ESKILSTUNA/tillsyn/A 61987-2022.docx")</f>
        <v/>
      </c>
      <c r="Y348">
        <f>HYPERLINK("https://klasma.github.io/Logging_ESKILSTUNA/tillsynsmail/A 61987-2022.docx")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45182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692-2023.xlsx")</f>
        <v/>
      </c>
      <c r="T349">
        <f>HYPERLINK("https://klasma.github.io/Logging_STRANGNAS/kartor/A 692-2023.png")</f>
        <v/>
      </c>
      <c r="V349">
        <f>HYPERLINK("https://klasma.github.io/Logging_STRANGNAS/klagomål/A 692-2023.docx")</f>
        <v/>
      </c>
      <c r="W349">
        <f>HYPERLINK("https://klasma.github.io/Logging_STRANGNAS/klagomålsmail/A 692-2023.docx")</f>
        <v/>
      </c>
      <c r="X349">
        <f>HYPERLINK("https://klasma.github.io/Logging_STRANGNAS/tillsyn/A 692-2023.docx")</f>
        <v/>
      </c>
      <c r="Y349">
        <f>HYPERLINK("https://klasma.github.io/Logging_STRANGNAS/tillsynsmail/A 692-2023.docx")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45182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882-2023.xlsx")</f>
        <v/>
      </c>
      <c r="T350">
        <f>HYPERLINK("https://klasma.github.io/Logging_FLEN/kartor/A 882-2023.png")</f>
        <v/>
      </c>
      <c r="V350">
        <f>HYPERLINK("https://klasma.github.io/Logging_FLEN/klagomål/A 882-2023.docx")</f>
        <v/>
      </c>
      <c r="W350">
        <f>HYPERLINK("https://klasma.github.io/Logging_FLEN/klagomålsmail/A 882-2023.docx")</f>
        <v/>
      </c>
      <c r="X350">
        <f>HYPERLINK("https://klasma.github.io/Logging_FLEN/tillsyn/A 882-2023.docx")</f>
        <v/>
      </c>
      <c r="Y350">
        <f>HYPERLINK("https://klasma.github.io/Logging_FLEN/tillsynsmail/A 882-2023.docx")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45182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2303-2023.xlsx")</f>
        <v/>
      </c>
      <c r="T351">
        <f>HYPERLINK("https://klasma.github.io/Logging_STRANGNAS/kartor/A 2303-2023.png")</f>
        <v/>
      </c>
      <c r="V351">
        <f>HYPERLINK("https://klasma.github.io/Logging_STRANGNAS/klagomål/A 2303-2023.docx")</f>
        <v/>
      </c>
      <c r="W351">
        <f>HYPERLINK("https://klasma.github.io/Logging_STRANGNAS/klagomålsmail/A 2303-2023.docx")</f>
        <v/>
      </c>
      <c r="X351">
        <f>HYPERLINK("https://klasma.github.io/Logging_STRANGNAS/tillsyn/A 2303-2023.docx")</f>
        <v/>
      </c>
      <c r="Y351">
        <f>HYPERLINK("https://klasma.github.io/Logging_STRANGNAS/tillsynsmail/A 2303-2023.docx")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45182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2842-2023.xlsx")</f>
        <v/>
      </c>
      <c r="T352">
        <f>HYPERLINK("https://klasma.github.io/Logging_NYKOPING/kartor/A 2842-2023.png")</f>
        <v/>
      </c>
      <c r="V352">
        <f>HYPERLINK("https://klasma.github.io/Logging_NYKOPING/klagomål/A 2842-2023.docx")</f>
        <v/>
      </c>
      <c r="W352">
        <f>HYPERLINK("https://klasma.github.io/Logging_NYKOPING/klagomålsmail/A 2842-2023.docx")</f>
        <v/>
      </c>
      <c r="X352">
        <f>HYPERLINK("https://klasma.github.io/Logging_NYKOPING/tillsyn/A 2842-2023.docx")</f>
        <v/>
      </c>
      <c r="Y352">
        <f>HYPERLINK("https://klasma.github.io/Logging_NYKOPING/tillsynsmail/A 2842-2023.docx")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45182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4699-2023.xlsx")</f>
        <v/>
      </c>
      <c r="T353">
        <f>HYPERLINK("https://klasma.github.io/Logging_FLEN/kartor/A 4699-2023.png")</f>
        <v/>
      </c>
      <c r="V353">
        <f>HYPERLINK("https://klasma.github.io/Logging_FLEN/klagomål/A 4699-2023.docx")</f>
        <v/>
      </c>
      <c r="W353">
        <f>HYPERLINK("https://klasma.github.io/Logging_FLEN/klagomålsmail/A 4699-2023.docx")</f>
        <v/>
      </c>
      <c r="X353">
        <f>HYPERLINK("https://klasma.github.io/Logging_FLEN/tillsyn/A 4699-2023.docx")</f>
        <v/>
      </c>
      <c r="Y353">
        <f>HYPERLINK("https://klasma.github.io/Logging_FLEN/tillsynsmail/A 4699-2023.docx")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45182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7506-2023.xlsx")</f>
        <v/>
      </c>
      <c r="T354">
        <f>HYPERLINK("https://klasma.github.io/Logging_FLEN/kartor/A 7506-2023.png")</f>
        <v/>
      </c>
      <c r="V354">
        <f>HYPERLINK("https://klasma.github.io/Logging_FLEN/klagomål/A 7506-2023.docx")</f>
        <v/>
      </c>
      <c r="W354">
        <f>HYPERLINK("https://klasma.github.io/Logging_FLEN/klagomålsmail/A 7506-2023.docx")</f>
        <v/>
      </c>
      <c r="X354">
        <f>HYPERLINK("https://klasma.github.io/Logging_FLEN/tillsyn/A 7506-2023.docx")</f>
        <v/>
      </c>
      <c r="Y354">
        <f>HYPERLINK("https://klasma.github.io/Logging_FLEN/tillsynsmail/A 7506-2023.docx")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45182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7661-2023.xlsx")</f>
        <v/>
      </c>
      <c r="T355">
        <f>HYPERLINK("https://klasma.github.io/Logging_GNESTA/kartor/A 7661-2023.png")</f>
        <v/>
      </c>
      <c r="V355">
        <f>HYPERLINK("https://klasma.github.io/Logging_GNESTA/klagomål/A 7661-2023.docx")</f>
        <v/>
      </c>
      <c r="W355">
        <f>HYPERLINK("https://klasma.github.io/Logging_GNESTA/klagomålsmail/A 7661-2023.docx")</f>
        <v/>
      </c>
      <c r="X355">
        <f>HYPERLINK("https://klasma.github.io/Logging_GNESTA/tillsyn/A 7661-2023.docx")</f>
        <v/>
      </c>
      <c r="Y355">
        <f>HYPERLINK("https://klasma.github.io/Logging_GNESTA/tillsynsmail/A 7661-2023.docx")</f>
        <v/>
      </c>
    </row>
    <row r="356" ht="15" customHeight="1">
      <c r="A356" t="inlineStr">
        <is>
          <t>A 8019-2023</t>
        </is>
      </c>
      <c r="B356" s="1" t="n">
        <v>44973</v>
      </c>
      <c r="C356" s="1" t="n">
        <v>45182</v>
      </c>
      <c r="D356" t="inlineStr">
        <is>
          <t>SÖDERMANLANDS LÄN</t>
        </is>
      </c>
      <c r="E356" t="inlineStr">
        <is>
          <t>GNESTA</t>
        </is>
      </c>
      <c r="G356" t="n">
        <v>3.9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Klasefibbla</t>
        </is>
      </c>
      <c r="S356">
        <f>HYPERLINK("https://klasma.github.io/Logging_GNESTA/artfynd/A 8019-2023.xlsx")</f>
        <v/>
      </c>
      <c r="T356">
        <f>HYPERLINK("https://klasma.github.io/Logging_GNESTA/kartor/A 8019-2023.png")</f>
        <v/>
      </c>
      <c r="V356">
        <f>HYPERLINK("https://klasma.github.io/Logging_GNESTA/klagomål/A 8019-2023.docx")</f>
        <v/>
      </c>
      <c r="W356">
        <f>HYPERLINK("https://klasma.github.io/Logging_GNESTA/klagomålsmail/A 8019-2023.docx")</f>
        <v/>
      </c>
      <c r="X356">
        <f>HYPERLINK("https://klasma.github.io/Logging_GNESTA/tillsyn/A 8019-2023.docx")</f>
        <v/>
      </c>
      <c r="Y356">
        <f>HYPERLINK("https://klasma.github.io/Logging_GNESTA/tillsynsmail/A 8019-2023.docx")</f>
        <v/>
      </c>
    </row>
    <row r="357" ht="15" customHeight="1">
      <c r="A357" t="inlineStr">
        <is>
          <t>A 7741-2023</t>
        </is>
      </c>
      <c r="B357" s="1" t="n">
        <v>44973</v>
      </c>
      <c r="C357" s="1" t="n">
        <v>45182</v>
      </c>
      <c r="D357" t="inlineStr">
        <is>
          <t>SÖDERMANLANDS LÄN</t>
        </is>
      </c>
      <c r="E357" t="inlineStr">
        <is>
          <t>GNESTA</t>
        </is>
      </c>
      <c r="G357" t="n">
        <v>3.4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Blåsippa</t>
        </is>
      </c>
      <c r="S357">
        <f>HYPERLINK("https://klasma.github.io/Logging_GNESTA/artfynd/A 7741-2023.xlsx")</f>
        <v/>
      </c>
      <c r="T357">
        <f>HYPERLINK("https://klasma.github.io/Logging_GNESTA/kartor/A 7741-2023.png")</f>
        <v/>
      </c>
      <c r="V357">
        <f>HYPERLINK("https://klasma.github.io/Logging_GNESTA/klagomål/A 7741-2023.docx")</f>
        <v/>
      </c>
      <c r="W357">
        <f>HYPERLINK("https://klasma.github.io/Logging_GNESTA/klagomålsmail/A 7741-2023.docx")</f>
        <v/>
      </c>
      <c r="X357">
        <f>HYPERLINK("https://klasma.github.io/Logging_GNESTA/tillsyn/A 7741-2023.docx")</f>
        <v/>
      </c>
      <c r="Y357">
        <f>HYPERLINK("https://klasma.github.io/Logging_GNESTA/tillsynsmail/A 7741-2023.docx")</f>
        <v/>
      </c>
    </row>
    <row r="358" ht="15" customHeight="1">
      <c r="A358" t="inlineStr">
        <is>
          <t>A 7739-2023</t>
        </is>
      </c>
      <c r="B358" s="1" t="n">
        <v>44973</v>
      </c>
      <c r="C358" s="1" t="n">
        <v>45182</v>
      </c>
      <c r="D358" t="inlineStr">
        <is>
          <t>SÖDERMANLANDS LÄN</t>
        </is>
      </c>
      <c r="E358" t="inlineStr">
        <is>
          <t>GNESTA</t>
        </is>
      </c>
      <c r="G358" t="n">
        <v>4.7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Nattviol</t>
        </is>
      </c>
      <c r="S358">
        <f>HYPERLINK("https://klasma.github.io/Logging_GNESTA/artfynd/A 7739-2023.xlsx")</f>
        <v/>
      </c>
      <c r="T358">
        <f>HYPERLINK("https://klasma.github.io/Logging_GNESTA/kartor/A 7739-2023.png")</f>
        <v/>
      </c>
      <c r="V358">
        <f>HYPERLINK("https://klasma.github.io/Logging_GNESTA/klagomål/A 7739-2023.docx")</f>
        <v/>
      </c>
      <c r="W358">
        <f>HYPERLINK("https://klasma.github.io/Logging_GNESTA/klagomålsmail/A 7739-2023.docx")</f>
        <v/>
      </c>
      <c r="X358">
        <f>HYPERLINK("https://klasma.github.io/Logging_GNESTA/tillsyn/A 7739-2023.docx")</f>
        <v/>
      </c>
      <c r="Y358">
        <f>HYPERLINK("https://klasma.github.io/Logging_GNESTA/tillsynsmail/A 7739-2023.docx")</f>
        <v/>
      </c>
    </row>
    <row r="359" ht="15" customHeight="1">
      <c r="A359" t="inlineStr">
        <is>
          <t>A 11890-2023</t>
        </is>
      </c>
      <c r="B359" s="1" t="n">
        <v>44995</v>
      </c>
      <c r="C359" s="1" t="n">
        <v>45182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Kommuner</t>
        </is>
      </c>
      <c r="G359" t="n">
        <v>6.7</v>
      </c>
      <c r="H359" t="n">
        <v>1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Skogsknipprot</t>
        </is>
      </c>
      <c r="S359">
        <f>HYPERLINK("https://klasma.github.io/Logging_KATRINEHOLM/artfynd/A 11890-2023.xlsx")</f>
        <v/>
      </c>
      <c r="T359">
        <f>HYPERLINK("https://klasma.github.io/Logging_KATRINEHOLM/kartor/A 11890-2023.png")</f>
        <v/>
      </c>
      <c r="V359">
        <f>HYPERLINK("https://klasma.github.io/Logging_KATRINEHOLM/klagomål/A 11890-2023.docx")</f>
        <v/>
      </c>
      <c r="W359">
        <f>HYPERLINK("https://klasma.github.io/Logging_KATRINEHOLM/klagomålsmail/A 11890-2023.docx")</f>
        <v/>
      </c>
      <c r="X359">
        <f>HYPERLINK("https://klasma.github.io/Logging_KATRINEHOLM/tillsyn/A 11890-2023.docx")</f>
        <v/>
      </c>
      <c r="Y359">
        <f>HYPERLINK("https://klasma.github.io/Logging_KATRINEHOLM/tillsynsmail/A 11890-2023.docx")</f>
        <v/>
      </c>
    </row>
    <row r="360" ht="15" customHeight="1">
      <c r="A360" t="inlineStr">
        <is>
          <t>A 12238-2023</t>
        </is>
      </c>
      <c r="B360" s="1" t="n">
        <v>44995</v>
      </c>
      <c r="C360" s="1" t="n">
        <v>45182</v>
      </c>
      <c r="D360" t="inlineStr">
        <is>
          <t>SÖDERMANLANDS LÄN</t>
        </is>
      </c>
      <c r="E360" t="inlineStr">
        <is>
          <t>KATRINEHOLM</t>
        </is>
      </c>
      <c r="F360" t="inlineStr">
        <is>
          <t>Övriga Aktiebolag</t>
        </is>
      </c>
      <c r="G360" t="n">
        <v>58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Skogsklocka</t>
        </is>
      </c>
      <c r="S360">
        <f>HYPERLINK("https://klasma.github.io/Logging_KATRINEHOLM/artfynd/A 12238-2023.xlsx")</f>
        <v/>
      </c>
      <c r="T360">
        <f>HYPERLINK("https://klasma.github.io/Logging_KATRINEHOLM/kartor/A 12238-2023.png")</f>
        <v/>
      </c>
      <c r="V360">
        <f>HYPERLINK("https://klasma.github.io/Logging_KATRINEHOLM/klagomål/A 12238-2023.docx")</f>
        <v/>
      </c>
      <c r="W360">
        <f>HYPERLINK("https://klasma.github.io/Logging_KATRINEHOLM/klagomålsmail/A 12238-2023.docx")</f>
        <v/>
      </c>
      <c r="X360">
        <f>HYPERLINK("https://klasma.github.io/Logging_KATRINEHOLM/tillsyn/A 12238-2023.docx")</f>
        <v/>
      </c>
      <c r="Y360">
        <f>HYPERLINK("https://klasma.github.io/Logging_KATRINEHOLM/tillsynsmail/A 12238-2023.docx")</f>
        <v/>
      </c>
    </row>
    <row r="361" ht="15" customHeight="1">
      <c r="A361" t="inlineStr">
        <is>
          <t>A 12174-2023</t>
        </is>
      </c>
      <c r="B361" s="1" t="n">
        <v>44995</v>
      </c>
      <c r="C361" s="1" t="n">
        <v>45182</v>
      </c>
      <c r="D361" t="inlineStr">
        <is>
          <t>SÖDERMANLANDS LÄN</t>
        </is>
      </c>
      <c r="E361" t="inlineStr">
        <is>
          <t>GNESTA</t>
        </is>
      </c>
      <c r="G361" t="n">
        <v>11.2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HYPERLINK("https://klasma.github.io/Logging_GNESTA/artfynd/A 12174-2023.xlsx")</f>
        <v/>
      </c>
      <c r="T361">
        <f>HYPERLINK("https://klasma.github.io/Logging_GNESTA/kartor/A 12174-2023.png")</f>
        <v/>
      </c>
      <c r="V361">
        <f>HYPERLINK("https://klasma.github.io/Logging_GNESTA/klagomål/A 12174-2023.docx")</f>
        <v/>
      </c>
      <c r="W361">
        <f>HYPERLINK("https://klasma.github.io/Logging_GNESTA/klagomålsmail/A 12174-2023.docx")</f>
        <v/>
      </c>
      <c r="X361">
        <f>HYPERLINK("https://klasma.github.io/Logging_GNESTA/tillsyn/A 12174-2023.docx")</f>
        <v/>
      </c>
      <c r="Y361">
        <f>HYPERLINK("https://klasma.github.io/Logging_GNESTA/tillsynsmail/A 12174-2023.docx")</f>
        <v/>
      </c>
    </row>
    <row r="362" ht="15" customHeight="1">
      <c r="A362" t="inlineStr">
        <is>
          <t>A 12891-2023</t>
        </is>
      </c>
      <c r="B362" s="1" t="n">
        <v>45001</v>
      </c>
      <c r="C362" s="1" t="n">
        <v>45182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Holmen skog AB</t>
        </is>
      </c>
      <c r="G362" t="n">
        <v>6.9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Revlummer</t>
        </is>
      </c>
      <c r="S362">
        <f>HYPERLINK("https://klasma.github.io/Logging_NYKOPING/artfynd/A 12891-2023.xlsx")</f>
        <v/>
      </c>
      <c r="T362">
        <f>HYPERLINK("https://klasma.github.io/Logging_NYKOPING/kartor/A 12891-2023.png")</f>
        <v/>
      </c>
      <c r="V362">
        <f>HYPERLINK("https://klasma.github.io/Logging_NYKOPING/klagomål/A 12891-2023.docx")</f>
        <v/>
      </c>
      <c r="W362">
        <f>HYPERLINK("https://klasma.github.io/Logging_NYKOPING/klagomålsmail/A 12891-2023.docx")</f>
        <v/>
      </c>
      <c r="X362">
        <f>HYPERLINK("https://klasma.github.io/Logging_NYKOPING/tillsyn/A 12891-2023.docx")</f>
        <v/>
      </c>
      <c r="Y362">
        <f>HYPERLINK("https://klasma.github.io/Logging_NYKOPING/tillsynsmail/A 12891-2023.docx")</f>
        <v/>
      </c>
    </row>
    <row r="363" ht="15" customHeight="1">
      <c r="A363" t="inlineStr">
        <is>
          <t>A 14013-2023</t>
        </is>
      </c>
      <c r="B363" s="1" t="n">
        <v>45007</v>
      </c>
      <c r="C363" s="1" t="n">
        <v>45182</v>
      </c>
      <c r="D363" t="inlineStr">
        <is>
          <t>SÖDERMANLANDS LÄN</t>
        </is>
      </c>
      <c r="E363" t="inlineStr">
        <is>
          <t>KATRINEHOLM</t>
        </is>
      </c>
      <c r="G363" t="n">
        <v>10.8</v>
      </c>
      <c r="H363" t="n">
        <v>1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Grönsångare</t>
        </is>
      </c>
      <c r="S363">
        <f>HYPERLINK("https://klasma.github.io/Logging_KATRINEHOLM/artfynd/A 14013-2023.xlsx")</f>
        <v/>
      </c>
      <c r="T363">
        <f>HYPERLINK("https://klasma.github.io/Logging_KATRINEHOLM/kartor/A 14013-2023.png")</f>
        <v/>
      </c>
      <c r="V363">
        <f>HYPERLINK("https://klasma.github.io/Logging_KATRINEHOLM/klagomål/A 14013-2023.docx")</f>
        <v/>
      </c>
      <c r="W363">
        <f>HYPERLINK("https://klasma.github.io/Logging_KATRINEHOLM/klagomålsmail/A 14013-2023.docx")</f>
        <v/>
      </c>
      <c r="X363">
        <f>HYPERLINK("https://klasma.github.io/Logging_KATRINEHOLM/tillsyn/A 14013-2023.docx")</f>
        <v/>
      </c>
      <c r="Y363">
        <f>HYPERLINK("https://klasma.github.io/Logging_KATRINEHOLM/tillsynsmail/A 14013-2023.docx")</f>
        <v/>
      </c>
    </row>
    <row r="364" ht="15" customHeight="1">
      <c r="A364" t="inlineStr">
        <is>
          <t>A 14327-2023</t>
        </is>
      </c>
      <c r="B364" s="1" t="n">
        <v>45012</v>
      </c>
      <c r="C364" s="1" t="n">
        <v>45182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Kommuner</t>
        </is>
      </c>
      <c r="G364" t="n">
        <v>2.6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Mattlummer</t>
        </is>
      </c>
      <c r="S364">
        <f>HYPERLINK("https://klasma.github.io/Logging_ESKILSTUNA/artfynd/A 14327-2023.xlsx")</f>
        <v/>
      </c>
      <c r="T364">
        <f>HYPERLINK("https://klasma.github.io/Logging_ESKILSTUNA/kartor/A 14327-2023.png")</f>
        <v/>
      </c>
      <c r="V364">
        <f>HYPERLINK("https://klasma.github.io/Logging_ESKILSTUNA/klagomål/A 14327-2023.docx")</f>
        <v/>
      </c>
      <c r="W364">
        <f>HYPERLINK("https://klasma.github.io/Logging_ESKILSTUNA/klagomålsmail/A 14327-2023.docx")</f>
        <v/>
      </c>
      <c r="X364">
        <f>HYPERLINK("https://klasma.github.io/Logging_ESKILSTUNA/tillsyn/A 14327-2023.docx")</f>
        <v/>
      </c>
      <c r="Y364">
        <f>HYPERLINK("https://klasma.github.io/Logging_ESKILSTUNA/tillsynsmail/A 14327-2023.docx")</f>
        <v/>
      </c>
    </row>
    <row r="365" ht="15" customHeight="1">
      <c r="A365" t="inlineStr">
        <is>
          <t>A 18928-2023</t>
        </is>
      </c>
      <c r="B365" s="1" t="n">
        <v>45044</v>
      </c>
      <c r="C365" s="1" t="n">
        <v>45182</v>
      </c>
      <c r="D365" t="inlineStr">
        <is>
          <t>SÖDERMANLANDS LÄN</t>
        </is>
      </c>
      <c r="E365" t="inlineStr">
        <is>
          <t>FLEN</t>
        </is>
      </c>
      <c r="G365" t="n">
        <v>6.2</v>
      </c>
      <c r="H365" t="n">
        <v>0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Svinrot</t>
        </is>
      </c>
      <c r="S365">
        <f>HYPERLINK("https://klasma.github.io/Logging_FLEN/artfynd/A 18928-2023.xlsx")</f>
        <v/>
      </c>
      <c r="T365">
        <f>HYPERLINK("https://klasma.github.io/Logging_FLEN/kartor/A 18928-2023.png")</f>
        <v/>
      </c>
      <c r="V365">
        <f>HYPERLINK("https://klasma.github.io/Logging_FLEN/klagomål/A 18928-2023.docx")</f>
        <v/>
      </c>
      <c r="W365">
        <f>HYPERLINK("https://klasma.github.io/Logging_FLEN/klagomålsmail/A 18928-2023.docx")</f>
        <v/>
      </c>
      <c r="X365">
        <f>HYPERLINK("https://klasma.github.io/Logging_FLEN/tillsyn/A 18928-2023.docx")</f>
        <v/>
      </c>
      <c r="Y365">
        <f>HYPERLINK("https://klasma.github.io/Logging_FLEN/tillsynsmail/A 18928-2023.docx")</f>
        <v/>
      </c>
    </row>
    <row r="366" ht="15" customHeight="1">
      <c r="A366" t="inlineStr">
        <is>
          <t>A 19627-2023</t>
        </is>
      </c>
      <c r="B366" s="1" t="n">
        <v>45050</v>
      </c>
      <c r="C366" s="1" t="n">
        <v>45182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Allmännings- och besparingsskogar</t>
        </is>
      </c>
      <c r="G366" t="n">
        <v>2.7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Revlummer</t>
        </is>
      </c>
      <c r="S366">
        <f>HYPERLINK("https://klasma.github.io/Logging_ESKILSTUNA/artfynd/A 19627-2023.xlsx")</f>
        <v/>
      </c>
      <c r="T366">
        <f>HYPERLINK("https://klasma.github.io/Logging_ESKILSTUNA/kartor/A 19627-2023.png")</f>
        <v/>
      </c>
      <c r="V366">
        <f>HYPERLINK("https://klasma.github.io/Logging_ESKILSTUNA/klagomål/A 19627-2023.docx")</f>
        <v/>
      </c>
      <c r="W366">
        <f>HYPERLINK("https://klasma.github.io/Logging_ESKILSTUNA/klagomålsmail/A 19627-2023.docx")</f>
        <v/>
      </c>
      <c r="X366">
        <f>HYPERLINK("https://klasma.github.io/Logging_ESKILSTUNA/tillsyn/A 19627-2023.docx")</f>
        <v/>
      </c>
      <c r="Y366">
        <f>HYPERLINK("https://klasma.github.io/Logging_ESKILSTUNA/tillsynsmail/A 19627-2023.docx")</f>
        <v/>
      </c>
    </row>
    <row r="367" ht="15" customHeight="1">
      <c r="A367" t="inlineStr">
        <is>
          <t>A 20325-2023</t>
        </is>
      </c>
      <c r="B367" s="1" t="n">
        <v>45056</v>
      </c>
      <c r="C367" s="1" t="n">
        <v>45182</v>
      </c>
      <c r="D367" t="inlineStr">
        <is>
          <t>SÖDERMANLANDS LÄN</t>
        </is>
      </c>
      <c r="E367" t="inlineStr">
        <is>
          <t>NYKÖPING</t>
        </is>
      </c>
      <c r="G367" t="n">
        <v>0.2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Kamjordstjärna</t>
        </is>
      </c>
      <c r="S367">
        <f>HYPERLINK("https://klasma.github.io/Logging_NYKOPING/artfynd/A 20325-2023.xlsx")</f>
        <v/>
      </c>
      <c r="T367">
        <f>HYPERLINK("https://klasma.github.io/Logging_NYKOPING/kartor/A 20325-2023.png")</f>
        <v/>
      </c>
      <c r="V367">
        <f>HYPERLINK("https://klasma.github.io/Logging_NYKOPING/klagomål/A 20325-2023.docx")</f>
        <v/>
      </c>
      <c r="W367">
        <f>HYPERLINK("https://klasma.github.io/Logging_NYKOPING/klagomålsmail/A 20325-2023.docx")</f>
        <v/>
      </c>
      <c r="X367">
        <f>HYPERLINK("https://klasma.github.io/Logging_NYKOPING/tillsyn/A 20325-2023.docx")</f>
        <v/>
      </c>
      <c r="Y367">
        <f>HYPERLINK("https://klasma.github.io/Logging_NYKOPING/tillsynsmail/A 20325-2023.docx")</f>
        <v/>
      </c>
    </row>
    <row r="368" ht="15" customHeight="1">
      <c r="A368" t="inlineStr">
        <is>
          <t>A 23637-2023</t>
        </is>
      </c>
      <c r="B368" s="1" t="n">
        <v>45077</v>
      </c>
      <c r="C368" s="1" t="n">
        <v>45182</v>
      </c>
      <c r="D368" t="inlineStr">
        <is>
          <t>SÖDERMANLANDS LÄN</t>
        </is>
      </c>
      <c r="E368" t="inlineStr">
        <is>
          <t>ESKILSTUNA</t>
        </is>
      </c>
      <c r="G368" t="n">
        <v>15.8</v>
      </c>
      <c r="H368" t="n">
        <v>0</v>
      </c>
      <c r="I368" t="n">
        <v>0</v>
      </c>
      <c r="J368" t="n">
        <v>0</v>
      </c>
      <c r="K368" t="n">
        <v>1</v>
      </c>
      <c r="L368" t="n">
        <v>0</v>
      </c>
      <c r="M368" t="n">
        <v>0</v>
      </c>
      <c r="N368" t="n">
        <v>0</v>
      </c>
      <c r="O368" t="n">
        <v>1</v>
      </c>
      <c r="P368" t="n">
        <v>1</v>
      </c>
      <c r="Q368" t="n">
        <v>1</v>
      </c>
      <c r="R368" s="2" t="inlineStr">
        <is>
          <t>Violett fingersvamp</t>
        </is>
      </c>
      <c r="S368">
        <f>HYPERLINK("https://klasma.github.io/Logging_ESKILSTUNA/artfynd/A 23637-2023.xlsx")</f>
        <v/>
      </c>
      <c r="T368">
        <f>HYPERLINK("https://klasma.github.io/Logging_ESKILSTUNA/kartor/A 23637-2023.png")</f>
        <v/>
      </c>
      <c r="V368">
        <f>HYPERLINK("https://klasma.github.io/Logging_ESKILSTUNA/klagomål/A 23637-2023.docx")</f>
        <v/>
      </c>
      <c r="W368">
        <f>HYPERLINK("https://klasma.github.io/Logging_ESKILSTUNA/klagomålsmail/A 23637-2023.docx")</f>
        <v/>
      </c>
      <c r="X368">
        <f>HYPERLINK("https://klasma.github.io/Logging_ESKILSTUNA/tillsyn/A 23637-2023.docx")</f>
        <v/>
      </c>
      <c r="Y368">
        <f>HYPERLINK("https://klasma.github.io/Logging_ESKILSTUNA/tillsynsmail/A 23637-2023.docx")</f>
        <v/>
      </c>
    </row>
    <row r="369" ht="15" customHeight="1">
      <c r="A369" t="inlineStr">
        <is>
          <t>A 23568-2023</t>
        </is>
      </c>
      <c r="B369" s="1" t="n">
        <v>45077</v>
      </c>
      <c r="C369" s="1" t="n">
        <v>45182</v>
      </c>
      <c r="D369" t="inlineStr">
        <is>
          <t>SÖDERMANLANDS LÄN</t>
        </is>
      </c>
      <c r="E369" t="inlineStr">
        <is>
          <t>KATRINEHOLM</t>
        </is>
      </c>
      <c r="F369" t="inlineStr">
        <is>
          <t>Kommuner</t>
        </is>
      </c>
      <c r="G369" t="n">
        <v>1.4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Fyrflikig jordstjärna</t>
        </is>
      </c>
      <c r="S369">
        <f>HYPERLINK("https://klasma.github.io/Logging_KATRINEHOLM/artfynd/A 23568-2023.xlsx")</f>
        <v/>
      </c>
      <c r="T369">
        <f>HYPERLINK("https://klasma.github.io/Logging_KATRINEHOLM/kartor/A 23568-2023.png")</f>
        <v/>
      </c>
      <c r="V369">
        <f>HYPERLINK("https://klasma.github.io/Logging_KATRINEHOLM/klagomål/A 23568-2023.docx")</f>
        <v/>
      </c>
      <c r="W369">
        <f>HYPERLINK("https://klasma.github.io/Logging_KATRINEHOLM/klagomålsmail/A 23568-2023.docx")</f>
        <v/>
      </c>
      <c r="X369">
        <f>HYPERLINK("https://klasma.github.io/Logging_KATRINEHOLM/tillsyn/A 23568-2023.docx")</f>
        <v/>
      </c>
      <c r="Y369">
        <f>HYPERLINK("https://klasma.github.io/Logging_KATRINEHOLM/tillsynsmail/A 23568-2023.docx")</f>
        <v/>
      </c>
    </row>
    <row r="370" ht="15" customHeight="1">
      <c r="A370" t="inlineStr">
        <is>
          <t>A 25122-2023</t>
        </is>
      </c>
      <c r="B370" s="1" t="n">
        <v>45086</v>
      </c>
      <c r="C370" s="1" t="n">
        <v>45182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7.5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HYPERLINK("https://klasma.github.io/Logging_ESKILSTUNA/artfynd/A 25122-2023.xlsx")</f>
        <v/>
      </c>
      <c r="T370">
        <f>HYPERLINK("https://klasma.github.io/Logging_ESKILSTUNA/kartor/A 25122-2023.png")</f>
        <v/>
      </c>
      <c r="V370">
        <f>HYPERLINK("https://klasma.github.io/Logging_ESKILSTUNA/klagomål/A 25122-2023.docx")</f>
        <v/>
      </c>
      <c r="W370">
        <f>HYPERLINK("https://klasma.github.io/Logging_ESKILSTUNA/klagomålsmail/A 25122-2023.docx")</f>
        <v/>
      </c>
      <c r="X370">
        <f>HYPERLINK("https://klasma.github.io/Logging_ESKILSTUNA/tillsyn/A 25122-2023.docx")</f>
        <v/>
      </c>
      <c r="Y370">
        <f>HYPERLINK("https://klasma.github.io/Logging_ESKILSTUNA/tillsynsmail/A 25122-2023.docx")</f>
        <v/>
      </c>
    </row>
    <row r="371" ht="15" customHeight="1">
      <c r="A371" t="inlineStr">
        <is>
          <t>A 26114-2023</t>
        </is>
      </c>
      <c r="B371" s="1" t="n">
        <v>45091</v>
      </c>
      <c r="C371" s="1" t="n">
        <v>45182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26114-2023.xlsx")</f>
        <v/>
      </c>
      <c r="T371">
        <f>HYPERLINK("https://klasma.github.io/Logging_ESKILSTUNA/kartor/A 26114-2023.png")</f>
        <v/>
      </c>
      <c r="V371">
        <f>HYPERLINK("https://klasma.github.io/Logging_ESKILSTUNA/klagomål/A 26114-2023.docx")</f>
        <v/>
      </c>
      <c r="W371">
        <f>HYPERLINK("https://klasma.github.io/Logging_ESKILSTUNA/klagomålsmail/A 26114-2023.docx")</f>
        <v/>
      </c>
      <c r="X371">
        <f>HYPERLINK("https://klasma.github.io/Logging_ESKILSTUNA/tillsyn/A 26114-2023.docx")</f>
        <v/>
      </c>
      <c r="Y371">
        <f>HYPERLINK("https://klasma.github.io/Logging_ESKILSTUNA/tillsynsmail/A 26114-2023.docx")</f>
        <v/>
      </c>
    </row>
    <row r="372" ht="15" customHeight="1">
      <c r="A372" t="inlineStr">
        <is>
          <t>A 26133-2023</t>
        </is>
      </c>
      <c r="B372" s="1" t="n">
        <v>45091</v>
      </c>
      <c r="C372" s="1" t="n">
        <v>45182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Sveaskog</t>
        </is>
      </c>
      <c r="G372" t="n">
        <v>3.7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Ängsskära</t>
        </is>
      </c>
      <c r="S372">
        <f>HYPERLINK("https://klasma.github.io/Logging_ESKILSTUNA/artfynd/A 26133-2023.xlsx")</f>
        <v/>
      </c>
      <c r="T372">
        <f>HYPERLINK("https://klasma.github.io/Logging_ESKILSTUNA/kartor/A 26133-2023.png")</f>
        <v/>
      </c>
      <c r="V372">
        <f>HYPERLINK("https://klasma.github.io/Logging_ESKILSTUNA/klagomål/A 26133-2023.docx")</f>
        <v/>
      </c>
      <c r="W372">
        <f>HYPERLINK("https://klasma.github.io/Logging_ESKILSTUNA/klagomålsmail/A 26133-2023.docx")</f>
        <v/>
      </c>
      <c r="X372">
        <f>HYPERLINK("https://klasma.github.io/Logging_ESKILSTUNA/tillsyn/A 26133-2023.docx")</f>
        <v/>
      </c>
      <c r="Y372">
        <f>HYPERLINK("https://klasma.github.io/Logging_ESKILSTUNA/tillsynsmail/A 26133-2023.docx")</f>
        <v/>
      </c>
    </row>
    <row r="373" ht="15" customHeight="1">
      <c r="A373" t="inlineStr">
        <is>
          <t>A 26950-2023</t>
        </is>
      </c>
      <c r="B373" s="1" t="n">
        <v>45091</v>
      </c>
      <c r="C373" s="1" t="n">
        <v>45182</v>
      </c>
      <c r="D373" t="inlineStr">
        <is>
          <t>SÖDERMANLANDS LÄN</t>
        </is>
      </c>
      <c r="E373" t="inlineStr">
        <is>
          <t>KATRINEHOLM</t>
        </is>
      </c>
      <c r="G373" t="n">
        <v>13.5</v>
      </c>
      <c r="H373" t="n">
        <v>1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Havsörn</t>
        </is>
      </c>
      <c r="S373">
        <f>HYPERLINK("https://klasma.github.io/Logging_KATRINEHOLM/artfynd/A 26950-2023.xlsx")</f>
        <v/>
      </c>
      <c r="T373">
        <f>HYPERLINK("https://klasma.github.io/Logging_KATRINEHOLM/kartor/A 26950-2023.png")</f>
        <v/>
      </c>
      <c r="V373">
        <f>HYPERLINK("https://klasma.github.io/Logging_KATRINEHOLM/klagomål/A 26950-2023.docx")</f>
        <v/>
      </c>
      <c r="W373">
        <f>HYPERLINK("https://klasma.github.io/Logging_KATRINEHOLM/klagomålsmail/A 26950-2023.docx")</f>
        <v/>
      </c>
      <c r="X373">
        <f>HYPERLINK("https://klasma.github.io/Logging_KATRINEHOLM/tillsyn/A 26950-2023.docx")</f>
        <v/>
      </c>
      <c r="Y373">
        <f>HYPERLINK("https://klasma.github.io/Logging_KATRINEHOLM/tillsynsmail/A 26950-2023.docx")</f>
        <v/>
      </c>
    </row>
    <row r="374" ht="15" customHeight="1">
      <c r="A374" t="inlineStr">
        <is>
          <t>A 27580-2023</t>
        </is>
      </c>
      <c r="B374" s="1" t="n">
        <v>45097</v>
      </c>
      <c r="C374" s="1" t="n">
        <v>45182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9.199999999999999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Motaggsvamp</t>
        </is>
      </c>
      <c r="S374">
        <f>HYPERLINK("https://klasma.github.io/Logging_ESKILSTUNA/artfynd/A 27580-2023.xlsx")</f>
        <v/>
      </c>
      <c r="T374">
        <f>HYPERLINK("https://klasma.github.io/Logging_ESKILSTUNA/kartor/A 27580-2023.png")</f>
        <v/>
      </c>
      <c r="V374">
        <f>HYPERLINK("https://klasma.github.io/Logging_ESKILSTUNA/klagomål/A 27580-2023.docx")</f>
        <v/>
      </c>
      <c r="W374">
        <f>HYPERLINK("https://klasma.github.io/Logging_ESKILSTUNA/klagomålsmail/A 27580-2023.docx")</f>
        <v/>
      </c>
      <c r="X374">
        <f>HYPERLINK("https://klasma.github.io/Logging_ESKILSTUNA/tillsyn/A 27580-2023.docx")</f>
        <v/>
      </c>
      <c r="Y374">
        <f>HYPERLINK("https://klasma.github.io/Logging_ESKILSTUNA/tillsynsmail/A 27580-2023.docx")</f>
        <v/>
      </c>
    </row>
    <row r="375" ht="15" customHeight="1">
      <c r="A375" t="inlineStr">
        <is>
          <t>A 30229-2023</t>
        </is>
      </c>
      <c r="B375" s="1" t="n">
        <v>45099</v>
      </c>
      <c r="C375" s="1" t="n">
        <v>45182</v>
      </c>
      <c r="D375" t="inlineStr">
        <is>
          <t>SÖDERMANLANDS LÄN</t>
        </is>
      </c>
      <c r="E375" t="inlineStr">
        <is>
          <t>KATRINEHOLM</t>
        </is>
      </c>
      <c r="G375" t="n">
        <v>11.8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Silversmygare</t>
        </is>
      </c>
      <c r="S375">
        <f>HYPERLINK("https://klasma.github.io/Logging_KATRINEHOLM/artfynd/A 30229-2023.xlsx")</f>
        <v/>
      </c>
      <c r="T375">
        <f>HYPERLINK("https://klasma.github.io/Logging_KATRINEHOLM/kartor/A 30229-2023.png")</f>
        <v/>
      </c>
      <c r="V375">
        <f>HYPERLINK("https://klasma.github.io/Logging_KATRINEHOLM/klagomål/A 30229-2023.docx")</f>
        <v/>
      </c>
      <c r="W375">
        <f>HYPERLINK("https://klasma.github.io/Logging_KATRINEHOLM/klagomålsmail/A 30229-2023.docx")</f>
        <v/>
      </c>
      <c r="X375">
        <f>HYPERLINK("https://klasma.github.io/Logging_KATRINEHOLM/tillsyn/A 30229-2023.docx")</f>
        <v/>
      </c>
      <c r="Y375">
        <f>HYPERLINK("https://klasma.github.io/Logging_KATRINEHOLM/tillsynsmail/A 30229-2023.docx")</f>
        <v/>
      </c>
    </row>
    <row r="376" ht="15" customHeight="1">
      <c r="A376" t="inlineStr">
        <is>
          <t>A 28542-2023</t>
        </is>
      </c>
      <c r="B376" s="1" t="n">
        <v>45103</v>
      </c>
      <c r="C376" s="1" t="n">
        <v>45182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1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Knärot</t>
        </is>
      </c>
      <c r="S376">
        <f>HYPERLINK("https://klasma.github.io/Logging_NYKOPING/artfynd/A 28542-2023.xlsx")</f>
        <v/>
      </c>
      <c r="T376">
        <f>HYPERLINK("https://klasma.github.io/Logging_NYKOPING/kartor/A 28542-2023.png")</f>
        <v/>
      </c>
      <c r="U376">
        <f>HYPERLINK("https://klasma.github.io/Logging_NYKOPING/knärot/A 28542-2023.png")</f>
        <v/>
      </c>
      <c r="V376">
        <f>HYPERLINK("https://klasma.github.io/Logging_NYKOPING/klagomål/A 28542-2023.docx")</f>
        <v/>
      </c>
      <c r="W376">
        <f>HYPERLINK("https://klasma.github.io/Logging_NYKOPING/klagomålsmail/A 28542-2023.docx")</f>
        <v/>
      </c>
      <c r="X376">
        <f>HYPERLINK("https://klasma.github.io/Logging_NYKOPING/tillsyn/A 28542-2023.docx")</f>
        <v/>
      </c>
      <c r="Y376">
        <f>HYPERLINK("https://klasma.github.io/Logging_NYKOPING/tillsynsmail/A 28542-2023.docx")</f>
        <v/>
      </c>
    </row>
    <row r="377" ht="15" customHeight="1">
      <c r="A377" t="inlineStr">
        <is>
          <t>A 32279-2023</t>
        </is>
      </c>
      <c r="B377" s="1" t="n">
        <v>45109</v>
      </c>
      <c r="C377" s="1" t="n">
        <v>45182</v>
      </c>
      <c r="D377" t="inlineStr">
        <is>
          <t>SÖDERMANLANDS LÄN</t>
        </is>
      </c>
      <c r="E377" t="inlineStr">
        <is>
          <t>VINGÅKER</t>
        </is>
      </c>
      <c r="G377" t="n">
        <v>11.8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Barkticka</t>
        </is>
      </c>
      <c r="S377">
        <f>HYPERLINK("https://klasma.github.io/Logging_VINGAKER/artfynd/A 32279-2023.xlsx")</f>
        <v/>
      </c>
      <c r="T377">
        <f>HYPERLINK("https://klasma.github.io/Logging_VINGAKER/kartor/A 32279-2023.png")</f>
        <v/>
      </c>
      <c r="V377">
        <f>HYPERLINK("https://klasma.github.io/Logging_VINGAKER/klagomål/A 32279-2023.docx")</f>
        <v/>
      </c>
      <c r="W377">
        <f>HYPERLINK("https://klasma.github.io/Logging_VINGAKER/klagomålsmail/A 32279-2023.docx")</f>
        <v/>
      </c>
      <c r="X377">
        <f>HYPERLINK("https://klasma.github.io/Logging_VINGAKER/tillsyn/A 32279-2023.docx")</f>
        <v/>
      </c>
      <c r="Y377">
        <f>HYPERLINK("https://klasma.github.io/Logging_VINGAKER/tillsynsmail/A 32279-2023.docx")</f>
        <v/>
      </c>
    </row>
    <row r="378" ht="15" customHeight="1">
      <c r="A378" t="inlineStr">
        <is>
          <t>A 30045-2023</t>
        </is>
      </c>
      <c r="B378" s="1" t="n">
        <v>45110</v>
      </c>
      <c r="C378" s="1" t="n">
        <v>45182</v>
      </c>
      <c r="D378" t="inlineStr">
        <is>
          <t>SÖDERMANLANDS LÄN</t>
        </is>
      </c>
      <c r="E378" t="inlineStr">
        <is>
          <t>KATRINEHOLM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Tallticka</t>
        </is>
      </c>
      <c r="S378">
        <f>HYPERLINK("https://klasma.github.io/Logging_KATRINEHOLM/artfynd/A 30045-2023.xlsx")</f>
        <v/>
      </c>
      <c r="T378">
        <f>HYPERLINK("https://klasma.github.io/Logging_KATRINEHOLM/kartor/A 30045-2023.png")</f>
        <v/>
      </c>
      <c r="V378">
        <f>HYPERLINK("https://klasma.github.io/Logging_KATRINEHOLM/klagomål/A 30045-2023.docx")</f>
        <v/>
      </c>
      <c r="W378">
        <f>HYPERLINK("https://klasma.github.io/Logging_KATRINEHOLM/klagomålsmail/A 30045-2023.docx")</f>
        <v/>
      </c>
      <c r="X378">
        <f>HYPERLINK("https://klasma.github.io/Logging_KATRINEHOLM/tillsyn/A 30045-2023.docx")</f>
        <v/>
      </c>
      <c r="Y378">
        <f>HYPERLINK("https://klasma.github.io/Logging_KATRINEHOLM/tillsynsmail/A 30045-2023.docx")</f>
        <v/>
      </c>
    </row>
    <row r="379" ht="15" customHeight="1">
      <c r="A379" t="inlineStr">
        <is>
          <t>A 30124-2023</t>
        </is>
      </c>
      <c r="B379" s="1" t="n">
        <v>45110</v>
      </c>
      <c r="C379" s="1" t="n">
        <v>45182</v>
      </c>
      <c r="D379" t="inlineStr">
        <is>
          <t>SÖDERMANLANDS LÄN</t>
        </is>
      </c>
      <c r="E379" t="inlineStr">
        <is>
          <t>KATRINEHOLM</t>
        </is>
      </c>
      <c r="G379" t="n">
        <v>1.8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Bombmurkla</t>
        </is>
      </c>
      <c r="S379">
        <f>HYPERLINK("https://klasma.github.io/Logging_KATRINEHOLM/artfynd/A 30124-2023.xlsx")</f>
        <v/>
      </c>
      <c r="T379">
        <f>HYPERLINK("https://klasma.github.io/Logging_KATRINEHOLM/kartor/A 30124-2023.png")</f>
        <v/>
      </c>
      <c r="V379">
        <f>HYPERLINK("https://klasma.github.io/Logging_KATRINEHOLM/klagomål/A 30124-2023.docx")</f>
        <v/>
      </c>
      <c r="W379">
        <f>HYPERLINK("https://klasma.github.io/Logging_KATRINEHOLM/klagomålsmail/A 30124-2023.docx")</f>
        <v/>
      </c>
      <c r="X379">
        <f>HYPERLINK("https://klasma.github.io/Logging_KATRINEHOLM/tillsyn/A 30124-2023.docx")</f>
        <v/>
      </c>
      <c r="Y379">
        <f>HYPERLINK("https://klasma.github.io/Logging_KATRINEHOLM/tillsynsmail/A 30124-2023.docx")</f>
        <v/>
      </c>
    </row>
    <row r="380" ht="15" customHeight="1">
      <c r="A380" t="inlineStr">
        <is>
          <t>A 33639-2023</t>
        </is>
      </c>
      <c r="B380" s="1" t="n">
        <v>45119</v>
      </c>
      <c r="C380" s="1" t="n">
        <v>45182</v>
      </c>
      <c r="D380" t="inlineStr">
        <is>
          <t>SÖDERMANLANDS LÄN</t>
        </is>
      </c>
      <c r="E380" t="inlineStr">
        <is>
          <t>GNESTA</t>
        </is>
      </c>
      <c r="G380" t="n">
        <v>6.1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Springkorn</t>
        </is>
      </c>
      <c r="S380">
        <f>HYPERLINK("https://klasma.github.io/Logging_GNESTA/artfynd/A 33639-2023.xlsx")</f>
        <v/>
      </c>
      <c r="T380">
        <f>HYPERLINK("https://klasma.github.io/Logging_GNESTA/kartor/A 33639-2023.png")</f>
        <v/>
      </c>
      <c r="V380">
        <f>HYPERLINK("https://klasma.github.io/Logging_GNESTA/klagomål/A 33639-2023.docx")</f>
        <v/>
      </c>
      <c r="W380">
        <f>HYPERLINK("https://klasma.github.io/Logging_GNESTA/klagomålsmail/A 33639-2023.docx")</f>
        <v/>
      </c>
      <c r="X380">
        <f>HYPERLINK("https://klasma.github.io/Logging_GNESTA/tillsyn/A 33639-2023.docx")</f>
        <v/>
      </c>
      <c r="Y380">
        <f>HYPERLINK("https://klasma.github.io/Logging_GNESTA/tillsynsmail/A 33639-2023.docx")</f>
        <v/>
      </c>
    </row>
    <row r="381" ht="15" customHeight="1">
      <c r="A381" t="inlineStr">
        <is>
          <t>A 31987-2023</t>
        </is>
      </c>
      <c r="B381" s="1" t="n">
        <v>45119</v>
      </c>
      <c r="C381" s="1" t="n">
        <v>45182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Bredbrämad bastardsvärmare</t>
        </is>
      </c>
      <c r="S381">
        <f>HYPERLINK("https://klasma.github.io/Logging_ESKILSTUNA/artfynd/A 31987-2023.xlsx")</f>
        <v/>
      </c>
      <c r="T381">
        <f>HYPERLINK("https://klasma.github.io/Logging_ESKILSTUNA/kartor/A 31987-2023.png")</f>
        <v/>
      </c>
      <c r="V381">
        <f>HYPERLINK("https://klasma.github.io/Logging_ESKILSTUNA/klagomål/A 31987-2023.docx")</f>
        <v/>
      </c>
      <c r="W381">
        <f>HYPERLINK("https://klasma.github.io/Logging_ESKILSTUNA/klagomålsmail/A 31987-2023.docx")</f>
        <v/>
      </c>
      <c r="X381">
        <f>HYPERLINK("https://klasma.github.io/Logging_ESKILSTUNA/tillsyn/A 31987-2023.docx")</f>
        <v/>
      </c>
      <c r="Y381">
        <f>HYPERLINK("https://klasma.github.io/Logging_ESKILSTUNA/tillsynsmail/A 31987-2023.docx")</f>
        <v/>
      </c>
    </row>
    <row r="382" ht="15" customHeight="1">
      <c r="A382" t="inlineStr">
        <is>
          <t>A 33801-2023</t>
        </is>
      </c>
      <c r="B382" s="1" t="n">
        <v>45133</v>
      </c>
      <c r="C382" s="1" t="n">
        <v>45182</v>
      </c>
      <c r="D382" t="inlineStr">
        <is>
          <t>SÖDERMANLANDS LÄN</t>
        </is>
      </c>
      <c r="E382" t="inlineStr">
        <is>
          <t>KATRINEHOLM</t>
        </is>
      </c>
      <c r="G382" t="n">
        <v>2.1</v>
      </c>
      <c r="H382" t="n">
        <v>1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1</v>
      </c>
      <c r="R382" s="2" t="inlineStr">
        <is>
          <t>Blåsippa</t>
        </is>
      </c>
      <c r="S382">
        <f>HYPERLINK("https://klasma.github.io/Logging_KATRINEHOLM/artfynd/A 33801-2023.xlsx")</f>
        <v/>
      </c>
      <c r="T382">
        <f>HYPERLINK("https://klasma.github.io/Logging_KATRINEHOLM/kartor/A 33801-2023.png")</f>
        <v/>
      </c>
      <c r="V382">
        <f>HYPERLINK("https://klasma.github.io/Logging_KATRINEHOLM/klagomål/A 33801-2023.docx")</f>
        <v/>
      </c>
      <c r="W382">
        <f>HYPERLINK("https://klasma.github.io/Logging_KATRINEHOLM/klagomålsmail/A 33801-2023.docx")</f>
        <v/>
      </c>
      <c r="X382">
        <f>HYPERLINK("https://klasma.github.io/Logging_KATRINEHOLM/tillsyn/A 33801-2023.docx")</f>
        <v/>
      </c>
      <c r="Y382">
        <f>HYPERLINK("https://klasma.github.io/Logging_KATRINEHOLM/tillsynsmail/A 33801-2023.docx")</f>
        <v/>
      </c>
    </row>
    <row r="383" ht="15" customHeight="1">
      <c r="A383" t="inlineStr">
        <is>
          <t>A 34717-2023</t>
        </is>
      </c>
      <c r="B383" s="1" t="n">
        <v>45141</v>
      </c>
      <c r="C383" s="1" t="n">
        <v>45182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Kyrkan</t>
        </is>
      </c>
      <c r="G383" t="n">
        <v>1.5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Triplax rufipes</t>
        </is>
      </c>
      <c r="S383">
        <f>HYPERLINK("https://klasma.github.io/Logging_ESKILSTUNA/artfynd/A 34717-2023.xlsx")</f>
        <v/>
      </c>
      <c r="T383">
        <f>HYPERLINK("https://klasma.github.io/Logging_ESKILSTUNA/kartor/A 34717-2023.png")</f>
        <v/>
      </c>
      <c r="V383">
        <f>HYPERLINK("https://klasma.github.io/Logging_ESKILSTUNA/klagomål/A 34717-2023.docx")</f>
        <v/>
      </c>
      <c r="W383">
        <f>HYPERLINK("https://klasma.github.io/Logging_ESKILSTUNA/klagomålsmail/A 34717-2023.docx")</f>
        <v/>
      </c>
      <c r="X383">
        <f>HYPERLINK("https://klasma.github.io/Logging_ESKILSTUNA/tillsyn/A 34717-2023.docx")</f>
        <v/>
      </c>
      <c r="Y383">
        <f>HYPERLINK("https://klasma.github.io/Logging_ESKILSTUNA/tillsynsmail/A 34717-2023.docx")</f>
        <v/>
      </c>
    </row>
    <row r="384" ht="15" customHeight="1">
      <c r="A384" t="inlineStr">
        <is>
          <t>A 35122-2023</t>
        </is>
      </c>
      <c r="B384" s="1" t="n">
        <v>45145</v>
      </c>
      <c r="C384" s="1" t="n">
        <v>45182</v>
      </c>
      <c r="D384" t="inlineStr">
        <is>
          <t>SÖDERMANLANDS LÄN</t>
        </is>
      </c>
      <c r="E384" t="inlineStr">
        <is>
          <t>NYKÖPING</t>
        </is>
      </c>
      <c r="G384" t="n">
        <v>3.2</v>
      </c>
      <c r="H384" t="n">
        <v>1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Blåsippa</t>
        </is>
      </c>
      <c r="S384">
        <f>HYPERLINK("https://klasma.github.io/Logging_NYKOPING/artfynd/A 35122-2023.xlsx")</f>
        <v/>
      </c>
      <c r="T384">
        <f>HYPERLINK("https://klasma.github.io/Logging_NYKOPING/kartor/A 35122-2023.png")</f>
        <v/>
      </c>
      <c r="V384">
        <f>HYPERLINK("https://klasma.github.io/Logging_NYKOPING/klagomål/A 35122-2023.docx")</f>
        <v/>
      </c>
      <c r="W384">
        <f>HYPERLINK("https://klasma.github.io/Logging_NYKOPING/klagomålsmail/A 35122-2023.docx")</f>
        <v/>
      </c>
      <c r="X384">
        <f>HYPERLINK("https://klasma.github.io/Logging_NYKOPING/tillsyn/A 35122-2023.docx")</f>
        <v/>
      </c>
      <c r="Y384">
        <f>HYPERLINK("https://klasma.github.io/Logging_NYKOPING/tillsynsmail/A 35122-2023.docx")</f>
        <v/>
      </c>
    </row>
    <row r="385" ht="15" customHeight="1">
      <c r="A385" t="inlineStr">
        <is>
          <t>A 37317-2023</t>
        </is>
      </c>
      <c r="B385" s="1" t="n">
        <v>45156</v>
      </c>
      <c r="C385" s="1" t="n">
        <v>45182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5.1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Svavelriska</t>
        </is>
      </c>
      <c r="S385">
        <f>HYPERLINK("https://klasma.github.io/Logging_FLEN/artfynd/A 37317-2023.xlsx")</f>
        <v/>
      </c>
      <c r="T385">
        <f>HYPERLINK("https://klasma.github.io/Logging_FLEN/kartor/A 37317-2023.png")</f>
        <v/>
      </c>
      <c r="V385">
        <f>HYPERLINK("https://klasma.github.io/Logging_FLEN/klagomål/A 37317-2023.docx")</f>
        <v/>
      </c>
      <c r="W385">
        <f>HYPERLINK("https://klasma.github.io/Logging_FLEN/klagomålsmail/A 37317-2023.docx")</f>
        <v/>
      </c>
      <c r="X385">
        <f>HYPERLINK("https://klasma.github.io/Logging_FLEN/tillsyn/A 37317-2023.docx")</f>
        <v/>
      </c>
      <c r="Y385">
        <f>HYPERLINK("https://klasma.github.io/Logging_FLEN/tillsynsmail/A 37317-2023.docx")</f>
        <v/>
      </c>
    </row>
    <row r="386" ht="15" customHeight="1">
      <c r="A386" t="inlineStr">
        <is>
          <t>A 39019-2023</t>
        </is>
      </c>
      <c r="B386" s="1" t="n">
        <v>45163</v>
      </c>
      <c r="C386" s="1" t="n">
        <v>45182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Kommuner</t>
        </is>
      </c>
      <c r="G386" t="n">
        <v>12.3</v>
      </c>
      <c r="H386" t="n">
        <v>1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Mindre hackspett</t>
        </is>
      </c>
      <c r="S386">
        <f>HYPERLINK("https://klasma.github.io/Logging_NYKOPING/artfynd/A 39019-2023.xlsx")</f>
        <v/>
      </c>
      <c r="T386">
        <f>HYPERLINK("https://klasma.github.io/Logging_NYKOPING/kartor/A 39019-2023.png")</f>
        <v/>
      </c>
      <c r="V386">
        <f>HYPERLINK("https://klasma.github.io/Logging_NYKOPING/klagomål/A 39019-2023.docx")</f>
        <v/>
      </c>
      <c r="W386">
        <f>HYPERLINK("https://klasma.github.io/Logging_NYKOPING/klagomålsmail/A 39019-2023.docx")</f>
        <v/>
      </c>
      <c r="X386">
        <f>HYPERLINK("https://klasma.github.io/Logging_NYKOPING/tillsyn/A 39019-2023.docx")</f>
        <v/>
      </c>
      <c r="Y386">
        <f>HYPERLINK("https://klasma.github.io/Logging_NYKOPING/tillsynsmail/A 39019-2023.docx")</f>
        <v/>
      </c>
    </row>
    <row r="387" ht="15" customHeight="1">
      <c r="A387" t="inlineStr">
        <is>
          <t>A 39240-2023</t>
        </is>
      </c>
      <c r="B387" s="1" t="n">
        <v>45166</v>
      </c>
      <c r="C387" s="1" t="n">
        <v>45182</v>
      </c>
      <c r="D387" t="inlineStr">
        <is>
          <t>SÖDERMANLANDS LÄN</t>
        </is>
      </c>
      <c r="E387" t="inlineStr">
        <is>
          <t>FLEN</t>
        </is>
      </c>
      <c r="F387" t="inlineStr">
        <is>
          <t>Holmen skog AB</t>
        </is>
      </c>
      <c r="G387" t="n">
        <v>4.6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Blodticka</t>
        </is>
      </c>
      <c r="S387">
        <f>HYPERLINK("https://klasma.github.io/Logging_FLEN/artfynd/A 39240-2023.xlsx")</f>
        <v/>
      </c>
      <c r="T387">
        <f>HYPERLINK("https://klasma.github.io/Logging_FLEN/kartor/A 39240-2023.png")</f>
        <v/>
      </c>
      <c r="V387">
        <f>HYPERLINK("https://klasma.github.io/Logging_FLEN/klagomål/A 39240-2023.docx")</f>
        <v/>
      </c>
      <c r="W387">
        <f>HYPERLINK("https://klasma.github.io/Logging_FLEN/klagomålsmail/A 39240-2023.docx")</f>
        <v/>
      </c>
      <c r="X387">
        <f>HYPERLINK("https://klasma.github.io/Logging_FLEN/tillsyn/A 39240-2023.docx")</f>
        <v/>
      </c>
      <c r="Y387">
        <f>HYPERLINK("https://klasma.github.io/Logging_FLEN/tillsynsmail/A 39240-2023.docx")</f>
        <v/>
      </c>
    </row>
    <row r="388" ht="15" customHeight="1">
      <c r="A388" t="inlineStr">
        <is>
          <t>A 40267-2023</t>
        </is>
      </c>
      <c r="B388" s="1" t="n">
        <v>45169</v>
      </c>
      <c r="C388" s="1" t="n">
        <v>45182</v>
      </c>
      <c r="D388" t="inlineStr">
        <is>
          <t>SÖDERMANLANDS LÄN</t>
        </is>
      </c>
      <c r="E388" t="inlineStr">
        <is>
          <t>GNESTA</t>
        </is>
      </c>
      <c r="F388" t="inlineStr">
        <is>
          <t>Holmen skog AB</t>
        </is>
      </c>
      <c r="G388" t="n">
        <v>1.1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HYPERLINK("https://klasma.github.io/Logging_GNESTA/artfynd/A 40267-2023.xlsx")</f>
        <v/>
      </c>
      <c r="T388">
        <f>HYPERLINK("https://klasma.github.io/Logging_GNESTA/kartor/A 40267-2023.png")</f>
        <v/>
      </c>
      <c r="V388">
        <f>HYPERLINK("https://klasma.github.io/Logging_GNESTA/klagomål/A 40267-2023.docx")</f>
        <v/>
      </c>
      <c r="W388">
        <f>HYPERLINK("https://klasma.github.io/Logging_GNESTA/klagomålsmail/A 40267-2023.docx")</f>
        <v/>
      </c>
      <c r="X388">
        <f>HYPERLINK("https://klasma.github.io/Logging_GNESTA/tillsyn/A 40267-2023.docx")</f>
        <v/>
      </c>
      <c r="Y388">
        <f>HYPERLINK("https://klasma.github.io/Logging_GNESTA/tillsynsmail/A 40267-2023.docx")</f>
        <v/>
      </c>
    </row>
    <row r="389" ht="15" customHeight="1">
      <c r="A389" t="inlineStr">
        <is>
          <t>A 35316-2018</t>
        </is>
      </c>
      <c r="B389" s="1" t="n">
        <v>43324</v>
      </c>
      <c r="C389" s="1" t="n">
        <v>45182</v>
      </c>
      <c r="D389" t="inlineStr">
        <is>
          <t>SÖDERMANLANDS LÄN</t>
        </is>
      </c>
      <c r="E389" t="inlineStr">
        <is>
          <t>FLEN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37594-2018</t>
        </is>
      </c>
      <c r="B390" s="1" t="n">
        <v>43334</v>
      </c>
      <c r="C390" s="1" t="n">
        <v>45182</v>
      </c>
      <c r="D390" t="inlineStr">
        <is>
          <t>SÖDERMANLANDS LÄN</t>
        </is>
      </c>
      <c r="E390" t="inlineStr">
        <is>
          <t>FLEN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37519-2018</t>
        </is>
      </c>
      <c r="B391" s="1" t="n">
        <v>43334</v>
      </c>
      <c r="C391" s="1" t="n">
        <v>45182</v>
      </c>
      <c r="D391" t="inlineStr">
        <is>
          <t>SÖDERMANLANDS LÄN</t>
        </is>
      </c>
      <c r="E391" t="inlineStr">
        <is>
          <t>KATRINEHOLM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38713-2018</t>
        </is>
      </c>
      <c r="B392" s="1" t="n">
        <v>43335</v>
      </c>
      <c r="C392" s="1" t="n">
        <v>45182</v>
      </c>
      <c r="D392" t="inlineStr">
        <is>
          <t>SÖDERMANLANDS LÄN</t>
        </is>
      </c>
      <c r="E392" t="inlineStr">
        <is>
          <t>VINGÅKER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38578-2018</t>
        </is>
      </c>
      <c r="B393" s="1" t="n">
        <v>43335</v>
      </c>
      <c r="C393" s="1" t="n">
        <v>45182</v>
      </c>
      <c r="D393" t="inlineStr">
        <is>
          <t>SÖDERMANLANDS LÄN</t>
        </is>
      </c>
      <c r="E393" t="inlineStr">
        <is>
          <t>VINGÅKER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38704-2018</t>
        </is>
      </c>
      <c r="B394" s="1" t="n">
        <v>43335</v>
      </c>
      <c r="C394" s="1" t="n">
        <v>45182</v>
      </c>
      <c r="D394" t="inlineStr">
        <is>
          <t>SÖDERMANLANDS LÄN</t>
        </is>
      </c>
      <c r="E394" t="inlineStr">
        <is>
          <t>VINGÅKER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38711-2018</t>
        </is>
      </c>
      <c r="B395" s="1" t="n">
        <v>43335</v>
      </c>
      <c r="C395" s="1" t="n">
        <v>45182</v>
      </c>
      <c r="D395" t="inlineStr">
        <is>
          <t>SÖDERMANLANDS LÄN</t>
        </is>
      </c>
      <c r="E395" t="inlineStr">
        <is>
          <t>VINGÅKER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38068-2018</t>
        </is>
      </c>
      <c r="B396" s="1" t="n">
        <v>43336</v>
      </c>
      <c r="C396" s="1" t="n">
        <v>45182</v>
      </c>
      <c r="D396" t="inlineStr">
        <is>
          <t>SÖDERMANLANDS LÄN</t>
        </is>
      </c>
      <c r="E396" t="inlineStr">
        <is>
          <t>GNESTA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38718-2018</t>
        </is>
      </c>
      <c r="B397" s="1" t="n">
        <v>43336</v>
      </c>
      <c r="C397" s="1" t="n">
        <v>45182</v>
      </c>
      <c r="D397" t="inlineStr">
        <is>
          <t>SÖDERMANLANDS LÄN</t>
        </is>
      </c>
      <c r="E397" t="inlineStr">
        <is>
          <t>VINGÅKER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39355-2018</t>
        </is>
      </c>
      <c r="B398" s="1" t="n">
        <v>43339</v>
      </c>
      <c r="C398" s="1" t="n">
        <v>45182</v>
      </c>
      <c r="D398" t="inlineStr">
        <is>
          <t>SÖDERMANLANDS LÄN</t>
        </is>
      </c>
      <c r="E398" t="inlineStr">
        <is>
          <t>KATRINEHOLM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39550-2018</t>
        </is>
      </c>
      <c r="B399" s="1" t="n">
        <v>43340</v>
      </c>
      <c r="C399" s="1" t="n">
        <v>45182</v>
      </c>
      <c r="D399" t="inlineStr">
        <is>
          <t>SÖDERMANLANDS LÄN</t>
        </is>
      </c>
      <c r="E399" t="inlineStr">
        <is>
          <t>VINGÅKER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38799-2018</t>
        </is>
      </c>
      <c r="B400" s="1" t="n">
        <v>43340</v>
      </c>
      <c r="C400" s="1" t="n">
        <v>45182</v>
      </c>
      <c r="D400" t="inlineStr">
        <is>
          <t>SÖDERMANLANDS LÄN</t>
        </is>
      </c>
      <c r="E400" t="inlineStr">
        <is>
          <t>NYKÖPING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40625-2018</t>
        </is>
      </c>
      <c r="B401" s="1" t="n">
        <v>43343</v>
      </c>
      <c r="C401" s="1" t="n">
        <v>45182</v>
      </c>
      <c r="D401" t="inlineStr">
        <is>
          <t>SÖDERMANLANDS LÄN</t>
        </is>
      </c>
      <c r="E401" t="inlineStr">
        <is>
          <t>VINGÅKER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40116-2018</t>
        </is>
      </c>
      <c r="B402" s="1" t="n">
        <v>43343</v>
      </c>
      <c r="C402" s="1" t="n">
        <v>45182</v>
      </c>
      <c r="D402" t="inlineStr">
        <is>
          <t>SÖDERMANLANDS LÄN</t>
        </is>
      </c>
      <c r="E402" t="inlineStr">
        <is>
          <t>STRÄNGNÄS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41385-2018</t>
        </is>
      </c>
      <c r="B403" s="1" t="n">
        <v>43347</v>
      </c>
      <c r="C403" s="1" t="n">
        <v>45182</v>
      </c>
      <c r="D403" t="inlineStr">
        <is>
          <t>SÖDERMANLANDS LÄN</t>
        </is>
      </c>
      <c r="E403" t="inlineStr">
        <is>
          <t>FLEN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40940-2018</t>
        </is>
      </c>
      <c r="B404" s="1" t="n">
        <v>43347</v>
      </c>
      <c r="C404" s="1" t="n">
        <v>45182</v>
      </c>
      <c r="D404" t="inlineStr">
        <is>
          <t>SÖDERMANLANDS LÄN</t>
        </is>
      </c>
      <c r="E404" t="inlineStr">
        <is>
          <t>STRÄNGNÄS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41479-2018</t>
        </is>
      </c>
      <c r="B405" s="1" t="n">
        <v>43347</v>
      </c>
      <c r="C405" s="1" t="n">
        <v>45182</v>
      </c>
      <c r="D405" t="inlineStr">
        <is>
          <t>SÖDERMANLANDS LÄN</t>
        </is>
      </c>
      <c r="E405" t="inlineStr">
        <is>
          <t>FLEN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41549-2018</t>
        </is>
      </c>
      <c r="B406" s="1" t="n">
        <v>43347</v>
      </c>
      <c r="C406" s="1" t="n">
        <v>45182</v>
      </c>
      <c r="D406" t="inlineStr">
        <is>
          <t>SÖDERMANLANDS LÄN</t>
        </is>
      </c>
      <c r="E406" t="inlineStr">
        <is>
          <t>FLEN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40788-2018</t>
        </is>
      </c>
      <c r="B407" s="1" t="n">
        <v>43347</v>
      </c>
      <c r="C407" s="1" t="n">
        <v>45182</v>
      </c>
      <c r="D407" t="inlineStr">
        <is>
          <t>SÖDERMANLANDS LÄN</t>
        </is>
      </c>
      <c r="E407" t="inlineStr">
        <is>
          <t>NYKÖPING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41412-2018</t>
        </is>
      </c>
      <c r="B408" s="1" t="n">
        <v>43347</v>
      </c>
      <c r="C408" s="1" t="n">
        <v>45182</v>
      </c>
      <c r="D408" t="inlineStr">
        <is>
          <t>SÖDERMANLANDS LÄN</t>
        </is>
      </c>
      <c r="E408" t="inlineStr">
        <is>
          <t>FLEN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41400-2018</t>
        </is>
      </c>
      <c r="B409" s="1" t="n">
        <v>43347</v>
      </c>
      <c r="C409" s="1" t="n">
        <v>45182</v>
      </c>
      <c r="D409" t="inlineStr">
        <is>
          <t>SÖDERMANLANDS LÄN</t>
        </is>
      </c>
      <c r="E409" t="inlineStr">
        <is>
          <t>FLEN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41857-2018</t>
        </is>
      </c>
      <c r="B410" s="1" t="n">
        <v>43348</v>
      </c>
      <c r="C410" s="1" t="n">
        <v>45182</v>
      </c>
      <c r="D410" t="inlineStr">
        <is>
          <t>SÖDERMANLANDS LÄN</t>
        </is>
      </c>
      <c r="E410" t="inlineStr">
        <is>
          <t>NYKÖPING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43212-2018</t>
        </is>
      </c>
      <c r="B411" s="1" t="n">
        <v>43353</v>
      </c>
      <c r="C411" s="1" t="n">
        <v>45182</v>
      </c>
      <c r="D411" t="inlineStr">
        <is>
          <t>SÖDERMANLANDS LÄN</t>
        </is>
      </c>
      <c r="E411" t="inlineStr">
        <is>
          <t>VINGÅKER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42470-2018</t>
        </is>
      </c>
      <c r="B412" s="1" t="n">
        <v>43353</v>
      </c>
      <c r="C412" s="1" t="n">
        <v>45182</v>
      </c>
      <c r="D412" t="inlineStr">
        <is>
          <t>SÖDERMANLANDS LÄN</t>
        </is>
      </c>
      <c r="E412" t="inlineStr">
        <is>
          <t>ESKILSTUNA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43476-2018</t>
        </is>
      </c>
      <c r="B413" s="1" t="n">
        <v>43353</v>
      </c>
      <c r="C413" s="1" t="n">
        <v>45182</v>
      </c>
      <c r="D413" t="inlineStr">
        <is>
          <t>SÖDERMANLANDS LÄN</t>
        </is>
      </c>
      <c r="E413" t="inlineStr">
        <is>
          <t>NYKÖPING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42985-2018</t>
        </is>
      </c>
      <c r="B414" s="1" t="n">
        <v>43355</v>
      </c>
      <c r="C414" s="1" t="n">
        <v>45182</v>
      </c>
      <c r="D414" t="inlineStr">
        <is>
          <t>SÖDERMANLANDS LÄN</t>
        </is>
      </c>
      <c r="E414" t="inlineStr">
        <is>
          <t>VINGÅKER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44489-2018</t>
        </is>
      </c>
      <c r="B415" s="1" t="n">
        <v>43356</v>
      </c>
      <c r="C415" s="1" t="n">
        <v>45182</v>
      </c>
      <c r="D415" t="inlineStr">
        <is>
          <t>SÖDERMANLANDS LÄN</t>
        </is>
      </c>
      <c r="E415" t="inlineStr">
        <is>
          <t>KATRINEHOLM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44474-2018</t>
        </is>
      </c>
      <c r="B416" s="1" t="n">
        <v>43356</v>
      </c>
      <c r="C416" s="1" t="n">
        <v>45182</v>
      </c>
      <c r="D416" t="inlineStr">
        <is>
          <t>SÖDERMANLANDS LÄN</t>
        </is>
      </c>
      <c r="E416" t="inlineStr">
        <is>
          <t>ESKILSTUNA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44499-2018</t>
        </is>
      </c>
      <c r="B417" s="1" t="n">
        <v>43356</v>
      </c>
      <c r="C417" s="1" t="n">
        <v>45182</v>
      </c>
      <c r="D417" t="inlineStr">
        <is>
          <t>SÖDERMANLANDS LÄN</t>
        </is>
      </c>
      <c r="E417" t="inlineStr">
        <is>
          <t>KATRINEHOLM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44484-2018</t>
        </is>
      </c>
      <c r="B418" s="1" t="n">
        <v>43356</v>
      </c>
      <c r="C418" s="1" t="n">
        <v>45182</v>
      </c>
      <c r="D418" t="inlineStr">
        <is>
          <t>SÖDERMANLANDS LÄN</t>
        </is>
      </c>
      <c r="E418" t="inlineStr">
        <is>
          <t>KATRINEHOLM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44784-2018</t>
        </is>
      </c>
      <c r="B419" s="1" t="n">
        <v>43357</v>
      </c>
      <c r="C419" s="1" t="n">
        <v>45182</v>
      </c>
      <c r="D419" t="inlineStr">
        <is>
          <t>SÖDERMANLANDS LÄN</t>
        </is>
      </c>
      <c r="E419" t="inlineStr">
        <is>
          <t>FLEN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44794-2018</t>
        </is>
      </c>
      <c r="B420" s="1" t="n">
        <v>43357</v>
      </c>
      <c r="C420" s="1" t="n">
        <v>45182</v>
      </c>
      <c r="D420" t="inlineStr">
        <is>
          <t>SÖDERMANLANDS LÄN</t>
        </is>
      </c>
      <c r="E420" t="inlineStr">
        <is>
          <t>KATRINEHOLM</t>
        </is>
      </c>
      <c r="G420" t="n">
        <v>7.6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44911-2018</t>
        </is>
      </c>
      <c r="B421" s="1" t="n">
        <v>43360</v>
      </c>
      <c r="C421" s="1" t="n">
        <v>45182</v>
      </c>
      <c r="D421" t="inlineStr">
        <is>
          <t>SÖDERMANLANDS LÄN</t>
        </is>
      </c>
      <c r="E421" t="inlineStr">
        <is>
          <t>ESKILSTUNA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44900-2018</t>
        </is>
      </c>
      <c r="B422" s="1" t="n">
        <v>43360</v>
      </c>
      <c r="C422" s="1" t="n">
        <v>45182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46046-2018</t>
        </is>
      </c>
      <c r="B423" s="1" t="n">
        <v>43365</v>
      </c>
      <c r="C423" s="1" t="n">
        <v>45182</v>
      </c>
      <c r="D423" t="inlineStr">
        <is>
          <t>SÖDERMANLANDS LÄN</t>
        </is>
      </c>
      <c r="E423" t="inlineStr">
        <is>
          <t>GNESTA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47304-2018</t>
        </is>
      </c>
      <c r="B424" s="1" t="n">
        <v>43368</v>
      </c>
      <c r="C424" s="1" t="n">
        <v>45182</v>
      </c>
      <c r="D424" t="inlineStr">
        <is>
          <t>SÖDERMANLANDS LÄN</t>
        </is>
      </c>
      <c r="E424" t="inlineStr">
        <is>
          <t>FLEN</t>
        </is>
      </c>
      <c r="F424" t="inlineStr">
        <is>
          <t>Kommuner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47950-2018</t>
        </is>
      </c>
      <c r="B425" s="1" t="n">
        <v>43368</v>
      </c>
      <c r="C425" s="1" t="n">
        <v>45182</v>
      </c>
      <c r="D425" t="inlineStr">
        <is>
          <t>SÖDERMANLANDS LÄN</t>
        </is>
      </c>
      <c r="E425" t="inlineStr">
        <is>
          <t>NYKÖPING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47611-2018</t>
        </is>
      </c>
      <c r="B426" s="1" t="n">
        <v>43368</v>
      </c>
      <c r="C426" s="1" t="n">
        <v>45182</v>
      </c>
      <c r="D426" t="inlineStr">
        <is>
          <t>SÖDERMANLANDS LÄN</t>
        </is>
      </c>
      <c r="E426" t="inlineStr">
        <is>
          <t>FLEN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47997-2018</t>
        </is>
      </c>
      <c r="B427" s="1" t="n">
        <v>43369</v>
      </c>
      <c r="C427" s="1" t="n">
        <v>45182</v>
      </c>
      <c r="D427" t="inlineStr">
        <is>
          <t>SÖDERMANLANDS LÄN</t>
        </is>
      </c>
      <c r="E427" t="inlineStr">
        <is>
          <t>STRÄNGNÄS</t>
        </is>
      </c>
      <c r="F427" t="inlineStr">
        <is>
          <t>Kommuner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48003-2018</t>
        </is>
      </c>
      <c r="B428" s="1" t="n">
        <v>43369</v>
      </c>
      <c r="C428" s="1" t="n">
        <v>45182</v>
      </c>
      <c r="D428" t="inlineStr">
        <is>
          <t>SÖDERMANLANDS LÄN</t>
        </is>
      </c>
      <c r="E428" t="inlineStr">
        <is>
          <t>STRÄNGNÄS</t>
        </is>
      </c>
      <c r="F428" t="inlineStr">
        <is>
          <t>Kommuner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47756-2018</t>
        </is>
      </c>
      <c r="B429" s="1" t="n">
        <v>43370</v>
      </c>
      <c r="C429" s="1" t="n">
        <v>45182</v>
      </c>
      <c r="D429" t="inlineStr">
        <is>
          <t>SÖDERMANLANDS LÄN</t>
        </is>
      </c>
      <c r="E429" t="inlineStr">
        <is>
          <t>STRÄNGNÄS</t>
        </is>
      </c>
      <c r="G429" t="n">
        <v>9.300000000000001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48634-2018</t>
        </is>
      </c>
      <c r="B430" s="1" t="n">
        <v>43370</v>
      </c>
      <c r="C430" s="1" t="n">
        <v>45182</v>
      </c>
      <c r="D430" t="inlineStr">
        <is>
          <t>SÖDERMANLANDS LÄN</t>
        </is>
      </c>
      <c r="E430" t="inlineStr">
        <is>
          <t>FLEN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48232-2018</t>
        </is>
      </c>
      <c r="B431" s="1" t="n">
        <v>43371</v>
      </c>
      <c r="C431" s="1" t="n">
        <v>45182</v>
      </c>
      <c r="D431" t="inlineStr">
        <is>
          <t>SÖDERMANLANDS LÄN</t>
        </is>
      </c>
      <c r="E431" t="inlineStr">
        <is>
          <t>NYKÖPING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47989-2018</t>
        </is>
      </c>
      <c r="B432" s="1" t="n">
        <v>43371</v>
      </c>
      <c r="C432" s="1" t="n">
        <v>45182</v>
      </c>
      <c r="D432" t="inlineStr">
        <is>
          <t>SÖDERMANLANDS LÄN</t>
        </is>
      </c>
      <c r="E432" t="inlineStr">
        <is>
          <t>VINGÅKER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49041-2018</t>
        </is>
      </c>
      <c r="B433" s="1" t="n">
        <v>43371</v>
      </c>
      <c r="C433" s="1" t="n">
        <v>45182</v>
      </c>
      <c r="D433" t="inlineStr">
        <is>
          <t>SÖDERMANLANDS LÄN</t>
        </is>
      </c>
      <c r="E433" t="inlineStr">
        <is>
          <t>FLEN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51686-2018</t>
        </is>
      </c>
      <c r="B434" s="1" t="n">
        <v>43374</v>
      </c>
      <c r="C434" s="1" t="n">
        <v>45182</v>
      </c>
      <c r="D434" t="inlineStr">
        <is>
          <t>SÖDERMANLANDS LÄN</t>
        </is>
      </c>
      <c r="E434" t="inlineStr">
        <is>
          <t>KATRINEHOLM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49513-2018</t>
        </is>
      </c>
      <c r="B435" s="1" t="n">
        <v>43374</v>
      </c>
      <c r="C435" s="1" t="n">
        <v>45182</v>
      </c>
      <c r="D435" t="inlineStr">
        <is>
          <t>SÖDERMANLANDS LÄN</t>
        </is>
      </c>
      <c r="E435" t="inlineStr">
        <is>
          <t>FLEN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49172-2018</t>
        </is>
      </c>
      <c r="B436" s="1" t="n">
        <v>43375</v>
      </c>
      <c r="C436" s="1" t="n">
        <v>45182</v>
      </c>
      <c r="D436" t="inlineStr">
        <is>
          <t>SÖDERMANLANDS LÄN</t>
        </is>
      </c>
      <c r="E436" t="inlineStr">
        <is>
          <t>NYKÖPING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49850-2018</t>
        </is>
      </c>
      <c r="B437" s="1" t="n">
        <v>43375</v>
      </c>
      <c r="C437" s="1" t="n">
        <v>45182</v>
      </c>
      <c r="D437" t="inlineStr">
        <is>
          <t>SÖDERMANLANDS LÄN</t>
        </is>
      </c>
      <c r="E437" t="inlineStr">
        <is>
          <t>KATRINEHOLM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51231-2018</t>
        </is>
      </c>
      <c r="B438" s="1" t="n">
        <v>43382</v>
      </c>
      <c r="C438" s="1" t="n">
        <v>45182</v>
      </c>
      <c r="D438" t="inlineStr">
        <is>
          <t>SÖDERMANLANDS LÄN</t>
        </is>
      </c>
      <c r="E438" t="inlineStr">
        <is>
          <t>KATRINEHOLM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52370-2018</t>
        </is>
      </c>
      <c r="B439" s="1" t="n">
        <v>43383</v>
      </c>
      <c r="C439" s="1" t="n">
        <v>45182</v>
      </c>
      <c r="D439" t="inlineStr">
        <is>
          <t>SÖDERMANLANDS LÄN</t>
        </is>
      </c>
      <c r="E439" t="inlineStr">
        <is>
          <t>NYKÖPING</t>
        </is>
      </c>
      <c r="F439" t="inlineStr">
        <is>
          <t>Allmännings- och besparingsskogar</t>
        </is>
      </c>
      <c r="G439" t="n">
        <v>20.9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52444-2018</t>
        </is>
      </c>
      <c r="B440" s="1" t="n">
        <v>43383</v>
      </c>
      <c r="C440" s="1" t="n">
        <v>45182</v>
      </c>
      <c r="D440" t="inlineStr">
        <is>
          <t>SÖDERMANLANDS LÄN</t>
        </is>
      </c>
      <c r="E440" t="inlineStr">
        <is>
          <t>KATRINEHOLM</t>
        </is>
      </c>
      <c r="F440" t="inlineStr">
        <is>
          <t>Allmännings- och besparingsskogar</t>
        </is>
      </c>
      <c r="G440" t="n">
        <v>20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61741-2018</t>
        </is>
      </c>
      <c r="B441" s="1" t="n">
        <v>43383</v>
      </c>
      <c r="C441" s="1" t="n">
        <v>45182</v>
      </c>
      <c r="D441" t="inlineStr">
        <is>
          <t>SÖDERMANLANDS LÄN</t>
        </is>
      </c>
      <c r="E441" t="inlineStr">
        <is>
          <t>KATRINEHOLM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52356-2018</t>
        </is>
      </c>
      <c r="B442" s="1" t="n">
        <v>43383</v>
      </c>
      <c r="C442" s="1" t="n">
        <v>45182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Allmännings- och besparingsskogar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52941-2018</t>
        </is>
      </c>
      <c r="B443" s="1" t="n">
        <v>43384</v>
      </c>
      <c r="C443" s="1" t="n">
        <v>45182</v>
      </c>
      <c r="D443" t="inlineStr">
        <is>
          <t>SÖDERMANLANDS LÄN</t>
        </is>
      </c>
      <c r="E443" t="inlineStr">
        <is>
          <t>KATRINEHOLM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52082-2018</t>
        </is>
      </c>
      <c r="B444" s="1" t="n">
        <v>43385</v>
      </c>
      <c r="C444" s="1" t="n">
        <v>45182</v>
      </c>
      <c r="D444" t="inlineStr">
        <is>
          <t>SÖDERMANLANDS LÄN</t>
        </is>
      </c>
      <c r="E444" t="inlineStr">
        <is>
          <t>GNESTA</t>
        </is>
      </c>
      <c r="F444" t="inlineStr">
        <is>
          <t>Holmen skog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52098-2018</t>
        </is>
      </c>
      <c r="B445" s="1" t="n">
        <v>43385</v>
      </c>
      <c r="C445" s="1" t="n">
        <v>45182</v>
      </c>
      <c r="D445" t="inlineStr">
        <is>
          <t>SÖDERMANLANDS LÄN</t>
        </is>
      </c>
      <c r="E445" t="inlineStr">
        <is>
          <t>GNESTA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53488-2018</t>
        </is>
      </c>
      <c r="B446" s="1" t="n">
        <v>43385</v>
      </c>
      <c r="C446" s="1" t="n">
        <v>45182</v>
      </c>
      <c r="D446" t="inlineStr">
        <is>
          <t>SÖDERMANLANDS LÄN</t>
        </is>
      </c>
      <c r="E446" t="inlineStr">
        <is>
          <t>VINGÅKER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53493-2018</t>
        </is>
      </c>
      <c r="B447" s="1" t="n">
        <v>43385</v>
      </c>
      <c r="C447" s="1" t="n">
        <v>45182</v>
      </c>
      <c r="D447" t="inlineStr">
        <is>
          <t>SÖDERMANLANDS LÄN</t>
        </is>
      </c>
      <c r="E447" t="inlineStr">
        <is>
          <t>VINGÅKER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52300-2018</t>
        </is>
      </c>
      <c r="B448" s="1" t="n">
        <v>43388</v>
      </c>
      <c r="C448" s="1" t="n">
        <v>45182</v>
      </c>
      <c r="D448" t="inlineStr">
        <is>
          <t>SÖDERMANLANDS LÄN</t>
        </is>
      </c>
      <c r="E448" t="inlineStr">
        <is>
          <t>FLEN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53568-2018</t>
        </is>
      </c>
      <c r="B449" s="1" t="n">
        <v>43388</v>
      </c>
      <c r="C449" s="1" t="n">
        <v>45182</v>
      </c>
      <c r="D449" t="inlineStr">
        <is>
          <t>SÖDERMANLANDS LÄN</t>
        </is>
      </c>
      <c r="E449" t="inlineStr">
        <is>
          <t>FLEN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52349-2018</t>
        </is>
      </c>
      <c r="B450" s="1" t="n">
        <v>43388</v>
      </c>
      <c r="C450" s="1" t="n">
        <v>45182</v>
      </c>
      <c r="D450" t="inlineStr">
        <is>
          <t>SÖDERMANLANDS LÄN</t>
        </is>
      </c>
      <c r="E450" t="inlineStr">
        <is>
          <t>ESKILSTUNA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53614-2018</t>
        </is>
      </c>
      <c r="B451" s="1" t="n">
        <v>43388</v>
      </c>
      <c r="C451" s="1" t="n">
        <v>45182</v>
      </c>
      <c r="D451" t="inlineStr">
        <is>
          <t>SÖDERMANLANDS LÄN</t>
        </is>
      </c>
      <c r="E451" t="inlineStr">
        <is>
          <t>VINGÅKER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55812-2018</t>
        </is>
      </c>
      <c r="B452" s="1" t="n">
        <v>43392</v>
      </c>
      <c r="C452" s="1" t="n">
        <v>45182</v>
      </c>
      <c r="D452" t="inlineStr">
        <is>
          <t>SÖDERMANLANDS LÄN</t>
        </is>
      </c>
      <c r="E452" t="inlineStr">
        <is>
          <t>ESKILSTUNA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56602-2018</t>
        </is>
      </c>
      <c r="B453" s="1" t="n">
        <v>43395</v>
      </c>
      <c r="C453" s="1" t="n">
        <v>45182</v>
      </c>
      <c r="D453" t="inlineStr">
        <is>
          <t>SÖDERMANLANDS LÄN</t>
        </is>
      </c>
      <c r="E453" t="inlineStr">
        <is>
          <t>FLEN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54727-2018</t>
        </is>
      </c>
      <c r="B454" s="1" t="n">
        <v>43395</v>
      </c>
      <c r="C454" s="1" t="n">
        <v>45182</v>
      </c>
      <c r="D454" t="inlineStr">
        <is>
          <t>SÖDERMANLANDS LÄN</t>
        </is>
      </c>
      <c r="E454" t="inlineStr">
        <is>
          <t>ESKILSTUNA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54814-2018</t>
        </is>
      </c>
      <c r="B455" s="1" t="n">
        <v>43395</v>
      </c>
      <c r="C455" s="1" t="n">
        <v>45182</v>
      </c>
      <c r="D455" t="inlineStr">
        <is>
          <t>SÖDERMANLANDS LÄN</t>
        </is>
      </c>
      <c r="E455" t="inlineStr">
        <is>
          <t>NYKÖPING</t>
        </is>
      </c>
      <c r="G455" t="n">
        <v>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54815-2018</t>
        </is>
      </c>
      <c r="B456" s="1" t="n">
        <v>43395</v>
      </c>
      <c r="C456" s="1" t="n">
        <v>45182</v>
      </c>
      <c r="D456" t="inlineStr">
        <is>
          <t>SÖDERMANLANDS LÄN</t>
        </is>
      </c>
      <c r="E456" t="inlineStr">
        <is>
          <t>NYKÖPING</t>
        </is>
      </c>
      <c r="G456" t="n">
        <v>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56581-2018</t>
        </is>
      </c>
      <c r="B457" s="1" t="n">
        <v>43395</v>
      </c>
      <c r="C457" s="1" t="n">
        <v>45182</v>
      </c>
      <c r="D457" t="inlineStr">
        <is>
          <t>SÖDERMANLANDS LÄN</t>
        </is>
      </c>
      <c r="E457" t="inlineStr">
        <is>
          <t>TROSA</t>
        </is>
      </c>
      <c r="F457" t="inlineStr">
        <is>
          <t>Övriga Aktiebolag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54955-2018</t>
        </is>
      </c>
      <c r="B458" s="1" t="n">
        <v>43396</v>
      </c>
      <c r="C458" s="1" t="n">
        <v>45182</v>
      </c>
      <c r="D458" t="inlineStr">
        <is>
          <t>SÖDERMANLANDS LÄN</t>
        </is>
      </c>
      <c r="E458" t="inlineStr">
        <is>
          <t>ESKILSTUNA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57853-2018</t>
        </is>
      </c>
      <c r="B459" s="1" t="n">
        <v>43397</v>
      </c>
      <c r="C459" s="1" t="n">
        <v>45182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Kyrkan</t>
        </is>
      </c>
      <c r="G459" t="n">
        <v>3.3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57760-2018</t>
        </is>
      </c>
      <c r="B460" s="1" t="n">
        <v>43397</v>
      </c>
      <c r="C460" s="1" t="n">
        <v>45182</v>
      </c>
      <c r="D460" t="inlineStr">
        <is>
          <t>SÖDERMANLANDS LÄN</t>
        </is>
      </c>
      <c r="E460" t="inlineStr">
        <is>
          <t>FLEN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59016-2018</t>
        </is>
      </c>
      <c r="B461" s="1" t="n">
        <v>43402</v>
      </c>
      <c r="C461" s="1" t="n">
        <v>45182</v>
      </c>
      <c r="D461" t="inlineStr">
        <is>
          <t>SÖDERMANLANDS LÄN</t>
        </is>
      </c>
      <c r="E461" t="inlineStr">
        <is>
          <t>ESKILSTUNA</t>
        </is>
      </c>
      <c r="G461" t="n">
        <v>14.2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58984-2018</t>
        </is>
      </c>
      <c r="B462" s="1" t="n">
        <v>43402</v>
      </c>
      <c r="C462" s="1" t="n">
        <v>45182</v>
      </c>
      <c r="D462" t="inlineStr">
        <is>
          <t>SÖDERMANLANDS LÄN</t>
        </is>
      </c>
      <c r="E462" t="inlineStr">
        <is>
          <t>VINGÅKER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59204-2018</t>
        </is>
      </c>
      <c r="B463" s="1" t="n">
        <v>43403</v>
      </c>
      <c r="C463" s="1" t="n">
        <v>45182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Övriga Aktiebolag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59190-2018</t>
        </is>
      </c>
      <c r="B464" s="1" t="n">
        <v>43403</v>
      </c>
      <c r="C464" s="1" t="n">
        <v>45182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Kyrkan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59167-2018</t>
        </is>
      </c>
      <c r="B465" s="1" t="n">
        <v>43403</v>
      </c>
      <c r="C465" s="1" t="n">
        <v>45182</v>
      </c>
      <c r="D465" t="inlineStr">
        <is>
          <t>SÖDERMANLANDS LÄN</t>
        </is>
      </c>
      <c r="E465" t="inlineStr">
        <is>
          <t>KATRINEHOLM</t>
        </is>
      </c>
      <c r="F465" t="inlineStr">
        <is>
          <t>Övriga Aktiebolag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57452-2018</t>
        </is>
      </c>
      <c r="B466" s="1" t="n">
        <v>43404</v>
      </c>
      <c r="C466" s="1" t="n">
        <v>45182</v>
      </c>
      <c r="D466" t="inlineStr">
        <is>
          <t>SÖDERMANLANDS LÄN</t>
        </is>
      </c>
      <c r="E466" t="inlineStr">
        <is>
          <t>FLEN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59282-2018</t>
        </is>
      </c>
      <c r="B467" s="1" t="n">
        <v>43404</v>
      </c>
      <c r="C467" s="1" t="n">
        <v>45182</v>
      </c>
      <c r="D467" t="inlineStr">
        <is>
          <t>SÖDERMANLANDS LÄN</t>
        </is>
      </c>
      <c r="E467" t="inlineStr">
        <is>
          <t>VINGÅKER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59286-2018</t>
        </is>
      </c>
      <c r="B468" s="1" t="n">
        <v>43404</v>
      </c>
      <c r="C468" s="1" t="n">
        <v>45182</v>
      </c>
      <c r="D468" t="inlineStr">
        <is>
          <t>SÖDERMANLANDS LÄN</t>
        </is>
      </c>
      <c r="E468" t="inlineStr">
        <is>
          <t>VINGÅKER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60402-2018</t>
        </is>
      </c>
      <c r="B469" s="1" t="n">
        <v>43405</v>
      </c>
      <c r="C469" s="1" t="n">
        <v>45182</v>
      </c>
      <c r="D469" t="inlineStr">
        <is>
          <t>SÖDERMANLANDS LÄN</t>
        </is>
      </c>
      <c r="E469" t="inlineStr">
        <is>
          <t>GNESTA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58062-2018</t>
        </is>
      </c>
      <c r="B470" s="1" t="n">
        <v>43406</v>
      </c>
      <c r="C470" s="1" t="n">
        <v>45182</v>
      </c>
      <c r="D470" t="inlineStr">
        <is>
          <t>SÖDERMANLANDS LÄN</t>
        </is>
      </c>
      <c r="E470" t="inlineStr">
        <is>
          <t>ESKILSTUNA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58067-2018</t>
        </is>
      </c>
      <c r="B471" s="1" t="n">
        <v>43406</v>
      </c>
      <c r="C471" s="1" t="n">
        <v>45182</v>
      </c>
      <c r="D471" t="inlineStr">
        <is>
          <t>SÖDERMANLANDS LÄN</t>
        </is>
      </c>
      <c r="E471" t="inlineStr">
        <is>
          <t>ESKILSTUNA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60312-2018</t>
        </is>
      </c>
      <c r="B472" s="1" t="n">
        <v>43406</v>
      </c>
      <c r="C472" s="1" t="n">
        <v>45182</v>
      </c>
      <c r="D472" t="inlineStr">
        <is>
          <t>SÖDERMANLANDS LÄN</t>
        </is>
      </c>
      <c r="E472" t="inlineStr">
        <is>
          <t>GNESTA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58348-2018</t>
        </is>
      </c>
      <c r="B473" s="1" t="n">
        <v>43409</v>
      </c>
      <c r="C473" s="1" t="n">
        <v>45182</v>
      </c>
      <c r="D473" t="inlineStr">
        <is>
          <t>SÖDERMANLANDS LÄN</t>
        </is>
      </c>
      <c r="E473" t="inlineStr">
        <is>
          <t>VINGÅKER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58694-2018</t>
        </is>
      </c>
      <c r="B474" s="1" t="n">
        <v>43410</v>
      </c>
      <c r="C474" s="1" t="n">
        <v>45182</v>
      </c>
      <c r="D474" t="inlineStr">
        <is>
          <t>SÖDERMANLANDS LÄN</t>
        </is>
      </c>
      <c r="E474" t="inlineStr">
        <is>
          <t>TROSA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60777-2018</t>
        </is>
      </c>
      <c r="B475" s="1" t="n">
        <v>43410</v>
      </c>
      <c r="C475" s="1" t="n">
        <v>45182</v>
      </c>
      <c r="D475" t="inlineStr">
        <is>
          <t>SÖDERMANLANDS LÄN</t>
        </is>
      </c>
      <c r="E475" t="inlineStr">
        <is>
          <t>KATRINEHOLM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58905-2018</t>
        </is>
      </c>
      <c r="B476" s="1" t="n">
        <v>43410</v>
      </c>
      <c r="C476" s="1" t="n">
        <v>45182</v>
      </c>
      <c r="D476" t="inlineStr">
        <is>
          <t>SÖDERMANLANDS LÄN</t>
        </is>
      </c>
      <c r="E476" t="inlineStr">
        <is>
          <t>KATRINEHOLM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58752-2018</t>
        </is>
      </c>
      <c r="B477" s="1" t="n">
        <v>43410</v>
      </c>
      <c r="C477" s="1" t="n">
        <v>45182</v>
      </c>
      <c r="D477" t="inlineStr">
        <is>
          <t>SÖDERMANLANDS LÄN</t>
        </is>
      </c>
      <c r="E477" t="inlineStr">
        <is>
          <t>FLEN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64010-2018</t>
        </is>
      </c>
      <c r="B478" s="1" t="n">
        <v>43410</v>
      </c>
      <c r="C478" s="1" t="n">
        <v>45182</v>
      </c>
      <c r="D478" t="inlineStr">
        <is>
          <t>SÖDERMANLANDS LÄN</t>
        </is>
      </c>
      <c r="E478" t="inlineStr">
        <is>
          <t>TROSA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60069-2018</t>
        </is>
      </c>
      <c r="B479" s="1" t="n">
        <v>43412</v>
      </c>
      <c r="C479" s="1" t="n">
        <v>45182</v>
      </c>
      <c r="D479" t="inlineStr">
        <is>
          <t>SÖDERMANLANDS LÄN</t>
        </is>
      </c>
      <c r="E479" t="inlineStr">
        <is>
          <t>FLEN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65533-2018</t>
        </is>
      </c>
      <c r="B480" s="1" t="n">
        <v>43413</v>
      </c>
      <c r="C480" s="1" t="n">
        <v>45182</v>
      </c>
      <c r="D480" t="inlineStr">
        <is>
          <t>SÖDERMANLANDS LÄN</t>
        </is>
      </c>
      <c r="E480" t="inlineStr">
        <is>
          <t>ESKILSTUNA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61414-2018</t>
        </is>
      </c>
      <c r="B481" s="1" t="n">
        <v>43413</v>
      </c>
      <c r="C481" s="1" t="n">
        <v>45182</v>
      </c>
      <c r="D481" t="inlineStr">
        <is>
          <t>SÖDERMANLANDS LÄN</t>
        </is>
      </c>
      <c r="E481" t="inlineStr">
        <is>
          <t>ESKILSTUNA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62289-2018</t>
        </is>
      </c>
      <c r="B482" s="1" t="n">
        <v>43416</v>
      </c>
      <c r="C482" s="1" t="n">
        <v>45182</v>
      </c>
      <c r="D482" t="inlineStr">
        <is>
          <t>SÖDERMANLANDS LÄN</t>
        </is>
      </c>
      <c r="E482" t="inlineStr">
        <is>
          <t>VINGÅKER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62955-2018</t>
        </is>
      </c>
      <c r="B483" s="1" t="n">
        <v>43417</v>
      </c>
      <c r="C483" s="1" t="n">
        <v>45182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8.5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62958-2018</t>
        </is>
      </c>
      <c r="B484" s="1" t="n">
        <v>43417</v>
      </c>
      <c r="C484" s="1" t="n">
        <v>45182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Övriga Aktiebolag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59269-2018</t>
        </is>
      </c>
      <c r="B485" s="1" t="n">
        <v>43418</v>
      </c>
      <c r="C485" s="1" t="n">
        <v>45182</v>
      </c>
      <c r="D485" t="inlineStr">
        <is>
          <t>SÖDERMANLANDS LÄN</t>
        </is>
      </c>
      <c r="E485" t="inlineStr">
        <is>
          <t>VINGÅKER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63056-2018</t>
        </is>
      </c>
      <c r="B486" s="1" t="n">
        <v>43418</v>
      </c>
      <c r="C486" s="1" t="n">
        <v>45182</v>
      </c>
      <c r="D486" t="inlineStr">
        <is>
          <t>SÖDERMANLANDS LÄN</t>
        </is>
      </c>
      <c r="E486" t="inlineStr">
        <is>
          <t>NYKÖPING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63105-2018</t>
        </is>
      </c>
      <c r="B487" s="1" t="n">
        <v>43418</v>
      </c>
      <c r="C487" s="1" t="n">
        <v>45182</v>
      </c>
      <c r="D487" t="inlineStr">
        <is>
          <t>SÖDERMANLANDS LÄN</t>
        </is>
      </c>
      <c r="E487" t="inlineStr">
        <is>
          <t>ESKILSTUNA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63916-2018</t>
        </is>
      </c>
      <c r="B488" s="1" t="n">
        <v>43418</v>
      </c>
      <c r="C488" s="1" t="n">
        <v>45182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Allmännings- och besparingsskogar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59570-2018</t>
        </is>
      </c>
      <c r="B489" s="1" t="n">
        <v>43419</v>
      </c>
      <c r="C489" s="1" t="n">
        <v>45182</v>
      </c>
      <c r="D489" t="inlineStr">
        <is>
          <t>SÖDERMANLANDS LÄN</t>
        </is>
      </c>
      <c r="E489" t="inlineStr">
        <is>
          <t>NYKÖPING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59561-2018</t>
        </is>
      </c>
      <c r="B490" s="1" t="n">
        <v>43419</v>
      </c>
      <c r="C490" s="1" t="n">
        <v>45182</v>
      </c>
      <c r="D490" t="inlineStr">
        <is>
          <t>SÖDERMANLANDS LÄN</t>
        </is>
      </c>
      <c r="E490" t="inlineStr">
        <is>
          <t>NYKÖPING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59657-2018</t>
        </is>
      </c>
      <c r="B491" s="1" t="n">
        <v>43419</v>
      </c>
      <c r="C491" s="1" t="n">
        <v>45182</v>
      </c>
      <c r="D491" t="inlineStr">
        <is>
          <t>SÖDERMANLANDS LÄN</t>
        </is>
      </c>
      <c r="E491" t="inlineStr">
        <is>
          <t>KATRINEHOLM</t>
        </is>
      </c>
      <c r="G491" t="n">
        <v>9.300000000000001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60489-2018</t>
        </is>
      </c>
      <c r="B492" s="1" t="n">
        <v>43420</v>
      </c>
      <c r="C492" s="1" t="n">
        <v>45182</v>
      </c>
      <c r="D492" t="inlineStr">
        <is>
          <t>SÖDERMANLANDS LÄN</t>
        </is>
      </c>
      <c r="E492" t="inlineStr">
        <is>
          <t>STRÄNGNÄS</t>
        </is>
      </c>
      <c r="F492" t="inlineStr">
        <is>
          <t>Allmännings- och besparingsskogar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64589-2018</t>
        </is>
      </c>
      <c r="B493" s="1" t="n">
        <v>43420</v>
      </c>
      <c r="C493" s="1" t="n">
        <v>45182</v>
      </c>
      <c r="D493" t="inlineStr">
        <is>
          <t>SÖDERMANLANDS LÄN</t>
        </is>
      </c>
      <c r="E493" t="inlineStr">
        <is>
          <t>VINGÅKER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60504-2018</t>
        </is>
      </c>
      <c r="B494" s="1" t="n">
        <v>43420</v>
      </c>
      <c r="C494" s="1" t="n">
        <v>45182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60513-2018</t>
        </is>
      </c>
      <c r="B495" s="1" t="n">
        <v>43420</v>
      </c>
      <c r="C495" s="1" t="n">
        <v>45182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Kyrkan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64571-2018</t>
        </is>
      </c>
      <c r="B496" s="1" t="n">
        <v>43420</v>
      </c>
      <c r="C496" s="1" t="n">
        <v>45182</v>
      </c>
      <c r="D496" t="inlineStr">
        <is>
          <t>SÖDERMANLANDS LÄN</t>
        </is>
      </c>
      <c r="E496" t="inlineStr">
        <is>
          <t>VINGÅKER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64585-2018</t>
        </is>
      </c>
      <c r="B497" s="1" t="n">
        <v>43420</v>
      </c>
      <c r="C497" s="1" t="n">
        <v>45182</v>
      </c>
      <c r="D497" t="inlineStr">
        <is>
          <t>SÖDERMANLANDS LÄN</t>
        </is>
      </c>
      <c r="E497" t="inlineStr">
        <is>
          <t>VINGÅKER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64595-2018</t>
        </is>
      </c>
      <c r="B498" s="1" t="n">
        <v>43420</v>
      </c>
      <c r="C498" s="1" t="n">
        <v>45182</v>
      </c>
      <c r="D498" t="inlineStr">
        <is>
          <t>SÖDERMANLANDS LÄN</t>
        </is>
      </c>
      <c r="E498" t="inlineStr">
        <is>
          <t>VINGÅKER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64608-2018</t>
        </is>
      </c>
      <c r="B499" s="1" t="n">
        <v>43422</v>
      </c>
      <c r="C499" s="1" t="n">
        <v>45182</v>
      </c>
      <c r="D499" t="inlineStr">
        <is>
          <t>SÖDERMANLANDS LÄN</t>
        </is>
      </c>
      <c r="E499" t="inlineStr">
        <is>
          <t>KATRINEHOLM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64618-2018</t>
        </is>
      </c>
      <c r="B500" s="1" t="n">
        <v>43422</v>
      </c>
      <c r="C500" s="1" t="n">
        <v>45182</v>
      </c>
      <c r="D500" t="inlineStr">
        <is>
          <t>SÖDERMANLANDS LÄN</t>
        </is>
      </c>
      <c r="E500" t="inlineStr">
        <is>
          <t>KATRINEHOLM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61053-2018</t>
        </is>
      </c>
      <c r="B501" s="1" t="n">
        <v>43423</v>
      </c>
      <c r="C501" s="1" t="n">
        <v>45182</v>
      </c>
      <c r="D501" t="inlineStr">
        <is>
          <t>SÖDERMANLANDS LÄN</t>
        </is>
      </c>
      <c r="E501" t="inlineStr">
        <is>
          <t>NYKÖPING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61211-2018</t>
        </is>
      </c>
      <c r="B502" s="1" t="n">
        <v>43423</v>
      </c>
      <c r="C502" s="1" t="n">
        <v>45182</v>
      </c>
      <c r="D502" t="inlineStr">
        <is>
          <t>SÖDERMANLANDS LÄN</t>
        </is>
      </c>
      <c r="E502" t="inlineStr">
        <is>
          <t>FLEN</t>
        </is>
      </c>
      <c r="F502" t="inlineStr">
        <is>
          <t>Kommuner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61506-2018</t>
        </is>
      </c>
      <c r="B503" s="1" t="n">
        <v>43424</v>
      </c>
      <c r="C503" s="1" t="n">
        <v>45182</v>
      </c>
      <c r="D503" t="inlineStr">
        <is>
          <t>SÖDERMANLANDS LÄN</t>
        </is>
      </c>
      <c r="E503" t="inlineStr">
        <is>
          <t>STRÄNGNÄS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61404-2018</t>
        </is>
      </c>
      <c r="B504" s="1" t="n">
        <v>43424</v>
      </c>
      <c r="C504" s="1" t="n">
        <v>45182</v>
      </c>
      <c r="D504" t="inlineStr">
        <is>
          <t>SÖDERMANLANDS LÄN</t>
        </is>
      </c>
      <c r="E504" t="inlineStr">
        <is>
          <t>FLEN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61504-2018</t>
        </is>
      </c>
      <c r="B505" s="1" t="n">
        <v>43424</v>
      </c>
      <c r="C505" s="1" t="n">
        <v>45182</v>
      </c>
      <c r="D505" t="inlineStr">
        <is>
          <t>SÖDERMANLANDS LÄN</t>
        </is>
      </c>
      <c r="E505" t="inlineStr">
        <is>
          <t>STRÄNGNÄS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61379-2018</t>
        </is>
      </c>
      <c r="B506" s="1" t="n">
        <v>43424</v>
      </c>
      <c r="C506" s="1" t="n">
        <v>45182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Övriga Aktiebolag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62238-2018</t>
        </is>
      </c>
      <c r="B507" s="1" t="n">
        <v>43425</v>
      </c>
      <c r="C507" s="1" t="n">
        <v>45182</v>
      </c>
      <c r="D507" t="inlineStr">
        <is>
          <t>SÖDERMANLANDS LÄN</t>
        </is>
      </c>
      <c r="E507" t="inlineStr">
        <is>
          <t>KATRINEHOLM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65623-2018</t>
        </is>
      </c>
      <c r="B508" s="1" t="n">
        <v>43425</v>
      </c>
      <c r="C508" s="1" t="n">
        <v>45182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Kyrkan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62558-2018</t>
        </is>
      </c>
      <c r="B509" s="1" t="n">
        <v>43426</v>
      </c>
      <c r="C509" s="1" t="n">
        <v>45182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62559-2018</t>
        </is>
      </c>
      <c r="B510" s="1" t="n">
        <v>43426</v>
      </c>
      <c r="C510" s="1" t="n">
        <v>45182</v>
      </c>
      <c r="D510" t="inlineStr">
        <is>
          <t>SÖDERMANLANDS LÄN</t>
        </is>
      </c>
      <c r="E510" t="inlineStr">
        <is>
          <t>FLEN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62534-2018</t>
        </is>
      </c>
      <c r="B511" s="1" t="n">
        <v>43426</v>
      </c>
      <c r="C511" s="1" t="n">
        <v>45182</v>
      </c>
      <c r="D511" t="inlineStr">
        <is>
          <t>SÖDERMANLANDS LÄN</t>
        </is>
      </c>
      <c r="E511" t="inlineStr">
        <is>
          <t>FLEN</t>
        </is>
      </c>
      <c r="G511" t="n">
        <v>11.2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63201-2018</t>
        </is>
      </c>
      <c r="B512" s="1" t="n">
        <v>43426</v>
      </c>
      <c r="C512" s="1" t="n">
        <v>45182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63210-2018</t>
        </is>
      </c>
      <c r="B513" s="1" t="n">
        <v>43426</v>
      </c>
      <c r="C513" s="1" t="n">
        <v>45182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66292-2018</t>
        </is>
      </c>
      <c r="B514" s="1" t="n">
        <v>43427</v>
      </c>
      <c r="C514" s="1" t="n">
        <v>45182</v>
      </c>
      <c r="D514" t="inlineStr">
        <is>
          <t>SÖDERMANLANDS LÄN</t>
        </is>
      </c>
      <c r="E514" t="inlineStr">
        <is>
          <t>ESKILSTUNA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64198-2018</t>
        </is>
      </c>
      <c r="B515" s="1" t="n">
        <v>43430</v>
      </c>
      <c r="C515" s="1" t="n">
        <v>45182</v>
      </c>
      <c r="D515" t="inlineStr">
        <is>
          <t>SÖDERMANLANDS LÄN</t>
        </is>
      </c>
      <c r="E515" t="inlineStr">
        <is>
          <t>KATRINEHOLM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64203-2018</t>
        </is>
      </c>
      <c r="B516" s="1" t="n">
        <v>43430</v>
      </c>
      <c r="C516" s="1" t="n">
        <v>45182</v>
      </c>
      <c r="D516" t="inlineStr">
        <is>
          <t>SÖDERMANLANDS LÄN</t>
        </is>
      </c>
      <c r="E516" t="inlineStr">
        <is>
          <t>ESKILSTUNA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66862-2018</t>
        </is>
      </c>
      <c r="B517" s="1" t="n">
        <v>43431</v>
      </c>
      <c r="C517" s="1" t="n">
        <v>45182</v>
      </c>
      <c r="D517" t="inlineStr">
        <is>
          <t>SÖDERMANLANDS LÄN</t>
        </is>
      </c>
      <c r="E517" t="inlineStr">
        <is>
          <t>FLEN</t>
        </is>
      </c>
      <c r="G517" t="n">
        <v>10.4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67010-2018</t>
        </is>
      </c>
      <c r="B518" s="1" t="n">
        <v>43431</v>
      </c>
      <c r="C518" s="1" t="n">
        <v>45182</v>
      </c>
      <c r="D518" t="inlineStr">
        <is>
          <t>SÖDERMANLANDS LÄN</t>
        </is>
      </c>
      <c r="E518" t="inlineStr">
        <is>
          <t>FLEN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64439-2018</t>
        </is>
      </c>
      <c r="B519" s="1" t="n">
        <v>43431</v>
      </c>
      <c r="C519" s="1" t="n">
        <v>45182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64839-2018</t>
        </is>
      </c>
      <c r="B520" s="1" t="n">
        <v>43431</v>
      </c>
      <c r="C520" s="1" t="n">
        <v>45182</v>
      </c>
      <c r="D520" t="inlineStr">
        <is>
          <t>SÖDERMANLANDS LÄN</t>
        </is>
      </c>
      <c r="E520" t="inlineStr">
        <is>
          <t>ESKILSTUNA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65334-2018</t>
        </is>
      </c>
      <c r="B521" s="1" t="n">
        <v>43432</v>
      </c>
      <c r="C521" s="1" t="n">
        <v>45182</v>
      </c>
      <c r="D521" t="inlineStr">
        <is>
          <t>SÖDERMANLANDS LÄN</t>
        </is>
      </c>
      <c r="E521" t="inlineStr">
        <is>
          <t>VINGÅKER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67254-2018</t>
        </is>
      </c>
      <c r="B522" s="1" t="n">
        <v>43432</v>
      </c>
      <c r="C522" s="1" t="n">
        <v>45182</v>
      </c>
      <c r="D522" t="inlineStr">
        <is>
          <t>SÖDERMANLANDS LÄN</t>
        </is>
      </c>
      <c r="E522" t="inlineStr">
        <is>
          <t>NYKÖPING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67283-2018</t>
        </is>
      </c>
      <c r="B523" s="1" t="n">
        <v>43432</v>
      </c>
      <c r="C523" s="1" t="n">
        <v>45182</v>
      </c>
      <c r="D523" t="inlineStr">
        <is>
          <t>SÖDERMANLANDS LÄN</t>
        </is>
      </c>
      <c r="E523" t="inlineStr">
        <is>
          <t>NYKÖPING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67285-2018</t>
        </is>
      </c>
      <c r="B524" s="1" t="n">
        <v>43432</v>
      </c>
      <c r="C524" s="1" t="n">
        <v>45182</v>
      </c>
      <c r="D524" t="inlineStr">
        <is>
          <t>SÖDERMANLANDS LÄN</t>
        </is>
      </c>
      <c r="E524" t="inlineStr">
        <is>
          <t>NYKÖPING</t>
        </is>
      </c>
      <c r="G524" t="n">
        <v>3.5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65335-2018</t>
        </is>
      </c>
      <c r="B525" s="1" t="n">
        <v>43432</v>
      </c>
      <c r="C525" s="1" t="n">
        <v>45182</v>
      </c>
      <c r="D525" t="inlineStr">
        <is>
          <t>SÖDERMANLANDS LÄN</t>
        </is>
      </c>
      <c r="E525" t="inlineStr">
        <is>
          <t>VINGÅKER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67276-2018</t>
        </is>
      </c>
      <c r="B526" s="1" t="n">
        <v>43432</v>
      </c>
      <c r="C526" s="1" t="n">
        <v>45182</v>
      </c>
      <c r="D526" t="inlineStr">
        <is>
          <t>SÖDERMANLANDS LÄN</t>
        </is>
      </c>
      <c r="E526" t="inlineStr">
        <is>
          <t>NYKÖPING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67808-2018</t>
        </is>
      </c>
      <c r="B527" s="1" t="n">
        <v>43433</v>
      </c>
      <c r="C527" s="1" t="n">
        <v>45182</v>
      </c>
      <c r="D527" t="inlineStr">
        <is>
          <t>SÖDERMANLANDS LÄN</t>
        </is>
      </c>
      <c r="E527" t="inlineStr">
        <is>
          <t>KATRINEHOLM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65759-2018</t>
        </is>
      </c>
      <c r="B528" s="1" t="n">
        <v>43433</v>
      </c>
      <c r="C528" s="1" t="n">
        <v>45182</v>
      </c>
      <c r="D528" t="inlineStr">
        <is>
          <t>SÖDERMANLANDS LÄN</t>
        </is>
      </c>
      <c r="E528" t="inlineStr">
        <is>
          <t>FLEN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66165-2018</t>
        </is>
      </c>
      <c r="B529" s="1" t="n">
        <v>43434</v>
      </c>
      <c r="C529" s="1" t="n">
        <v>45182</v>
      </c>
      <c r="D529" t="inlineStr">
        <is>
          <t>SÖDERMANLANDS LÄN</t>
        </is>
      </c>
      <c r="E529" t="inlineStr">
        <is>
          <t>NYKÖPING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66166-2018</t>
        </is>
      </c>
      <c r="B530" s="1" t="n">
        <v>43434</v>
      </c>
      <c r="C530" s="1" t="n">
        <v>45182</v>
      </c>
      <c r="D530" t="inlineStr">
        <is>
          <t>SÖDERMANLANDS LÄN</t>
        </is>
      </c>
      <c r="E530" t="inlineStr">
        <is>
          <t>NYKÖPING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66433-2018</t>
        </is>
      </c>
      <c r="B531" s="1" t="n">
        <v>43437</v>
      </c>
      <c r="C531" s="1" t="n">
        <v>45182</v>
      </c>
      <c r="D531" t="inlineStr">
        <is>
          <t>SÖDERMANLANDS LÄN</t>
        </is>
      </c>
      <c r="E531" t="inlineStr">
        <is>
          <t>FLEN</t>
        </is>
      </c>
      <c r="G531" t="n">
        <v>10.1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67055-2018</t>
        </is>
      </c>
      <c r="B532" s="1" t="n">
        <v>43438</v>
      </c>
      <c r="C532" s="1" t="n">
        <v>45182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12.8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67075-2018</t>
        </is>
      </c>
      <c r="B533" s="1" t="n">
        <v>43438</v>
      </c>
      <c r="C533" s="1" t="n">
        <v>45182</v>
      </c>
      <c r="D533" t="inlineStr">
        <is>
          <t>SÖDERMANLANDS LÄN</t>
        </is>
      </c>
      <c r="E533" t="inlineStr">
        <is>
          <t>GNESTA</t>
        </is>
      </c>
      <c r="F533" t="inlineStr">
        <is>
          <t>Övriga Aktiebolag</t>
        </is>
      </c>
      <c r="G533" t="n">
        <v>5.5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67053-2018</t>
        </is>
      </c>
      <c r="B534" s="1" t="n">
        <v>43438</v>
      </c>
      <c r="C534" s="1" t="n">
        <v>45182</v>
      </c>
      <c r="D534" t="inlineStr">
        <is>
          <t>SÖDERMANLANDS LÄN</t>
        </is>
      </c>
      <c r="E534" t="inlineStr">
        <is>
          <t>NYKÖPING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67147-2018</t>
        </is>
      </c>
      <c r="B535" s="1" t="n">
        <v>43438</v>
      </c>
      <c r="C535" s="1" t="n">
        <v>45182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67295-2018</t>
        </is>
      </c>
      <c r="B536" s="1" t="n">
        <v>43439</v>
      </c>
      <c r="C536" s="1" t="n">
        <v>45182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68199-2018</t>
        </is>
      </c>
      <c r="B537" s="1" t="n">
        <v>43441</v>
      </c>
      <c r="C537" s="1" t="n">
        <v>45182</v>
      </c>
      <c r="D537" t="inlineStr">
        <is>
          <t>SÖDERMANLANDS LÄN</t>
        </is>
      </c>
      <c r="E537" t="inlineStr">
        <is>
          <t>ESKILSTUNA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68225-2018</t>
        </is>
      </c>
      <c r="B538" s="1" t="n">
        <v>43441</v>
      </c>
      <c r="C538" s="1" t="n">
        <v>45182</v>
      </c>
      <c r="D538" t="inlineStr">
        <is>
          <t>SÖDERMANLANDS LÄN</t>
        </is>
      </c>
      <c r="E538" t="inlineStr">
        <is>
          <t>KATRINEHOLM</t>
        </is>
      </c>
      <c r="F538" t="inlineStr">
        <is>
          <t>Övriga Aktiebolag</t>
        </is>
      </c>
      <c r="G538" t="n">
        <v>6.6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68201-2018</t>
        </is>
      </c>
      <c r="B539" s="1" t="n">
        <v>43441</v>
      </c>
      <c r="C539" s="1" t="n">
        <v>45182</v>
      </c>
      <c r="D539" t="inlineStr">
        <is>
          <t>SÖDERMANLANDS LÄN</t>
        </is>
      </c>
      <c r="E539" t="inlineStr">
        <is>
          <t>ESKILSTUNA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68268-2018</t>
        </is>
      </c>
      <c r="B540" s="1" t="n">
        <v>43441</v>
      </c>
      <c r="C540" s="1" t="n">
        <v>45182</v>
      </c>
      <c r="D540" t="inlineStr">
        <is>
          <t>SÖDERMANLANDS LÄN</t>
        </is>
      </c>
      <c r="E540" t="inlineStr">
        <is>
          <t>NYKÖPING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68206-2018</t>
        </is>
      </c>
      <c r="B541" s="1" t="n">
        <v>43441</v>
      </c>
      <c r="C541" s="1" t="n">
        <v>45182</v>
      </c>
      <c r="D541" t="inlineStr">
        <is>
          <t>SÖDERMANLANDS LÄN</t>
        </is>
      </c>
      <c r="E541" t="inlineStr">
        <is>
          <t>ESKILSTUNA</t>
        </is>
      </c>
      <c r="G541" t="n">
        <v>11.1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68192-2018</t>
        </is>
      </c>
      <c r="B542" s="1" t="n">
        <v>43441</v>
      </c>
      <c r="C542" s="1" t="n">
        <v>45182</v>
      </c>
      <c r="D542" t="inlineStr">
        <is>
          <t>SÖDERMANLANDS LÄN</t>
        </is>
      </c>
      <c r="E542" t="inlineStr">
        <is>
          <t>NYKÖPING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69718-2018</t>
        </is>
      </c>
      <c r="B543" s="1" t="n">
        <v>43444</v>
      </c>
      <c r="C543" s="1" t="n">
        <v>45182</v>
      </c>
      <c r="D543" t="inlineStr">
        <is>
          <t>SÖDERMANLANDS LÄN</t>
        </is>
      </c>
      <c r="E543" t="inlineStr">
        <is>
          <t>VINGÅKER</t>
        </is>
      </c>
      <c r="G543" t="n">
        <v>12.4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68736-2018</t>
        </is>
      </c>
      <c r="B544" s="1" t="n">
        <v>43444</v>
      </c>
      <c r="C544" s="1" t="n">
        <v>45182</v>
      </c>
      <c r="D544" t="inlineStr">
        <is>
          <t>SÖDERMANLANDS LÄN</t>
        </is>
      </c>
      <c r="E544" t="inlineStr">
        <is>
          <t>FLEN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70054-2018</t>
        </is>
      </c>
      <c r="B545" s="1" t="n">
        <v>43445</v>
      </c>
      <c r="C545" s="1" t="n">
        <v>45182</v>
      </c>
      <c r="D545" t="inlineStr">
        <is>
          <t>SÖDERMANLANDS LÄN</t>
        </is>
      </c>
      <c r="E545" t="inlineStr">
        <is>
          <t>ESKILSTUNA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70016-2018</t>
        </is>
      </c>
      <c r="B546" s="1" t="n">
        <v>43445</v>
      </c>
      <c r="C546" s="1" t="n">
        <v>45182</v>
      </c>
      <c r="D546" t="inlineStr">
        <is>
          <t>SÖDERMANLANDS LÄN</t>
        </is>
      </c>
      <c r="E546" t="inlineStr">
        <is>
          <t>KATRINEHOLM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69349-2018</t>
        </is>
      </c>
      <c r="B547" s="1" t="n">
        <v>43446</v>
      </c>
      <c r="C547" s="1" t="n">
        <v>45182</v>
      </c>
      <c r="D547" t="inlineStr">
        <is>
          <t>SÖDERMANLANDS LÄN</t>
        </is>
      </c>
      <c r="E547" t="inlineStr">
        <is>
          <t>STRÄNGNÄS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69529-2018</t>
        </is>
      </c>
      <c r="B548" s="1" t="n">
        <v>43446</v>
      </c>
      <c r="C548" s="1" t="n">
        <v>45182</v>
      </c>
      <c r="D548" t="inlineStr">
        <is>
          <t>SÖDERMANLANDS LÄN</t>
        </is>
      </c>
      <c r="E548" t="inlineStr">
        <is>
          <t>FLEN</t>
        </is>
      </c>
      <c r="G548" t="n">
        <v>10.2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69345-2018</t>
        </is>
      </c>
      <c r="B549" s="1" t="n">
        <v>43446</v>
      </c>
      <c r="C549" s="1" t="n">
        <v>45182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69355-2018</t>
        </is>
      </c>
      <c r="B550" s="1" t="n">
        <v>43446</v>
      </c>
      <c r="C550" s="1" t="n">
        <v>45182</v>
      </c>
      <c r="D550" t="inlineStr">
        <is>
          <t>SÖDERMANLANDS LÄN</t>
        </is>
      </c>
      <c r="E550" t="inlineStr">
        <is>
          <t>STRÄNGNÄS</t>
        </is>
      </c>
      <c r="F550" t="inlineStr">
        <is>
          <t>Kommuner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70450-2018</t>
        </is>
      </c>
      <c r="B551" s="1" t="n">
        <v>43447</v>
      </c>
      <c r="C551" s="1" t="n">
        <v>45182</v>
      </c>
      <c r="D551" t="inlineStr">
        <is>
          <t>SÖDERMANLANDS LÄN</t>
        </is>
      </c>
      <c r="E551" t="inlineStr">
        <is>
          <t>VINGÅKER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70143-2018</t>
        </is>
      </c>
      <c r="B552" s="1" t="n">
        <v>43448</v>
      </c>
      <c r="C552" s="1" t="n">
        <v>45182</v>
      </c>
      <c r="D552" t="inlineStr">
        <is>
          <t>SÖDERMANLANDS LÄN</t>
        </is>
      </c>
      <c r="E552" t="inlineStr">
        <is>
          <t>TROSA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70063-2018</t>
        </is>
      </c>
      <c r="B553" s="1" t="n">
        <v>43448</v>
      </c>
      <c r="C553" s="1" t="n">
        <v>45182</v>
      </c>
      <c r="D553" t="inlineStr">
        <is>
          <t>SÖDERMANLANDS LÄN</t>
        </is>
      </c>
      <c r="E553" t="inlineStr">
        <is>
          <t>STRÄNGNÄS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70139-2018</t>
        </is>
      </c>
      <c r="B554" s="1" t="n">
        <v>43448</v>
      </c>
      <c r="C554" s="1" t="n">
        <v>45182</v>
      </c>
      <c r="D554" t="inlineStr">
        <is>
          <t>SÖDERMANLANDS LÄN</t>
        </is>
      </c>
      <c r="E554" t="inlineStr">
        <is>
          <t>TROSA</t>
        </is>
      </c>
      <c r="G554" t="n">
        <v>7.2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70409-2018</t>
        </is>
      </c>
      <c r="B555" s="1" t="n">
        <v>43450</v>
      </c>
      <c r="C555" s="1" t="n">
        <v>45182</v>
      </c>
      <c r="D555" t="inlineStr">
        <is>
          <t>SÖDERMANLANDS LÄN</t>
        </is>
      </c>
      <c r="E555" t="inlineStr">
        <is>
          <t>FLEN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71030-2018</t>
        </is>
      </c>
      <c r="B556" s="1" t="n">
        <v>43451</v>
      </c>
      <c r="C556" s="1" t="n">
        <v>45182</v>
      </c>
      <c r="D556" t="inlineStr">
        <is>
          <t>SÖDERMANLANDS LÄN</t>
        </is>
      </c>
      <c r="E556" t="inlineStr">
        <is>
          <t>ESKILSTUNA</t>
        </is>
      </c>
      <c r="G556" t="n">
        <v>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71345-2018</t>
        </is>
      </c>
      <c r="B557" s="1" t="n">
        <v>43451</v>
      </c>
      <c r="C557" s="1" t="n">
        <v>45182</v>
      </c>
      <c r="D557" t="inlineStr">
        <is>
          <t>SÖDERMANLANDS LÄN</t>
        </is>
      </c>
      <c r="E557" t="inlineStr">
        <is>
          <t>ESKILSTUNA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71145-2018</t>
        </is>
      </c>
      <c r="B558" s="1" t="n">
        <v>43452</v>
      </c>
      <c r="C558" s="1" t="n">
        <v>45182</v>
      </c>
      <c r="D558" t="inlineStr">
        <is>
          <t>SÖDERMANLANDS LÄN</t>
        </is>
      </c>
      <c r="E558" t="inlineStr">
        <is>
          <t>ESKILSTUNA</t>
        </is>
      </c>
      <c r="F558" t="inlineStr">
        <is>
          <t>Allmännings- och besparingsskogar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71086-2018</t>
        </is>
      </c>
      <c r="B559" s="1" t="n">
        <v>43452</v>
      </c>
      <c r="C559" s="1" t="n">
        <v>45182</v>
      </c>
      <c r="D559" t="inlineStr">
        <is>
          <t>SÖDERMANLANDS LÄN</t>
        </is>
      </c>
      <c r="E559" t="inlineStr">
        <is>
          <t>NYKÖPING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71087-2018</t>
        </is>
      </c>
      <c r="B560" s="1" t="n">
        <v>43452</v>
      </c>
      <c r="C560" s="1" t="n">
        <v>45182</v>
      </c>
      <c r="D560" t="inlineStr">
        <is>
          <t>SÖDERMANLANDS LÄN</t>
        </is>
      </c>
      <c r="E560" t="inlineStr">
        <is>
          <t>NYKÖPING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71206-2018</t>
        </is>
      </c>
      <c r="B561" s="1" t="n">
        <v>43453</v>
      </c>
      <c r="C561" s="1" t="n">
        <v>45182</v>
      </c>
      <c r="D561" t="inlineStr">
        <is>
          <t>SÖDERMANLANDS LÄN</t>
        </is>
      </c>
      <c r="E561" t="inlineStr">
        <is>
          <t>KATRINEHOLM</t>
        </is>
      </c>
      <c r="G561" t="n">
        <v>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71263-2018</t>
        </is>
      </c>
      <c r="B562" s="1" t="n">
        <v>43453</v>
      </c>
      <c r="C562" s="1" t="n">
        <v>45182</v>
      </c>
      <c r="D562" t="inlineStr">
        <is>
          <t>SÖDERMANLANDS LÄN</t>
        </is>
      </c>
      <c r="E562" t="inlineStr">
        <is>
          <t>KATRINEHOLM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72160-2018</t>
        </is>
      </c>
      <c r="B563" s="1" t="n">
        <v>43453</v>
      </c>
      <c r="C563" s="1" t="n">
        <v>45182</v>
      </c>
      <c r="D563" t="inlineStr">
        <is>
          <t>SÖDERMANLANDS LÄN</t>
        </is>
      </c>
      <c r="E563" t="inlineStr">
        <is>
          <t>KATRINEHOLM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71331-2018</t>
        </is>
      </c>
      <c r="B564" s="1" t="n">
        <v>43453</v>
      </c>
      <c r="C564" s="1" t="n">
        <v>45182</v>
      </c>
      <c r="D564" t="inlineStr">
        <is>
          <t>SÖDERMANLANDS LÄN</t>
        </is>
      </c>
      <c r="E564" t="inlineStr">
        <is>
          <t>NYKÖPING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72283-2018</t>
        </is>
      </c>
      <c r="B565" s="1" t="n">
        <v>43455</v>
      </c>
      <c r="C565" s="1" t="n">
        <v>45182</v>
      </c>
      <c r="D565" t="inlineStr">
        <is>
          <t>SÖDERMANLANDS LÄN</t>
        </is>
      </c>
      <c r="E565" t="inlineStr">
        <is>
          <t>FLEN</t>
        </is>
      </c>
      <c r="G565" t="n">
        <v>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600-2019</t>
        </is>
      </c>
      <c r="B566" s="1" t="n">
        <v>43455</v>
      </c>
      <c r="C566" s="1" t="n">
        <v>45182</v>
      </c>
      <c r="D566" t="inlineStr">
        <is>
          <t>SÖDERMANLANDS LÄN</t>
        </is>
      </c>
      <c r="E566" t="inlineStr">
        <is>
          <t>ESKILSTUNA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606-2019</t>
        </is>
      </c>
      <c r="B567" s="1" t="n">
        <v>43455</v>
      </c>
      <c r="C567" s="1" t="n">
        <v>45182</v>
      </c>
      <c r="D567" t="inlineStr">
        <is>
          <t>SÖDERMANLANDS LÄN</t>
        </is>
      </c>
      <c r="E567" t="inlineStr">
        <is>
          <t>ESKILSTUNA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72334-2018</t>
        </is>
      </c>
      <c r="B568" s="1" t="n">
        <v>43460</v>
      </c>
      <c r="C568" s="1" t="n">
        <v>45182</v>
      </c>
      <c r="D568" t="inlineStr">
        <is>
          <t>SÖDERMANLANDS LÄN</t>
        </is>
      </c>
      <c r="E568" t="inlineStr">
        <is>
          <t>ESKILSTUNA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1658-2019</t>
        </is>
      </c>
      <c r="B569" s="1" t="n">
        <v>43461</v>
      </c>
      <c r="C569" s="1" t="n">
        <v>45182</v>
      </c>
      <c r="D569" t="inlineStr">
        <is>
          <t>SÖDERMANLANDS LÄN</t>
        </is>
      </c>
      <c r="E569" t="inlineStr">
        <is>
          <t>ESKILSTUNA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1937-2019</t>
        </is>
      </c>
      <c r="B570" s="1" t="n">
        <v>43461</v>
      </c>
      <c r="C570" s="1" t="n">
        <v>45182</v>
      </c>
      <c r="D570" t="inlineStr">
        <is>
          <t>SÖDERMANLANDS LÄN</t>
        </is>
      </c>
      <c r="E570" t="inlineStr">
        <is>
          <t>STRÄNGNÄS</t>
        </is>
      </c>
      <c r="G570" t="n">
        <v>8.800000000000001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1630-2019</t>
        </is>
      </c>
      <c r="B571" s="1" t="n">
        <v>43461</v>
      </c>
      <c r="C571" s="1" t="n">
        <v>45182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Allmännings- och besparingsskogar</t>
        </is>
      </c>
      <c r="G571" t="n">
        <v>31.1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1650-2019</t>
        </is>
      </c>
      <c r="B572" s="1" t="n">
        <v>43461</v>
      </c>
      <c r="C572" s="1" t="n">
        <v>45182</v>
      </c>
      <c r="D572" t="inlineStr">
        <is>
          <t>SÖDERMANLANDS LÄN</t>
        </is>
      </c>
      <c r="E572" t="inlineStr">
        <is>
          <t>KATRINEHOLM</t>
        </is>
      </c>
      <c r="G572" t="n">
        <v>5.7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2062-2019</t>
        </is>
      </c>
      <c r="B573" s="1" t="n">
        <v>43462</v>
      </c>
      <c r="C573" s="1" t="n">
        <v>45182</v>
      </c>
      <c r="D573" t="inlineStr">
        <is>
          <t>SÖDERMANLANDS LÄN</t>
        </is>
      </c>
      <c r="E573" t="inlineStr">
        <is>
          <t>VINGÅKER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72645-2018</t>
        </is>
      </c>
      <c r="B574" s="1" t="n">
        <v>43464</v>
      </c>
      <c r="C574" s="1" t="n">
        <v>45182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72643-2018</t>
        </is>
      </c>
      <c r="B575" s="1" t="n">
        <v>43464</v>
      </c>
      <c r="C575" s="1" t="n">
        <v>45182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17-2019</t>
        </is>
      </c>
      <c r="B576" s="1" t="n">
        <v>43466</v>
      </c>
      <c r="C576" s="1" t="n">
        <v>45182</v>
      </c>
      <c r="D576" t="inlineStr">
        <is>
          <t>SÖDERMANLANDS LÄN</t>
        </is>
      </c>
      <c r="E576" t="inlineStr">
        <is>
          <t>ESKILSTUNA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10-2019</t>
        </is>
      </c>
      <c r="B577" s="1" t="n">
        <v>43466</v>
      </c>
      <c r="C577" s="1" t="n">
        <v>45182</v>
      </c>
      <c r="D577" t="inlineStr">
        <is>
          <t>SÖDERMANLANDS LÄN</t>
        </is>
      </c>
      <c r="E577" t="inlineStr">
        <is>
          <t>KATRINEHOLM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205-2019</t>
        </is>
      </c>
      <c r="B578" s="1" t="n">
        <v>43467</v>
      </c>
      <c r="C578" s="1" t="n">
        <v>45182</v>
      </c>
      <c r="D578" t="inlineStr">
        <is>
          <t>SÖDERMANLANDS LÄN</t>
        </is>
      </c>
      <c r="E578" t="inlineStr">
        <is>
          <t>NYKÖPING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458-2019</t>
        </is>
      </c>
      <c r="B579" s="1" t="n">
        <v>43468</v>
      </c>
      <c r="C579" s="1" t="n">
        <v>45182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679-2019</t>
        </is>
      </c>
      <c r="B580" s="1" t="n">
        <v>43469</v>
      </c>
      <c r="C580" s="1" t="n">
        <v>45182</v>
      </c>
      <c r="D580" t="inlineStr">
        <is>
          <t>SÖDERMANLANDS LÄN</t>
        </is>
      </c>
      <c r="E580" t="inlineStr">
        <is>
          <t>TROSA</t>
        </is>
      </c>
      <c r="F580" t="inlineStr">
        <is>
          <t>Holmen skog AB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987-2019</t>
        </is>
      </c>
      <c r="B581" s="1" t="n">
        <v>43472</v>
      </c>
      <c r="C581" s="1" t="n">
        <v>45182</v>
      </c>
      <c r="D581" t="inlineStr">
        <is>
          <t>SÖDERMANLANDS LÄN</t>
        </is>
      </c>
      <c r="E581" t="inlineStr">
        <is>
          <t>VINGÅKER</t>
        </is>
      </c>
      <c r="G581" t="n">
        <v>15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892-2019</t>
        </is>
      </c>
      <c r="B582" s="1" t="n">
        <v>43472</v>
      </c>
      <c r="C582" s="1" t="n">
        <v>45182</v>
      </c>
      <c r="D582" t="inlineStr">
        <is>
          <t>SÖDERMANLANDS LÄN</t>
        </is>
      </c>
      <c r="E582" t="inlineStr">
        <is>
          <t>NYKÖPING</t>
        </is>
      </c>
      <c r="G582" t="n">
        <v>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965-2019</t>
        </is>
      </c>
      <c r="B583" s="1" t="n">
        <v>43472</v>
      </c>
      <c r="C583" s="1" t="n">
        <v>45182</v>
      </c>
      <c r="D583" t="inlineStr">
        <is>
          <t>SÖDERMANLANDS LÄN</t>
        </is>
      </c>
      <c r="E583" t="inlineStr">
        <is>
          <t>KATRINEHOLM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1064-2019</t>
        </is>
      </c>
      <c r="B584" s="1" t="n">
        <v>43472</v>
      </c>
      <c r="C584" s="1" t="n">
        <v>45182</v>
      </c>
      <c r="D584" t="inlineStr">
        <is>
          <t>SÖDERMANLANDS LÄN</t>
        </is>
      </c>
      <c r="E584" t="inlineStr">
        <is>
          <t>STRÄNGNÄS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979-2019</t>
        </is>
      </c>
      <c r="B585" s="1" t="n">
        <v>43472</v>
      </c>
      <c r="C585" s="1" t="n">
        <v>45182</v>
      </c>
      <c r="D585" t="inlineStr">
        <is>
          <t>SÖDERMANLANDS LÄN</t>
        </is>
      </c>
      <c r="E585" t="inlineStr">
        <is>
          <t>GNESTA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1029-2019</t>
        </is>
      </c>
      <c r="B586" s="1" t="n">
        <v>43472</v>
      </c>
      <c r="C586" s="1" t="n">
        <v>45182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9.699999999999999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1071-2019</t>
        </is>
      </c>
      <c r="B587" s="1" t="n">
        <v>43472</v>
      </c>
      <c r="C587" s="1" t="n">
        <v>45182</v>
      </c>
      <c r="D587" t="inlineStr">
        <is>
          <t>SÖDERMANLANDS LÄN</t>
        </is>
      </c>
      <c r="E587" t="inlineStr">
        <is>
          <t>STRÄNGNÄS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1090-2019</t>
        </is>
      </c>
      <c r="B588" s="1" t="n">
        <v>43472</v>
      </c>
      <c r="C588" s="1" t="n">
        <v>45182</v>
      </c>
      <c r="D588" t="inlineStr">
        <is>
          <t>SÖDERMANLANDS LÄN</t>
        </is>
      </c>
      <c r="E588" t="inlineStr">
        <is>
          <t>GNESTA</t>
        </is>
      </c>
      <c r="G588" t="n">
        <v>11.7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1050-2019</t>
        </is>
      </c>
      <c r="B589" s="1" t="n">
        <v>43472</v>
      </c>
      <c r="C589" s="1" t="n">
        <v>45182</v>
      </c>
      <c r="D589" t="inlineStr">
        <is>
          <t>SÖDERMANLANDS LÄN</t>
        </is>
      </c>
      <c r="E589" t="inlineStr">
        <is>
          <t>FLEN</t>
        </is>
      </c>
      <c r="G589" t="n">
        <v>22.5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1479-2019</t>
        </is>
      </c>
      <c r="B590" s="1" t="n">
        <v>43473</v>
      </c>
      <c r="C590" s="1" t="n">
        <v>45182</v>
      </c>
      <c r="D590" t="inlineStr">
        <is>
          <t>SÖDERMANLANDS LÄN</t>
        </is>
      </c>
      <c r="E590" t="inlineStr">
        <is>
          <t>VINGÅKER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1534-2019</t>
        </is>
      </c>
      <c r="B591" s="1" t="n">
        <v>43473</v>
      </c>
      <c r="C591" s="1" t="n">
        <v>45182</v>
      </c>
      <c r="D591" t="inlineStr">
        <is>
          <t>SÖDERMANLANDS LÄN</t>
        </is>
      </c>
      <c r="E591" t="inlineStr">
        <is>
          <t>ESKILSTUNA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1358-2019</t>
        </is>
      </c>
      <c r="B592" s="1" t="n">
        <v>43473</v>
      </c>
      <c r="C592" s="1" t="n">
        <v>45182</v>
      </c>
      <c r="D592" t="inlineStr">
        <is>
          <t>SÖDERMANLANDS LÄN</t>
        </is>
      </c>
      <c r="E592" t="inlineStr">
        <is>
          <t>STRÄNGNÄS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3301-2019</t>
        </is>
      </c>
      <c r="B593" s="1" t="n">
        <v>43473</v>
      </c>
      <c r="C593" s="1" t="n">
        <v>45182</v>
      </c>
      <c r="D593" t="inlineStr">
        <is>
          <t>SÖDERMANLANDS LÄN</t>
        </is>
      </c>
      <c r="E593" t="inlineStr">
        <is>
          <t>KATRINEHOLM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1444-2019</t>
        </is>
      </c>
      <c r="B594" s="1" t="n">
        <v>43473</v>
      </c>
      <c r="C594" s="1" t="n">
        <v>45182</v>
      </c>
      <c r="D594" t="inlineStr">
        <is>
          <t>SÖDERMANLANDS LÄN</t>
        </is>
      </c>
      <c r="E594" t="inlineStr">
        <is>
          <t>VINGÅKER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1535-2019</t>
        </is>
      </c>
      <c r="B595" s="1" t="n">
        <v>43473</v>
      </c>
      <c r="C595" s="1" t="n">
        <v>45182</v>
      </c>
      <c r="D595" t="inlineStr">
        <is>
          <t>SÖDERMANLANDS LÄN</t>
        </is>
      </c>
      <c r="E595" t="inlineStr">
        <is>
          <t>ESKILSTUNA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1446-2019</t>
        </is>
      </c>
      <c r="B596" s="1" t="n">
        <v>43473</v>
      </c>
      <c r="C596" s="1" t="n">
        <v>45182</v>
      </c>
      <c r="D596" t="inlineStr">
        <is>
          <t>SÖDERMANLANDS LÄN</t>
        </is>
      </c>
      <c r="E596" t="inlineStr">
        <is>
          <t>ESKILSTUNA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3300-2019</t>
        </is>
      </c>
      <c r="B597" s="1" t="n">
        <v>43473</v>
      </c>
      <c r="C597" s="1" t="n">
        <v>45182</v>
      </c>
      <c r="D597" t="inlineStr">
        <is>
          <t>SÖDERMANLANDS LÄN</t>
        </is>
      </c>
      <c r="E597" t="inlineStr">
        <is>
          <t>KATRINEHOLM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3536-2019</t>
        </is>
      </c>
      <c r="B598" s="1" t="n">
        <v>43474</v>
      </c>
      <c r="C598" s="1" t="n">
        <v>45182</v>
      </c>
      <c r="D598" t="inlineStr">
        <is>
          <t>SÖDERMANLANDS LÄN</t>
        </is>
      </c>
      <c r="E598" t="inlineStr">
        <is>
          <t>ESKILSTUNA</t>
        </is>
      </c>
      <c r="G598" t="n">
        <v>11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3526-2019</t>
        </is>
      </c>
      <c r="B599" s="1" t="n">
        <v>43474</v>
      </c>
      <c r="C599" s="1" t="n">
        <v>45182</v>
      </c>
      <c r="D599" t="inlineStr">
        <is>
          <t>SÖDERMANLANDS LÄN</t>
        </is>
      </c>
      <c r="E599" t="inlineStr">
        <is>
          <t>ESKILSTUNA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1715-2019</t>
        </is>
      </c>
      <c r="B600" s="1" t="n">
        <v>43474</v>
      </c>
      <c r="C600" s="1" t="n">
        <v>45182</v>
      </c>
      <c r="D600" t="inlineStr">
        <is>
          <t>SÖDERMANLANDS LÄN</t>
        </is>
      </c>
      <c r="E600" t="inlineStr">
        <is>
          <t>KATRINEHOLM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1781-2019</t>
        </is>
      </c>
      <c r="B601" s="1" t="n">
        <v>43474</v>
      </c>
      <c r="C601" s="1" t="n">
        <v>45182</v>
      </c>
      <c r="D601" t="inlineStr">
        <is>
          <t>SÖDERMANLANDS LÄN</t>
        </is>
      </c>
      <c r="E601" t="inlineStr">
        <is>
          <t>NYKÖPING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2314-2019</t>
        </is>
      </c>
      <c r="B602" s="1" t="n">
        <v>43475</v>
      </c>
      <c r="C602" s="1" t="n">
        <v>45182</v>
      </c>
      <c r="D602" t="inlineStr">
        <is>
          <t>SÖDERMANLANDS LÄN</t>
        </is>
      </c>
      <c r="E602" t="inlineStr">
        <is>
          <t>KATRINEHOLM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2311-2019</t>
        </is>
      </c>
      <c r="B603" s="1" t="n">
        <v>43475</v>
      </c>
      <c r="C603" s="1" t="n">
        <v>45182</v>
      </c>
      <c r="D603" t="inlineStr">
        <is>
          <t>SÖDERMANLANDS LÄN</t>
        </is>
      </c>
      <c r="E603" t="inlineStr">
        <is>
          <t>KATRINEHOLM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2316-2019</t>
        </is>
      </c>
      <c r="B604" s="1" t="n">
        <v>43475</v>
      </c>
      <c r="C604" s="1" t="n">
        <v>45182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2315-2019</t>
        </is>
      </c>
      <c r="B605" s="1" t="n">
        <v>43475</v>
      </c>
      <c r="C605" s="1" t="n">
        <v>45182</v>
      </c>
      <c r="D605" t="inlineStr">
        <is>
          <t>SÖDERMANLANDS LÄN</t>
        </is>
      </c>
      <c r="E605" t="inlineStr">
        <is>
          <t>KATRINEHOLM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3795-2019</t>
        </is>
      </c>
      <c r="B606" s="1" t="n">
        <v>43475</v>
      </c>
      <c r="C606" s="1" t="n">
        <v>45182</v>
      </c>
      <c r="D606" t="inlineStr">
        <is>
          <t>SÖDERMANLANDS LÄN</t>
        </is>
      </c>
      <c r="E606" t="inlineStr">
        <is>
          <t>ESKILSTUNA</t>
        </is>
      </c>
      <c r="G606" t="n">
        <v>15.6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2586-2019</t>
        </is>
      </c>
      <c r="B607" s="1" t="n">
        <v>43476</v>
      </c>
      <c r="C607" s="1" t="n">
        <v>45182</v>
      </c>
      <c r="D607" t="inlineStr">
        <is>
          <t>SÖDERMANLANDS LÄN</t>
        </is>
      </c>
      <c r="E607" t="inlineStr">
        <is>
          <t>FLEN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4131-2019</t>
        </is>
      </c>
      <c r="B608" s="1" t="n">
        <v>43476</v>
      </c>
      <c r="C608" s="1" t="n">
        <v>45182</v>
      </c>
      <c r="D608" t="inlineStr">
        <is>
          <t>SÖDERMANLANDS LÄN</t>
        </is>
      </c>
      <c r="E608" t="inlineStr">
        <is>
          <t>KATRINEHOLM</t>
        </is>
      </c>
      <c r="G608" t="n">
        <v>6.8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2903-2019</t>
        </is>
      </c>
      <c r="B609" s="1" t="n">
        <v>43479</v>
      </c>
      <c r="C609" s="1" t="n">
        <v>45182</v>
      </c>
      <c r="D609" t="inlineStr">
        <is>
          <t>SÖDERMANLANDS LÄN</t>
        </is>
      </c>
      <c r="E609" t="inlineStr">
        <is>
          <t>ESKILSTUNA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3073-2019</t>
        </is>
      </c>
      <c r="B610" s="1" t="n">
        <v>43479</v>
      </c>
      <c r="C610" s="1" t="n">
        <v>45182</v>
      </c>
      <c r="D610" t="inlineStr">
        <is>
          <t>SÖDERMANLANDS LÄN</t>
        </is>
      </c>
      <c r="E610" t="inlineStr">
        <is>
          <t>ESKILSTUNA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3178-2019</t>
        </is>
      </c>
      <c r="B611" s="1" t="n">
        <v>43480</v>
      </c>
      <c r="C611" s="1" t="n">
        <v>45182</v>
      </c>
      <c r="D611" t="inlineStr">
        <is>
          <t>SÖDERMANLANDS LÄN</t>
        </is>
      </c>
      <c r="E611" t="inlineStr">
        <is>
          <t>ESKILSTUNA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5191-2019</t>
        </is>
      </c>
      <c r="B612" s="1" t="n">
        <v>43480</v>
      </c>
      <c r="C612" s="1" t="n">
        <v>45182</v>
      </c>
      <c r="D612" t="inlineStr">
        <is>
          <t>SÖDERMANLANDS LÄN</t>
        </is>
      </c>
      <c r="E612" t="inlineStr">
        <is>
          <t>KATRINEHOLM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3547-2019</t>
        </is>
      </c>
      <c r="B613" s="1" t="n">
        <v>43481</v>
      </c>
      <c r="C613" s="1" t="n">
        <v>45182</v>
      </c>
      <c r="D613" t="inlineStr">
        <is>
          <t>SÖDERMANLANDS LÄN</t>
        </is>
      </c>
      <c r="E613" t="inlineStr">
        <is>
          <t>STRÄNGNÄS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4195-2019</t>
        </is>
      </c>
      <c r="B614" s="1" t="n">
        <v>43483</v>
      </c>
      <c r="C614" s="1" t="n">
        <v>45182</v>
      </c>
      <c r="D614" t="inlineStr">
        <is>
          <t>SÖDERMANLANDS LÄN</t>
        </is>
      </c>
      <c r="E614" t="inlineStr">
        <is>
          <t>FLEN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4840-2019</t>
        </is>
      </c>
      <c r="B615" s="1" t="n">
        <v>43486</v>
      </c>
      <c r="C615" s="1" t="n">
        <v>45182</v>
      </c>
      <c r="D615" t="inlineStr">
        <is>
          <t>SÖDERMANLANDS LÄN</t>
        </is>
      </c>
      <c r="E615" t="inlineStr">
        <is>
          <t>KATRINEHOLM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6165-2019</t>
        </is>
      </c>
      <c r="B616" s="1" t="n">
        <v>43486</v>
      </c>
      <c r="C616" s="1" t="n">
        <v>45182</v>
      </c>
      <c r="D616" t="inlineStr">
        <is>
          <t>SÖDERMANLANDS LÄN</t>
        </is>
      </c>
      <c r="E616" t="inlineStr">
        <is>
          <t>GNESTA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4838-2019</t>
        </is>
      </c>
      <c r="B617" s="1" t="n">
        <v>43486</v>
      </c>
      <c r="C617" s="1" t="n">
        <v>45182</v>
      </c>
      <c r="D617" t="inlineStr">
        <is>
          <t>SÖDERMANLANDS LÄN</t>
        </is>
      </c>
      <c r="E617" t="inlineStr">
        <is>
          <t>KATRINEHOLM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4609-2019</t>
        </is>
      </c>
      <c r="B618" s="1" t="n">
        <v>43486</v>
      </c>
      <c r="C618" s="1" t="n">
        <v>45182</v>
      </c>
      <c r="D618" t="inlineStr">
        <is>
          <t>SÖDERMANLANDS LÄN</t>
        </is>
      </c>
      <c r="E618" t="inlineStr">
        <is>
          <t>NYKÖPING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4729-2019</t>
        </is>
      </c>
      <c r="B619" s="1" t="n">
        <v>43486</v>
      </c>
      <c r="C619" s="1" t="n">
        <v>45182</v>
      </c>
      <c r="D619" t="inlineStr">
        <is>
          <t>SÖDERMANLANDS LÄN</t>
        </is>
      </c>
      <c r="E619" t="inlineStr">
        <is>
          <t>ESKILSTUNA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6786-2019</t>
        </is>
      </c>
      <c r="B620" s="1" t="n">
        <v>43488</v>
      </c>
      <c r="C620" s="1" t="n">
        <v>45182</v>
      </c>
      <c r="D620" t="inlineStr">
        <is>
          <t>SÖDERMANLANDS LÄN</t>
        </is>
      </c>
      <c r="E620" t="inlineStr">
        <is>
          <t>NYKÖPING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5625-2019</t>
        </is>
      </c>
      <c r="B621" s="1" t="n">
        <v>43489</v>
      </c>
      <c r="C621" s="1" t="n">
        <v>45182</v>
      </c>
      <c r="D621" t="inlineStr">
        <is>
          <t>SÖDERMANLANDS LÄN</t>
        </is>
      </c>
      <c r="E621" t="inlineStr">
        <is>
          <t>ESKILSTUNA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6913-2019</t>
        </is>
      </c>
      <c r="B622" s="1" t="n">
        <v>43489</v>
      </c>
      <c r="C622" s="1" t="n">
        <v>45182</v>
      </c>
      <c r="D622" t="inlineStr">
        <is>
          <t>SÖDERMANLANDS LÄN</t>
        </is>
      </c>
      <c r="E622" t="inlineStr">
        <is>
          <t>KATRINEHOLM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5505-2019</t>
        </is>
      </c>
      <c r="B623" s="1" t="n">
        <v>43489</v>
      </c>
      <c r="C623" s="1" t="n">
        <v>45182</v>
      </c>
      <c r="D623" t="inlineStr">
        <is>
          <t>SÖDERMANLANDS LÄN</t>
        </is>
      </c>
      <c r="E623" t="inlineStr">
        <is>
          <t>TROSA</t>
        </is>
      </c>
      <c r="F623" t="inlineStr">
        <is>
          <t>Holmen skog AB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5558-2019</t>
        </is>
      </c>
      <c r="B624" s="1" t="n">
        <v>43489</v>
      </c>
      <c r="C624" s="1" t="n">
        <v>45182</v>
      </c>
      <c r="D624" t="inlineStr">
        <is>
          <t>SÖDERMANLANDS LÄN</t>
        </is>
      </c>
      <c r="E624" t="inlineStr">
        <is>
          <t>NYKÖPING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5576-2019</t>
        </is>
      </c>
      <c r="B625" s="1" t="n">
        <v>43489</v>
      </c>
      <c r="C625" s="1" t="n">
        <v>45182</v>
      </c>
      <c r="D625" t="inlineStr">
        <is>
          <t>SÖDERMANLANDS LÄN</t>
        </is>
      </c>
      <c r="E625" t="inlineStr">
        <is>
          <t>KATRINEHOLM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5610-2019</t>
        </is>
      </c>
      <c r="B626" s="1" t="n">
        <v>43489</v>
      </c>
      <c r="C626" s="1" t="n">
        <v>45182</v>
      </c>
      <c r="D626" t="inlineStr">
        <is>
          <t>SÖDERMANLANDS LÄN</t>
        </is>
      </c>
      <c r="E626" t="inlineStr">
        <is>
          <t>TROSA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7153-2019</t>
        </is>
      </c>
      <c r="B627" s="1" t="n">
        <v>43489</v>
      </c>
      <c r="C627" s="1" t="n">
        <v>45182</v>
      </c>
      <c r="D627" t="inlineStr">
        <is>
          <t>SÖDERMANLANDS LÄN</t>
        </is>
      </c>
      <c r="E627" t="inlineStr">
        <is>
          <t>KATRINEHOLM</t>
        </is>
      </c>
      <c r="G627" t="n">
        <v>8.800000000000001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5564-2019</t>
        </is>
      </c>
      <c r="B628" s="1" t="n">
        <v>43489</v>
      </c>
      <c r="C628" s="1" t="n">
        <v>45182</v>
      </c>
      <c r="D628" t="inlineStr">
        <is>
          <t>SÖDERMANLANDS LÄN</t>
        </is>
      </c>
      <c r="E628" t="inlineStr">
        <is>
          <t>NYKÖPING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5579-2019</t>
        </is>
      </c>
      <c r="B629" s="1" t="n">
        <v>43489</v>
      </c>
      <c r="C629" s="1" t="n">
        <v>45182</v>
      </c>
      <c r="D629" t="inlineStr">
        <is>
          <t>SÖDERMANLANDS LÄN</t>
        </is>
      </c>
      <c r="E629" t="inlineStr">
        <is>
          <t>KATRINEHOLM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5611-2019</t>
        </is>
      </c>
      <c r="B630" s="1" t="n">
        <v>43489</v>
      </c>
      <c r="C630" s="1" t="n">
        <v>45182</v>
      </c>
      <c r="D630" t="inlineStr">
        <is>
          <t>SÖDERMANLANDS LÄN</t>
        </is>
      </c>
      <c r="E630" t="inlineStr">
        <is>
          <t>TROSA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5679-2019</t>
        </is>
      </c>
      <c r="B631" s="1" t="n">
        <v>43489</v>
      </c>
      <c r="C631" s="1" t="n">
        <v>45182</v>
      </c>
      <c r="D631" t="inlineStr">
        <is>
          <t>SÖDERMANLANDS LÄN</t>
        </is>
      </c>
      <c r="E631" t="inlineStr">
        <is>
          <t>ESKILSTUNA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5433-2019</t>
        </is>
      </c>
      <c r="B632" s="1" t="n">
        <v>43489</v>
      </c>
      <c r="C632" s="1" t="n">
        <v>45182</v>
      </c>
      <c r="D632" t="inlineStr">
        <is>
          <t>SÖDERMANLANDS LÄN</t>
        </is>
      </c>
      <c r="E632" t="inlineStr">
        <is>
          <t>VINGÅKER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5772-2019</t>
        </is>
      </c>
      <c r="B633" s="1" t="n">
        <v>43490</v>
      </c>
      <c r="C633" s="1" t="n">
        <v>45182</v>
      </c>
      <c r="D633" t="inlineStr">
        <is>
          <t>SÖDERMANLANDS LÄN</t>
        </is>
      </c>
      <c r="E633" t="inlineStr">
        <is>
          <t>TROSA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7215-2019</t>
        </is>
      </c>
      <c r="B634" s="1" t="n">
        <v>43490</v>
      </c>
      <c r="C634" s="1" t="n">
        <v>45182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6351-2019</t>
        </is>
      </c>
      <c r="B635" s="1" t="n">
        <v>43493</v>
      </c>
      <c r="C635" s="1" t="n">
        <v>45182</v>
      </c>
      <c r="D635" t="inlineStr">
        <is>
          <t>SÖDERMANLANDS LÄN</t>
        </is>
      </c>
      <c r="E635" t="inlineStr">
        <is>
          <t>NYKÖPING</t>
        </is>
      </c>
      <c r="G635" t="n">
        <v>3.3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7620-2019</t>
        </is>
      </c>
      <c r="B636" s="1" t="n">
        <v>43493</v>
      </c>
      <c r="C636" s="1" t="n">
        <v>45182</v>
      </c>
      <c r="D636" t="inlineStr">
        <is>
          <t>SÖDERMANLANDS LÄN</t>
        </is>
      </c>
      <c r="E636" t="inlineStr">
        <is>
          <t>GNESTA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7694-2019</t>
        </is>
      </c>
      <c r="B637" s="1" t="n">
        <v>43493</v>
      </c>
      <c r="C637" s="1" t="n">
        <v>45182</v>
      </c>
      <c r="D637" t="inlineStr">
        <is>
          <t>SÖDERMANLANDS LÄN</t>
        </is>
      </c>
      <c r="E637" t="inlineStr">
        <is>
          <t>ESKILSTUNA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7773-2019</t>
        </is>
      </c>
      <c r="B638" s="1" t="n">
        <v>43494</v>
      </c>
      <c r="C638" s="1" t="n">
        <v>45182</v>
      </c>
      <c r="D638" t="inlineStr">
        <is>
          <t>SÖDERMANLANDS LÄN</t>
        </is>
      </c>
      <c r="E638" t="inlineStr">
        <is>
          <t>FLEN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8047-2019</t>
        </is>
      </c>
      <c r="B639" s="1" t="n">
        <v>43494</v>
      </c>
      <c r="C639" s="1" t="n">
        <v>45182</v>
      </c>
      <c r="D639" t="inlineStr">
        <is>
          <t>SÖDERMANLANDS LÄN</t>
        </is>
      </c>
      <c r="E639" t="inlineStr">
        <is>
          <t>ESKILSTUNA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6702-2019</t>
        </is>
      </c>
      <c r="B640" s="1" t="n">
        <v>43494</v>
      </c>
      <c r="C640" s="1" t="n">
        <v>45182</v>
      </c>
      <c r="D640" t="inlineStr">
        <is>
          <t>SÖDERMANLANDS LÄN</t>
        </is>
      </c>
      <c r="E640" t="inlineStr">
        <is>
          <t>STRÄNGNÄS</t>
        </is>
      </c>
      <c r="F640" t="inlineStr">
        <is>
          <t>Övriga Aktiebolag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6989-2019</t>
        </is>
      </c>
      <c r="B641" s="1" t="n">
        <v>43495</v>
      </c>
      <c r="C641" s="1" t="n">
        <v>45182</v>
      </c>
      <c r="D641" t="inlineStr">
        <is>
          <t>SÖDERMANLANDS LÄN</t>
        </is>
      </c>
      <c r="E641" t="inlineStr">
        <is>
          <t>FLEN</t>
        </is>
      </c>
      <c r="G641" t="n">
        <v>6.6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7172-2019</t>
        </is>
      </c>
      <c r="B642" s="1" t="n">
        <v>43496</v>
      </c>
      <c r="C642" s="1" t="n">
        <v>45182</v>
      </c>
      <c r="D642" t="inlineStr">
        <is>
          <t>SÖDERMANLANDS LÄN</t>
        </is>
      </c>
      <c r="E642" t="inlineStr">
        <is>
          <t>NYKÖPING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7199-2019</t>
        </is>
      </c>
      <c r="B643" s="1" t="n">
        <v>43496</v>
      </c>
      <c r="C643" s="1" t="n">
        <v>45182</v>
      </c>
      <c r="D643" t="inlineStr">
        <is>
          <t>SÖDERMANLANDS LÄN</t>
        </is>
      </c>
      <c r="E643" t="inlineStr">
        <is>
          <t>ESKILSTUNA</t>
        </is>
      </c>
      <c r="G643" t="n">
        <v>14.1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8396-2019</t>
        </is>
      </c>
      <c r="B644" s="1" t="n">
        <v>43496</v>
      </c>
      <c r="C644" s="1" t="n">
        <v>45182</v>
      </c>
      <c r="D644" t="inlineStr">
        <is>
          <t>SÖDERMANLANDS LÄN</t>
        </is>
      </c>
      <c r="E644" t="inlineStr">
        <is>
          <t>ESKILSTUNA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7523-2019</t>
        </is>
      </c>
      <c r="B645" s="1" t="n">
        <v>43497</v>
      </c>
      <c r="C645" s="1" t="n">
        <v>45182</v>
      </c>
      <c r="D645" t="inlineStr">
        <is>
          <t>SÖDERMANLANDS LÄN</t>
        </is>
      </c>
      <c r="E645" t="inlineStr">
        <is>
          <t>KATRINEHOLM</t>
        </is>
      </c>
      <c r="F645" t="inlineStr">
        <is>
          <t>Allmännings- och besparingsskogar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7548-2019</t>
        </is>
      </c>
      <c r="B646" s="1" t="n">
        <v>43497</v>
      </c>
      <c r="C646" s="1" t="n">
        <v>45182</v>
      </c>
      <c r="D646" t="inlineStr">
        <is>
          <t>SÖDERMANLANDS LÄN</t>
        </is>
      </c>
      <c r="E646" t="inlineStr">
        <is>
          <t>FLEN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7532-2019</t>
        </is>
      </c>
      <c r="B647" s="1" t="n">
        <v>43497</v>
      </c>
      <c r="C647" s="1" t="n">
        <v>45182</v>
      </c>
      <c r="D647" t="inlineStr">
        <is>
          <t>SÖDERMANLANDS LÄN</t>
        </is>
      </c>
      <c r="E647" t="inlineStr">
        <is>
          <t>NYKÖPING</t>
        </is>
      </c>
      <c r="G647" t="n">
        <v>3.9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7914-2019</t>
        </is>
      </c>
      <c r="B648" s="1" t="n">
        <v>43501</v>
      </c>
      <c r="C648" s="1" t="n">
        <v>45182</v>
      </c>
      <c r="D648" t="inlineStr">
        <is>
          <t>SÖDERMANLANDS LÄN</t>
        </is>
      </c>
      <c r="E648" t="inlineStr">
        <is>
          <t>NYKÖPING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7920-2019</t>
        </is>
      </c>
      <c r="B649" s="1" t="n">
        <v>43501</v>
      </c>
      <c r="C649" s="1" t="n">
        <v>45182</v>
      </c>
      <c r="D649" t="inlineStr">
        <is>
          <t>SÖDERMANLANDS LÄN</t>
        </is>
      </c>
      <c r="E649" t="inlineStr">
        <is>
          <t>NYKÖPING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7913-2019</t>
        </is>
      </c>
      <c r="B650" s="1" t="n">
        <v>43501</v>
      </c>
      <c r="C650" s="1" t="n">
        <v>45182</v>
      </c>
      <c r="D650" t="inlineStr">
        <is>
          <t>SÖDERMANLANDS LÄN</t>
        </is>
      </c>
      <c r="E650" t="inlineStr">
        <is>
          <t>NYKÖPING</t>
        </is>
      </c>
      <c r="G650" t="n">
        <v>7.5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7927-2019</t>
        </is>
      </c>
      <c r="B651" s="1" t="n">
        <v>43501</v>
      </c>
      <c r="C651" s="1" t="n">
        <v>45182</v>
      </c>
      <c r="D651" t="inlineStr">
        <is>
          <t>SÖDERMANLANDS LÄN</t>
        </is>
      </c>
      <c r="E651" t="inlineStr">
        <is>
          <t>NYKÖPING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8551-2019</t>
        </is>
      </c>
      <c r="B652" s="1" t="n">
        <v>43502</v>
      </c>
      <c r="C652" s="1" t="n">
        <v>45182</v>
      </c>
      <c r="D652" t="inlineStr">
        <is>
          <t>SÖDERMANLANDS LÄN</t>
        </is>
      </c>
      <c r="E652" t="inlineStr">
        <is>
          <t>STRÄNGNÄS</t>
        </is>
      </c>
      <c r="G652" t="n">
        <v>5.3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8878-2019</t>
        </is>
      </c>
      <c r="B653" s="1" t="n">
        <v>43502</v>
      </c>
      <c r="C653" s="1" t="n">
        <v>45182</v>
      </c>
      <c r="D653" t="inlineStr">
        <is>
          <t>SÖDERMANLANDS LÄN</t>
        </is>
      </c>
      <c r="E653" t="inlineStr">
        <is>
          <t>STRÄNGNÄS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8528-2019</t>
        </is>
      </c>
      <c r="B654" s="1" t="n">
        <v>43502</v>
      </c>
      <c r="C654" s="1" t="n">
        <v>45182</v>
      </c>
      <c r="D654" t="inlineStr">
        <is>
          <t>SÖDERMANLANDS LÄN</t>
        </is>
      </c>
      <c r="E654" t="inlineStr">
        <is>
          <t>STRÄNGNÄS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8621-2019</t>
        </is>
      </c>
      <c r="B655" s="1" t="n">
        <v>43503</v>
      </c>
      <c r="C655" s="1" t="n">
        <v>45182</v>
      </c>
      <c r="D655" t="inlineStr">
        <is>
          <t>SÖDERMANLANDS LÄN</t>
        </is>
      </c>
      <c r="E655" t="inlineStr">
        <is>
          <t>FLEN</t>
        </is>
      </c>
      <c r="G655" t="n">
        <v>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8630-2019</t>
        </is>
      </c>
      <c r="B656" s="1" t="n">
        <v>43503</v>
      </c>
      <c r="C656" s="1" t="n">
        <v>45182</v>
      </c>
      <c r="D656" t="inlineStr">
        <is>
          <t>SÖDERMANLANDS LÄN</t>
        </is>
      </c>
      <c r="E656" t="inlineStr">
        <is>
          <t>VINGÅKER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9254-2019</t>
        </is>
      </c>
      <c r="B657" s="1" t="n">
        <v>43504</v>
      </c>
      <c r="C657" s="1" t="n">
        <v>45182</v>
      </c>
      <c r="D657" t="inlineStr">
        <is>
          <t>SÖDERMANLANDS LÄN</t>
        </is>
      </c>
      <c r="E657" t="inlineStr">
        <is>
          <t>KATRINEHOLM</t>
        </is>
      </c>
      <c r="F657" t="inlineStr">
        <is>
          <t>Övriga Aktiebolag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9419-2019</t>
        </is>
      </c>
      <c r="B658" s="1" t="n">
        <v>43507</v>
      </c>
      <c r="C658" s="1" t="n">
        <v>45182</v>
      </c>
      <c r="D658" t="inlineStr">
        <is>
          <t>SÖDERMANLANDS LÄN</t>
        </is>
      </c>
      <c r="E658" t="inlineStr">
        <is>
          <t>NYKÖPING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9473-2019</t>
        </is>
      </c>
      <c r="B659" s="1" t="n">
        <v>43507</v>
      </c>
      <c r="C659" s="1" t="n">
        <v>45182</v>
      </c>
      <c r="D659" t="inlineStr">
        <is>
          <t>SÖDERMANLANDS LÄN</t>
        </is>
      </c>
      <c r="E659" t="inlineStr">
        <is>
          <t>ESKILSTUNA</t>
        </is>
      </c>
      <c r="G659" t="n">
        <v>8.5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9459-2019</t>
        </is>
      </c>
      <c r="B660" s="1" t="n">
        <v>43507</v>
      </c>
      <c r="C660" s="1" t="n">
        <v>45182</v>
      </c>
      <c r="D660" t="inlineStr">
        <is>
          <t>SÖDERMANLANDS LÄN</t>
        </is>
      </c>
      <c r="E660" t="inlineStr">
        <is>
          <t>ESKILSTUNA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9466-2019</t>
        </is>
      </c>
      <c r="B661" s="1" t="n">
        <v>43507</v>
      </c>
      <c r="C661" s="1" t="n">
        <v>45182</v>
      </c>
      <c r="D661" t="inlineStr">
        <is>
          <t>SÖDERMANLANDS LÄN</t>
        </is>
      </c>
      <c r="E661" t="inlineStr">
        <is>
          <t>ESKILSTUNA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9784-2019</t>
        </is>
      </c>
      <c r="B662" s="1" t="n">
        <v>43509</v>
      </c>
      <c r="C662" s="1" t="n">
        <v>45182</v>
      </c>
      <c r="D662" t="inlineStr">
        <is>
          <t>SÖDERMANLANDS LÄN</t>
        </is>
      </c>
      <c r="E662" t="inlineStr">
        <is>
          <t>ESKILSTUNA</t>
        </is>
      </c>
      <c r="G662" t="n">
        <v>4.4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10263-2019</t>
        </is>
      </c>
      <c r="B663" s="1" t="n">
        <v>43511</v>
      </c>
      <c r="C663" s="1" t="n">
        <v>45182</v>
      </c>
      <c r="D663" t="inlineStr">
        <is>
          <t>SÖDERMANLANDS LÄN</t>
        </is>
      </c>
      <c r="E663" t="inlineStr">
        <is>
          <t>ESKILSTUNA</t>
        </is>
      </c>
      <c r="G663" t="n">
        <v>3.6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10308-2019</t>
        </is>
      </c>
      <c r="B664" s="1" t="n">
        <v>43511</v>
      </c>
      <c r="C664" s="1" t="n">
        <v>45182</v>
      </c>
      <c r="D664" t="inlineStr">
        <is>
          <t>SÖDERMANLANDS LÄN</t>
        </is>
      </c>
      <c r="E664" t="inlineStr">
        <is>
          <t>KATRINEHOLM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10716-2019</t>
        </is>
      </c>
      <c r="B665" s="1" t="n">
        <v>43514</v>
      </c>
      <c r="C665" s="1" t="n">
        <v>45182</v>
      </c>
      <c r="D665" t="inlineStr">
        <is>
          <t>SÖDERMANLANDS LÄN</t>
        </is>
      </c>
      <c r="E665" t="inlineStr">
        <is>
          <t>FLEN</t>
        </is>
      </c>
      <c r="F665" t="inlineStr">
        <is>
          <t>Holmen skog AB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10813-2019</t>
        </is>
      </c>
      <c r="B666" s="1" t="n">
        <v>43514</v>
      </c>
      <c r="C666" s="1" t="n">
        <v>45182</v>
      </c>
      <c r="D666" t="inlineStr">
        <is>
          <t>SÖDERMANLANDS LÄN</t>
        </is>
      </c>
      <c r="E666" t="inlineStr">
        <is>
          <t>NYKÖPING</t>
        </is>
      </c>
      <c r="G666" t="n">
        <v>13.2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11067-2019</t>
        </is>
      </c>
      <c r="B667" s="1" t="n">
        <v>43515</v>
      </c>
      <c r="C667" s="1" t="n">
        <v>45182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11069-2019</t>
        </is>
      </c>
      <c r="B668" s="1" t="n">
        <v>43515</v>
      </c>
      <c r="C668" s="1" t="n">
        <v>45182</v>
      </c>
      <c r="D668" t="inlineStr">
        <is>
          <t>SÖDERMANLANDS LÄN</t>
        </is>
      </c>
      <c r="E668" t="inlineStr">
        <is>
          <t>KATRINEHOLM</t>
        </is>
      </c>
      <c r="F668" t="inlineStr">
        <is>
          <t>Kyrkan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11019-2019</t>
        </is>
      </c>
      <c r="B669" s="1" t="n">
        <v>43515</v>
      </c>
      <c r="C669" s="1" t="n">
        <v>45182</v>
      </c>
      <c r="D669" t="inlineStr">
        <is>
          <t>SÖDERMANLANDS LÄN</t>
        </is>
      </c>
      <c r="E669" t="inlineStr">
        <is>
          <t>NYKÖPING</t>
        </is>
      </c>
      <c r="G669" t="n">
        <v>7.8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11087-2019</t>
        </is>
      </c>
      <c r="B670" s="1" t="n">
        <v>43516</v>
      </c>
      <c r="C670" s="1" t="n">
        <v>45182</v>
      </c>
      <c r="D670" t="inlineStr">
        <is>
          <t>SÖDERMANLANDS LÄN</t>
        </is>
      </c>
      <c r="E670" t="inlineStr">
        <is>
          <t>NYKÖPING</t>
        </is>
      </c>
      <c r="G670" t="n">
        <v>13.9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11167-2019</t>
        </is>
      </c>
      <c r="B671" s="1" t="n">
        <v>43516</v>
      </c>
      <c r="C671" s="1" t="n">
        <v>45182</v>
      </c>
      <c r="D671" t="inlineStr">
        <is>
          <t>SÖDERMANLANDS LÄN</t>
        </is>
      </c>
      <c r="E671" t="inlineStr">
        <is>
          <t>ESKILSTUNA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11455-2019</t>
        </is>
      </c>
      <c r="B672" s="1" t="n">
        <v>43517</v>
      </c>
      <c r="C672" s="1" t="n">
        <v>45182</v>
      </c>
      <c r="D672" t="inlineStr">
        <is>
          <t>SÖDERMANLANDS LÄN</t>
        </is>
      </c>
      <c r="E672" t="inlineStr">
        <is>
          <t>TROSA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11491-2019</t>
        </is>
      </c>
      <c r="B673" s="1" t="n">
        <v>43517</v>
      </c>
      <c r="C673" s="1" t="n">
        <v>45182</v>
      </c>
      <c r="D673" t="inlineStr">
        <is>
          <t>SÖDERMANLANDS LÄN</t>
        </is>
      </c>
      <c r="E673" t="inlineStr">
        <is>
          <t>ESKILSTUNA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11562-2019</t>
        </is>
      </c>
      <c r="B674" s="1" t="n">
        <v>43518</v>
      </c>
      <c r="C674" s="1" t="n">
        <v>45182</v>
      </c>
      <c r="D674" t="inlineStr">
        <is>
          <t>SÖDERMANLANDS LÄN</t>
        </is>
      </c>
      <c r="E674" t="inlineStr">
        <is>
          <t>VINGÅKER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11793-2019</t>
        </is>
      </c>
      <c r="B675" s="1" t="n">
        <v>43518</v>
      </c>
      <c r="C675" s="1" t="n">
        <v>45182</v>
      </c>
      <c r="D675" t="inlineStr">
        <is>
          <t>SÖDERMANLANDS LÄN</t>
        </is>
      </c>
      <c r="E675" t="inlineStr">
        <is>
          <t>KATRINEHOLM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11790-2019</t>
        </is>
      </c>
      <c r="B676" s="1" t="n">
        <v>43518</v>
      </c>
      <c r="C676" s="1" t="n">
        <v>45182</v>
      </c>
      <c r="D676" t="inlineStr">
        <is>
          <t>SÖDERMANLANDS LÄN</t>
        </is>
      </c>
      <c r="E676" t="inlineStr">
        <is>
          <t>KATRINEHOLM</t>
        </is>
      </c>
      <c r="G676" t="n">
        <v>7.8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11784-2019</t>
        </is>
      </c>
      <c r="B677" s="1" t="n">
        <v>43521</v>
      </c>
      <c r="C677" s="1" t="n">
        <v>45182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11786-2019</t>
        </is>
      </c>
      <c r="B678" s="1" t="n">
        <v>43521</v>
      </c>
      <c r="C678" s="1" t="n">
        <v>45182</v>
      </c>
      <c r="D678" t="inlineStr">
        <is>
          <t>SÖDERMANLANDS LÄN</t>
        </is>
      </c>
      <c r="E678" t="inlineStr">
        <is>
          <t>ESKILSTUNA</t>
        </is>
      </c>
      <c r="G678" t="n">
        <v>4.5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11846-2019</t>
        </is>
      </c>
      <c r="B679" s="1" t="n">
        <v>43521</v>
      </c>
      <c r="C679" s="1" t="n">
        <v>45182</v>
      </c>
      <c r="D679" t="inlineStr">
        <is>
          <t>SÖDERMANLANDS LÄN</t>
        </is>
      </c>
      <c r="E679" t="inlineStr">
        <is>
          <t>NYKÖPING</t>
        </is>
      </c>
      <c r="G679" t="n">
        <v>11.9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11895-2019</t>
        </is>
      </c>
      <c r="B680" s="1" t="n">
        <v>43521</v>
      </c>
      <c r="C680" s="1" t="n">
        <v>45182</v>
      </c>
      <c r="D680" t="inlineStr">
        <is>
          <t>SÖDERMANLANDS LÄN</t>
        </is>
      </c>
      <c r="E680" t="inlineStr">
        <is>
          <t>GNESTA</t>
        </is>
      </c>
      <c r="F680" t="inlineStr">
        <is>
          <t>Holmen skog AB</t>
        </is>
      </c>
      <c r="G680" t="n">
        <v>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11788-2019</t>
        </is>
      </c>
      <c r="B681" s="1" t="n">
        <v>43521</v>
      </c>
      <c r="C681" s="1" t="n">
        <v>45182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12465-2019</t>
        </is>
      </c>
      <c r="B682" s="1" t="n">
        <v>43522</v>
      </c>
      <c r="C682" s="1" t="n">
        <v>45182</v>
      </c>
      <c r="D682" t="inlineStr">
        <is>
          <t>SÖDERMANLANDS LÄN</t>
        </is>
      </c>
      <c r="E682" t="inlineStr">
        <is>
          <t>STRÄNGNÄS</t>
        </is>
      </c>
      <c r="F682" t="inlineStr">
        <is>
          <t>Övriga statliga verk och myndigheter</t>
        </is>
      </c>
      <c r="G682" t="n">
        <v>13.7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12195-2019</t>
        </is>
      </c>
      <c r="B683" s="1" t="n">
        <v>43522</v>
      </c>
      <c r="C683" s="1" t="n">
        <v>45182</v>
      </c>
      <c r="D683" t="inlineStr">
        <is>
          <t>SÖDERMANLANDS LÄN</t>
        </is>
      </c>
      <c r="E683" t="inlineStr">
        <is>
          <t>ESKILSTUNA</t>
        </is>
      </c>
      <c r="F683" t="inlineStr">
        <is>
          <t>Holmen skog AB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12228-2019</t>
        </is>
      </c>
      <c r="B684" s="1" t="n">
        <v>43522</v>
      </c>
      <c r="C684" s="1" t="n">
        <v>45182</v>
      </c>
      <c r="D684" t="inlineStr">
        <is>
          <t>SÖDERMANLANDS LÄN</t>
        </is>
      </c>
      <c r="E684" t="inlineStr">
        <is>
          <t>FLEN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12227-2019</t>
        </is>
      </c>
      <c r="B685" s="1" t="n">
        <v>43522</v>
      </c>
      <c r="C685" s="1" t="n">
        <v>45182</v>
      </c>
      <c r="D685" t="inlineStr">
        <is>
          <t>SÖDERMANLANDS LÄN</t>
        </is>
      </c>
      <c r="E685" t="inlineStr">
        <is>
          <t>FLEN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12205-2019</t>
        </is>
      </c>
      <c r="B686" s="1" t="n">
        <v>43522</v>
      </c>
      <c r="C686" s="1" t="n">
        <v>45182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12304-2019</t>
        </is>
      </c>
      <c r="B687" s="1" t="n">
        <v>43523</v>
      </c>
      <c r="C687" s="1" t="n">
        <v>45182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Sveaskog</t>
        </is>
      </c>
      <c r="G687" t="n">
        <v>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12394-2019</t>
        </is>
      </c>
      <c r="B688" s="1" t="n">
        <v>43523</v>
      </c>
      <c r="C688" s="1" t="n">
        <v>45182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Kommuner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12440-2019</t>
        </is>
      </c>
      <c r="B689" s="1" t="n">
        <v>43523</v>
      </c>
      <c r="C689" s="1" t="n">
        <v>45182</v>
      </c>
      <c r="D689" t="inlineStr">
        <is>
          <t>SÖDERMANLANDS LÄN</t>
        </is>
      </c>
      <c r="E689" t="inlineStr">
        <is>
          <t>VINGÅKER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12256-2019</t>
        </is>
      </c>
      <c r="B690" s="1" t="n">
        <v>43523</v>
      </c>
      <c r="C690" s="1" t="n">
        <v>45182</v>
      </c>
      <c r="D690" t="inlineStr">
        <is>
          <t>SÖDERMANLANDS LÄN</t>
        </is>
      </c>
      <c r="E690" t="inlineStr">
        <is>
          <t>KATRINEHOLM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12374-2019</t>
        </is>
      </c>
      <c r="B691" s="1" t="n">
        <v>43523</v>
      </c>
      <c r="C691" s="1" t="n">
        <v>45182</v>
      </c>
      <c r="D691" t="inlineStr">
        <is>
          <t>SÖDERMANLANDS LÄN</t>
        </is>
      </c>
      <c r="E691" t="inlineStr">
        <is>
          <t>NYKÖPING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12257-2019</t>
        </is>
      </c>
      <c r="B692" s="1" t="n">
        <v>43523</v>
      </c>
      <c r="C692" s="1" t="n">
        <v>45182</v>
      </c>
      <c r="D692" t="inlineStr">
        <is>
          <t>SÖDERMANLANDS LÄN</t>
        </is>
      </c>
      <c r="E692" t="inlineStr">
        <is>
          <t>KATRINEHOLM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12563-2019</t>
        </is>
      </c>
      <c r="B693" s="1" t="n">
        <v>43524</v>
      </c>
      <c r="C693" s="1" t="n">
        <v>45182</v>
      </c>
      <c r="D693" t="inlineStr">
        <is>
          <t>SÖDERMANLANDS LÄN</t>
        </is>
      </c>
      <c r="E693" t="inlineStr">
        <is>
          <t>ESKILSTUNA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12688-2019</t>
        </is>
      </c>
      <c r="B694" s="1" t="n">
        <v>43524</v>
      </c>
      <c r="C694" s="1" t="n">
        <v>45182</v>
      </c>
      <c r="D694" t="inlineStr">
        <is>
          <t>SÖDERMANLANDS LÄN</t>
        </is>
      </c>
      <c r="E694" t="inlineStr">
        <is>
          <t>ESKILSTUNA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12513-2019</t>
        </is>
      </c>
      <c r="B695" s="1" t="n">
        <v>43524</v>
      </c>
      <c r="C695" s="1" t="n">
        <v>45182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Kyrkan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12881-2019</t>
        </is>
      </c>
      <c r="B696" s="1" t="n">
        <v>43525</v>
      </c>
      <c r="C696" s="1" t="n">
        <v>45182</v>
      </c>
      <c r="D696" t="inlineStr">
        <is>
          <t>SÖDERMANLANDS LÄN</t>
        </is>
      </c>
      <c r="E696" t="inlineStr">
        <is>
          <t>KATRINEHOLM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12874-2019</t>
        </is>
      </c>
      <c r="B697" s="1" t="n">
        <v>43525</v>
      </c>
      <c r="C697" s="1" t="n">
        <v>45182</v>
      </c>
      <c r="D697" t="inlineStr">
        <is>
          <t>SÖDERMANLANDS LÄN</t>
        </is>
      </c>
      <c r="E697" t="inlineStr">
        <is>
          <t>VINGÅKER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12880-2019</t>
        </is>
      </c>
      <c r="B698" s="1" t="n">
        <v>43525</v>
      </c>
      <c r="C698" s="1" t="n">
        <v>45182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24.1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12890-2019</t>
        </is>
      </c>
      <c r="B699" s="1" t="n">
        <v>43525</v>
      </c>
      <c r="C699" s="1" t="n">
        <v>45182</v>
      </c>
      <c r="D699" t="inlineStr">
        <is>
          <t>SÖDERMANLANDS LÄN</t>
        </is>
      </c>
      <c r="E699" t="inlineStr">
        <is>
          <t>NYKÖPING</t>
        </is>
      </c>
      <c r="F699" t="inlineStr">
        <is>
          <t>Kyrkan</t>
        </is>
      </c>
      <c r="G699" t="n">
        <v>9.300000000000001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12963-2019</t>
        </is>
      </c>
      <c r="B700" s="1" t="n">
        <v>43526</v>
      </c>
      <c r="C700" s="1" t="n">
        <v>45182</v>
      </c>
      <c r="D700" t="inlineStr">
        <is>
          <t>SÖDERMANLANDS LÄN</t>
        </is>
      </c>
      <c r="E700" t="inlineStr">
        <is>
          <t>ESKILSTUNA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13134-2019</t>
        </is>
      </c>
      <c r="B701" s="1" t="n">
        <v>43526</v>
      </c>
      <c r="C701" s="1" t="n">
        <v>45182</v>
      </c>
      <c r="D701" t="inlineStr">
        <is>
          <t>SÖDERMANLANDS LÄN</t>
        </is>
      </c>
      <c r="E701" t="inlineStr">
        <is>
          <t>STRÄNGNÄS</t>
        </is>
      </c>
      <c r="G701" t="n">
        <v>8.199999999999999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13071-2019</t>
        </is>
      </c>
      <c r="B702" s="1" t="n">
        <v>43528</v>
      </c>
      <c r="C702" s="1" t="n">
        <v>45182</v>
      </c>
      <c r="D702" t="inlineStr">
        <is>
          <t>SÖDERMANLANDS LÄN</t>
        </is>
      </c>
      <c r="E702" t="inlineStr">
        <is>
          <t>ESKILSTUNA</t>
        </is>
      </c>
      <c r="G702" t="n">
        <v>4.6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13001-2019</t>
        </is>
      </c>
      <c r="B703" s="1" t="n">
        <v>43528</v>
      </c>
      <c r="C703" s="1" t="n">
        <v>45182</v>
      </c>
      <c r="D703" t="inlineStr">
        <is>
          <t>SÖDERMANLANDS LÄN</t>
        </is>
      </c>
      <c r="E703" t="inlineStr">
        <is>
          <t>NYKÖPING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13201-2019</t>
        </is>
      </c>
      <c r="B704" s="1" t="n">
        <v>43528</v>
      </c>
      <c r="C704" s="1" t="n">
        <v>45182</v>
      </c>
      <c r="D704" t="inlineStr">
        <is>
          <t>SÖDERMANLANDS LÄN</t>
        </is>
      </c>
      <c r="E704" t="inlineStr">
        <is>
          <t>NYKÖPING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13337-2019</t>
        </is>
      </c>
      <c r="B705" s="1" t="n">
        <v>43529</v>
      </c>
      <c r="C705" s="1" t="n">
        <v>45182</v>
      </c>
      <c r="D705" t="inlineStr">
        <is>
          <t>SÖDERMANLANDS LÄN</t>
        </is>
      </c>
      <c r="E705" t="inlineStr">
        <is>
          <t>KATRINEHOLM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13268-2019</t>
        </is>
      </c>
      <c r="B706" s="1" t="n">
        <v>43529</v>
      </c>
      <c r="C706" s="1" t="n">
        <v>45182</v>
      </c>
      <c r="D706" t="inlineStr">
        <is>
          <t>SÖDERMANLANDS LÄN</t>
        </is>
      </c>
      <c r="E706" t="inlineStr">
        <is>
          <t>KATRINEHOLM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13401-2019</t>
        </is>
      </c>
      <c r="B707" s="1" t="n">
        <v>43529</v>
      </c>
      <c r="C707" s="1" t="n">
        <v>45182</v>
      </c>
      <c r="D707" t="inlineStr">
        <is>
          <t>SÖDERMANLANDS LÄN</t>
        </is>
      </c>
      <c r="E707" t="inlineStr">
        <is>
          <t>STRÄNGNÄS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13476-2019</t>
        </is>
      </c>
      <c r="B708" s="1" t="n">
        <v>43530</v>
      </c>
      <c r="C708" s="1" t="n">
        <v>45182</v>
      </c>
      <c r="D708" t="inlineStr">
        <is>
          <t>SÖDERMANLANDS LÄN</t>
        </is>
      </c>
      <c r="E708" t="inlineStr">
        <is>
          <t>FLEN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13641-2019</t>
        </is>
      </c>
      <c r="B709" s="1" t="n">
        <v>43530</v>
      </c>
      <c r="C709" s="1" t="n">
        <v>45182</v>
      </c>
      <c r="D709" t="inlineStr">
        <is>
          <t>SÖDERMANLANDS LÄN</t>
        </is>
      </c>
      <c r="E709" t="inlineStr">
        <is>
          <t>FLEN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13460-2019</t>
        </is>
      </c>
      <c r="B710" s="1" t="n">
        <v>43530</v>
      </c>
      <c r="C710" s="1" t="n">
        <v>45182</v>
      </c>
      <c r="D710" t="inlineStr">
        <is>
          <t>SÖDERMANLANDS LÄN</t>
        </is>
      </c>
      <c r="E710" t="inlineStr">
        <is>
          <t>ESKILSTUNA</t>
        </is>
      </c>
      <c r="F710" t="inlineStr">
        <is>
          <t>Kommuner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13814-2019</t>
        </is>
      </c>
      <c r="B711" s="1" t="n">
        <v>43530</v>
      </c>
      <c r="C711" s="1" t="n">
        <v>45182</v>
      </c>
      <c r="D711" t="inlineStr">
        <is>
          <t>SÖDERMANLANDS LÄN</t>
        </is>
      </c>
      <c r="E711" t="inlineStr">
        <is>
          <t>ESKILSTUNA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14205-2019</t>
        </is>
      </c>
      <c r="B712" s="1" t="n">
        <v>43532</v>
      </c>
      <c r="C712" s="1" t="n">
        <v>45182</v>
      </c>
      <c r="D712" t="inlineStr">
        <is>
          <t>SÖDERMANLANDS LÄN</t>
        </is>
      </c>
      <c r="E712" t="inlineStr">
        <is>
          <t>VINGÅKER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14211-2019</t>
        </is>
      </c>
      <c r="B713" s="1" t="n">
        <v>43532</v>
      </c>
      <c r="C713" s="1" t="n">
        <v>45182</v>
      </c>
      <c r="D713" t="inlineStr">
        <is>
          <t>SÖDERMANLANDS LÄN</t>
        </is>
      </c>
      <c r="E713" t="inlineStr">
        <is>
          <t>VINGÅKER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14139-2019</t>
        </is>
      </c>
      <c r="B714" s="1" t="n">
        <v>43532</v>
      </c>
      <c r="C714" s="1" t="n">
        <v>45182</v>
      </c>
      <c r="D714" t="inlineStr">
        <is>
          <t>SÖDERMANLANDS LÄN</t>
        </is>
      </c>
      <c r="E714" t="inlineStr">
        <is>
          <t>ESKILSTUNA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14208-2019</t>
        </is>
      </c>
      <c r="B715" s="1" t="n">
        <v>43532</v>
      </c>
      <c r="C715" s="1" t="n">
        <v>45182</v>
      </c>
      <c r="D715" t="inlineStr">
        <is>
          <t>SÖDERMANLANDS LÄN</t>
        </is>
      </c>
      <c r="E715" t="inlineStr">
        <is>
          <t>VINGÅKER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14210-2019</t>
        </is>
      </c>
      <c r="B716" s="1" t="n">
        <v>43532</v>
      </c>
      <c r="C716" s="1" t="n">
        <v>45182</v>
      </c>
      <c r="D716" t="inlineStr">
        <is>
          <t>SÖDERMANLANDS LÄN</t>
        </is>
      </c>
      <c r="E716" t="inlineStr">
        <is>
          <t>VINGÅKER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14160-2019</t>
        </is>
      </c>
      <c r="B717" s="1" t="n">
        <v>43533</v>
      </c>
      <c r="C717" s="1" t="n">
        <v>45182</v>
      </c>
      <c r="D717" t="inlineStr">
        <is>
          <t>SÖDERMANLANDS LÄN</t>
        </is>
      </c>
      <c r="E717" t="inlineStr">
        <is>
          <t>STRÄNGNÄS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14503-2019</t>
        </is>
      </c>
      <c r="B718" s="1" t="n">
        <v>43535</v>
      </c>
      <c r="C718" s="1" t="n">
        <v>45182</v>
      </c>
      <c r="D718" t="inlineStr">
        <is>
          <t>SÖDERMANLANDS LÄN</t>
        </is>
      </c>
      <c r="E718" t="inlineStr">
        <is>
          <t>FLEN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14310-2019</t>
        </is>
      </c>
      <c r="B719" s="1" t="n">
        <v>43535</v>
      </c>
      <c r="C719" s="1" t="n">
        <v>45182</v>
      </c>
      <c r="D719" t="inlineStr">
        <is>
          <t>SÖDERMANLANDS LÄN</t>
        </is>
      </c>
      <c r="E719" t="inlineStr">
        <is>
          <t>VINGÅKER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14671-2019</t>
        </is>
      </c>
      <c r="B720" s="1" t="n">
        <v>43537</v>
      </c>
      <c r="C720" s="1" t="n">
        <v>45182</v>
      </c>
      <c r="D720" t="inlineStr">
        <is>
          <t>SÖDERMANLANDS LÄN</t>
        </is>
      </c>
      <c r="E720" t="inlineStr">
        <is>
          <t>STRÄNGNÄS</t>
        </is>
      </c>
      <c r="G720" t="n">
        <v>6.8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15080-2019</t>
        </is>
      </c>
      <c r="B721" s="1" t="n">
        <v>43537</v>
      </c>
      <c r="C721" s="1" t="n">
        <v>45182</v>
      </c>
      <c r="D721" t="inlineStr">
        <is>
          <t>SÖDERMANLANDS LÄN</t>
        </is>
      </c>
      <c r="E721" t="inlineStr">
        <is>
          <t>ESKILSTUNA</t>
        </is>
      </c>
      <c r="G721" t="n">
        <v>7.6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14675-2019</t>
        </is>
      </c>
      <c r="B722" s="1" t="n">
        <v>43537</v>
      </c>
      <c r="C722" s="1" t="n">
        <v>45182</v>
      </c>
      <c r="D722" t="inlineStr">
        <is>
          <t>SÖDERMANLANDS LÄN</t>
        </is>
      </c>
      <c r="E722" t="inlineStr">
        <is>
          <t>STRÄNGNÄS</t>
        </is>
      </c>
      <c r="G722" t="n">
        <v>7.9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15024-2019</t>
        </is>
      </c>
      <c r="B723" s="1" t="n">
        <v>43537</v>
      </c>
      <c r="C723" s="1" t="n">
        <v>45182</v>
      </c>
      <c r="D723" t="inlineStr">
        <is>
          <t>SÖDERMANLANDS LÄN</t>
        </is>
      </c>
      <c r="E723" t="inlineStr">
        <is>
          <t>NYKÖPING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14872-2019</t>
        </is>
      </c>
      <c r="B724" s="1" t="n">
        <v>43538</v>
      </c>
      <c r="C724" s="1" t="n">
        <v>45182</v>
      </c>
      <c r="D724" t="inlineStr">
        <is>
          <t>SÖDERMANLANDS LÄN</t>
        </is>
      </c>
      <c r="E724" t="inlineStr">
        <is>
          <t>VINGÅKER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15158-2019</t>
        </is>
      </c>
      <c r="B725" s="1" t="n">
        <v>43538</v>
      </c>
      <c r="C725" s="1" t="n">
        <v>45182</v>
      </c>
      <c r="D725" t="inlineStr">
        <is>
          <t>SÖDERMANLANDS LÄN</t>
        </is>
      </c>
      <c r="E725" t="inlineStr">
        <is>
          <t>KATRINEHOLM</t>
        </is>
      </c>
      <c r="F725" t="inlineStr">
        <is>
          <t>Övriga Aktiebolag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15166-2019</t>
        </is>
      </c>
      <c r="B726" s="1" t="n">
        <v>43538</v>
      </c>
      <c r="C726" s="1" t="n">
        <v>45182</v>
      </c>
      <c r="D726" t="inlineStr">
        <is>
          <t>SÖDERMANLANDS LÄN</t>
        </is>
      </c>
      <c r="E726" t="inlineStr">
        <is>
          <t>NYKÖPING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14933-2019</t>
        </is>
      </c>
      <c r="B727" s="1" t="n">
        <v>43538</v>
      </c>
      <c r="C727" s="1" t="n">
        <v>45182</v>
      </c>
      <c r="D727" t="inlineStr">
        <is>
          <t>SÖDERMANLANDS LÄN</t>
        </is>
      </c>
      <c r="E727" t="inlineStr">
        <is>
          <t>STRÄNGNÄS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15149-2019</t>
        </is>
      </c>
      <c r="B728" s="1" t="n">
        <v>43538</v>
      </c>
      <c r="C728" s="1" t="n">
        <v>45182</v>
      </c>
      <c r="D728" t="inlineStr">
        <is>
          <t>SÖDERMANLANDS LÄN</t>
        </is>
      </c>
      <c r="E728" t="inlineStr">
        <is>
          <t>NYKÖPING</t>
        </is>
      </c>
      <c r="G728" t="n">
        <v>4.2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15172-2019</t>
        </is>
      </c>
      <c r="B729" s="1" t="n">
        <v>43538</v>
      </c>
      <c r="C729" s="1" t="n">
        <v>45182</v>
      </c>
      <c r="D729" t="inlineStr">
        <is>
          <t>SÖDERMANLANDS LÄN</t>
        </is>
      </c>
      <c r="E729" t="inlineStr">
        <is>
          <t>NYKÖPING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15144-2019</t>
        </is>
      </c>
      <c r="B730" s="1" t="n">
        <v>43538</v>
      </c>
      <c r="C730" s="1" t="n">
        <v>45182</v>
      </c>
      <c r="D730" t="inlineStr">
        <is>
          <t>SÖDERMANLANDS LÄN</t>
        </is>
      </c>
      <c r="E730" t="inlineStr">
        <is>
          <t>NYKÖPING</t>
        </is>
      </c>
      <c r="G730" t="n">
        <v>10.6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14350-2019</t>
        </is>
      </c>
      <c r="B731" s="1" t="n">
        <v>43538</v>
      </c>
      <c r="C731" s="1" t="n">
        <v>45182</v>
      </c>
      <c r="D731" t="inlineStr">
        <is>
          <t>SÖDERMANLANDS LÄN</t>
        </is>
      </c>
      <c r="E731" t="inlineStr">
        <is>
          <t>NYKÖPING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14882-2019</t>
        </is>
      </c>
      <c r="B732" s="1" t="n">
        <v>43538</v>
      </c>
      <c r="C732" s="1" t="n">
        <v>45182</v>
      </c>
      <c r="D732" t="inlineStr">
        <is>
          <t>SÖDERMANLANDS LÄN</t>
        </is>
      </c>
      <c r="E732" t="inlineStr">
        <is>
          <t>ESKILSTUNA</t>
        </is>
      </c>
      <c r="F732" t="inlineStr">
        <is>
          <t>Kommuner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15110-2019</t>
        </is>
      </c>
      <c r="B733" s="1" t="n">
        <v>43538</v>
      </c>
      <c r="C733" s="1" t="n">
        <v>45182</v>
      </c>
      <c r="D733" t="inlineStr">
        <is>
          <t>SÖDERMANLANDS LÄN</t>
        </is>
      </c>
      <c r="E733" t="inlineStr">
        <is>
          <t>FLEN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15198-2019</t>
        </is>
      </c>
      <c r="B734" s="1" t="n">
        <v>43539</v>
      </c>
      <c r="C734" s="1" t="n">
        <v>45182</v>
      </c>
      <c r="D734" t="inlineStr">
        <is>
          <t>SÖDERMANLANDS LÄN</t>
        </is>
      </c>
      <c r="E734" t="inlineStr">
        <is>
          <t>GNESTA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15440-2019</t>
        </is>
      </c>
      <c r="B735" s="1" t="n">
        <v>43539</v>
      </c>
      <c r="C735" s="1" t="n">
        <v>45182</v>
      </c>
      <c r="D735" t="inlineStr">
        <is>
          <t>SÖDERMANLANDS LÄN</t>
        </is>
      </c>
      <c r="E735" t="inlineStr">
        <is>
          <t>VINGÅKER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14803-2019</t>
        </is>
      </c>
      <c r="B736" s="1" t="n">
        <v>43539</v>
      </c>
      <c r="C736" s="1" t="n">
        <v>45182</v>
      </c>
      <c r="D736" t="inlineStr">
        <is>
          <t>SÖDERMANLANDS LÄN</t>
        </is>
      </c>
      <c r="E736" t="inlineStr">
        <is>
          <t>GNESTA</t>
        </is>
      </c>
      <c r="G736" t="n">
        <v>9.1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15249-2019</t>
        </is>
      </c>
      <c r="B737" s="1" t="n">
        <v>43539</v>
      </c>
      <c r="C737" s="1" t="n">
        <v>45182</v>
      </c>
      <c r="D737" t="inlineStr">
        <is>
          <t>SÖDERMANLANDS LÄN</t>
        </is>
      </c>
      <c r="E737" t="inlineStr">
        <is>
          <t>ESKILSTUNA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15250-2019</t>
        </is>
      </c>
      <c r="B738" s="1" t="n">
        <v>43539</v>
      </c>
      <c r="C738" s="1" t="n">
        <v>45182</v>
      </c>
      <c r="D738" t="inlineStr">
        <is>
          <t>SÖDERMANLANDS LÄN</t>
        </is>
      </c>
      <c r="E738" t="inlineStr">
        <is>
          <t>ESKILSTUNA</t>
        </is>
      </c>
      <c r="G738" t="n">
        <v>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15573-2019</t>
        </is>
      </c>
      <c r="B739" s="1" t="n">
        <v>43539</v>
      </c>
      <c r="C739" s="1" t="n">
        <v>45182</v>
      </c>
      <c r="D739" t="inlineStr">
        <is>
          <t>SÖDERMANLANDS LÄN</t>
        </is>
      </c>
      <c r="E739" t="inlineStr">
        <is>
          <t>FLEN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14862-2019</t>
        </is>
      </c>
      <c r="B740" s="1" t="n">
        <v>43539</v>
      </c>
      <c r="C740" s="1" t="n">
        <v>45182</v>
      </c>
      <c r="D740" t="inlineStr">
        <is>
          <t>SÖDERMANLANDS LÄN</t>
        </is>
      </c>
      <c r="E740" t="inlineStr">
        <is>
          <t>GNESTA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14948-2019</t>
        </is>
      </c>
      <c r="B741" s="1" t="n">
        <v>43539</v>
      </c>
      <c r="C741" s="1" t="n">
        <v>45182</v>
      </c>
      <c r="D741" t="inlineStr">
        <is>
          <t>SÖDERMANLANDS LÄN</t>
        </is>
      </c>
      <c r="E741" t="inlineStr">
        <is>
          <t>GNESTA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15041-2019</t>
        </is>
      </c>
      <c r="B742" s="1" t="n">
        <v>43539</v>
      </c>
      <c r="C742" s="1" t="n">
        <v>45182</v>
      </c>
      <c r="D742" t="inlineStr">
        <is>
          <t>SÖDERMANLANDS LÄN</t>
        </is>
      </c>
      <c r="E742" t="inlineStr">
        <is>
          <t>GNESTA</t>
        </is>
      </c>
      <c r="G742" t="n">
        <v>6.9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15575-2019</t>
        </is>
      </c>
      <c r="B743" s="1" t="n">
        <v>43539</v>
      </c>
      <c r="C743" s="1" t="n">
        <v>45182</v>
      </c>
      <c r="D743" t="inlineStr">
        <is>
          <t>SÖDERMANLANDS LÄN</t>
        </is>
      </c>
      <c r="E743" t="inlineStr">
        <is>
          <t>FLEN</t>
        </is>
      </c>
      <c r="G743" t="n">
        <v>4.9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15322-2019</t>
        </is>
      </c>
      <c r="B744" s="1" t="n">
        <v>43540</v>
      </c>
      <c r="C744" s="1" t="n">
        <v>45182</v>
      </c>
      <c r="D744" t="inlineStr">
        <is>
          <t>SÖDERMANLANDS LÄN</t>
        </is>
      </c>
      <c r="E744" t="inlineStr">
        <is>
          <t>TROSA</t>
        </is>
      </c>
      <c r="G744" t="n">
        <v>6.4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15452-2019</t>
        </is>
      </c>
      <c r="B745" s="1" t="n">
        <v>43542</v>
      </c>
      <c r="C745" s="1" t="n">
        <v>45182</v>
      </c>
      <c r="D745" t="inlineStr">
        <is>
          <t>SÖDERMANLANDS LÄN</t>
        </is>
      </c>
      <c r="E745" t="inlineStr">
        <is>
          <t>ESKILSTUNA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15536-2019</t>
        </is>
      </c>
      <c r="B746" s="1" t="n">
        <v>43542</v>
      </c>
      <c r="C746" s="1" t="n">
        <v>45182</v>
      </c>
      <c r="D746" t="inlineStr">
        <is>
          <t>SÖDERMANLANDS LÄN</t>
        </is>
      </c>
      <c r="E746" t="inlineStr">
        <is>
          <t>NYKÖPING</t>
        </is>
      </c>
      <c r="G746" t="n">
        <v>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15207-2019</t>
        </is>
      </c>
      <c r="B747" s="1" t="n">
        <v>43542</v>
      </c>
      <c r="C747" s="1" t="n">
        <v>45182</v>
      </c>
      <c r="D747" t="inlineStr">
        <is>
          <t>SÖDERMANLANDS LÄN</t>
        </is>
      </c>
      <c r="E747" t="inlineStr">
        <is>
          <t>NYKÖPING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15429-2019</t>
        </is>
      </c>
      <c r="B748" s="1" t="n">
        <v>43542</v>
      </c>
      <c r="C748" s="1" t="n">
        <v>45182</v>
      </c>
      <c r="D748" t="inlineStr">
        <is>
          <t>SÖDERMANLANDS LÄN</t>
        </is>
      </c>
      <c r="E748" t="inlineStr">
        <is>
          <t>ESKILSTUNA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15654-2019</t>
        </is>
      </c>
      <c r="B749" s="1" t="n">
        <v>43543</v>
      </c>
      <c r="C749" s="1" t="n">
        <v>45182</v>
      </c>
      <c r="D749" t="inlineStr">
        <is>
          <t>SÖDERMANLANDS LÄN</t>
        </is>
      </c>
      <c r="E749" t="inlineStr">
        <is>
          <t>KATRINEHOLM</t>
        </is>
      </c>
      <c r="F749" t="inlineStr">
        <is>
          <t>Kyrkan</t>
        </is>
      </c>
      <c r="G749" t="n">
        <v>7.1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15681-2019</t>
        </is>
      </c>
      <c r="B750" s="1" t="n">
        <v>43543</v>
      </c>
      <c r="C750" s="1" t="n">
        <v>45182</v>
      </c>
      <c r="D750" t="inlineStr">
        <is>
          <t>SÖDERMANLANDS LÄN</t>
        </is>
      </c>
      <c r="E750" t="inlineStr">
        <is>
          <t>NYKÖPING</t>
        </is>
      </c>
      <c r="G750" t="n">
        <v>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15757-2019</t>
        </is>
      </c>
      <c r="B751" s="1" t="n">
        <v>43543</v>
      </c>
      <c r="C751" s="1" t="n">
        <v>45182</v>
      </c>
      <c r="D751" t="inlineStr">
        <is>
          <t>SÖDERMANLANDS LÄN</t>
        </is>
      </c>
      <c r="E751" t="inlineStr">
        <is>
          <t>KATRINEHOLM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15798-2019</t>
        </is>
      </c>
      <c r="B752" s="1" t="n">
        <v>43543</v>
      </c>
      <c r="C752" s="1" t="n">
        <v>45182</v>
      </c>
      <c r="D752" t="inlineStr">
        <is>
          <t>SÖDERMANLANDS LÄN</t>
        </is>
      </c>
      <c r="E752" t="inlineStr">
        <is>
          <t>STRÄNGNÄS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16116-2019</t>
        </is>
      </c>
      <c r="B753" s="1" t="n">
        <v>43544</v>
      </c>
      <c r="C753" s="1" t="n">
        <v>45182</v>
      </c>
      <c r="D753" t="inlineStr">
        <is>
          <t>SÖDERMANLANDS LÄN</t>
        </is>
      </c>
      <c r="E753" t="inlineStr">
        <is>
          <t>NYKÖPING</t>
        </is>
      </c>
      <c r="F753" t="inlineStr">
        <is>
          <t>Holmen skog AB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16005-2019</t>
        </is>
      </c>
      <c r="B754" s="1" t="n">
        <v>43544</v>
      </c>
      <c r="C754" s="1" t="n">
        <v>45182</v>
      </c>
      <c r="D754" t="inlineStr">
        <is>
          <t>SÖDERMANLANDS LÄN</t>
        </is>
      </c>
      <c r="E754" t="inlineStr">
        <is>
          <t>STRÄNGNÄS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16105-2019</t>
        </is>
      </c>
      <c r="B755" s="1" t="n">
        <v>43544</v>
      </c>
      <c r="C755" s="1" t="n">
        <v>45182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16017-2019</t>
        </is>
      </c>
      <c r="B756" s="1" t="n">
        <v>43544</v>
      </c>
      <c r="C756" s="1" t="n">
        <v>45182</v>
      </c>
      <c r="D756" t="inlineStr">
        <is>
          <t>SÖDERMANLANDS LÄN</t>
        </is>
      </c>
      <c r="E756" t="inlineStr">
        <is>
          <t>STRÄNGNÄS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16152-2019</t>
        </is>
      </c>
      <c r="B757" s="1" t="n">
        <v>43544</v>
      </c>
      <c r="C757" s="1" t="n">
        <v>45182</v>
      </c>
      <c r="D757" t="inlineStr">
        <is>
          <t>SÖDERMANLANDS LÄN</t>
        </is>
      </c>
      <c r="E757" t="inlineStr">
        <is>
          <t>FLEN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16386-2019</t>
        </is>
      </c>
      <c r="B758" s="1" t="n">
        <v>43545</v>
      </c>
      <c r="C758" s="1" t="n">
        <v>45182</v>
      </c>
      <c r="D758" t="inlineStr">
        <is>
          <t>SÖDERMANLANDS LÄN</t>
        </is>
      </c>
      <c r="E758" t="inlineStr">
        <is>
          <t>VINGÅKER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16226-2019</t>
        </is>
      </c>
      <c r="B759" s="1" t="n">
        <v>43545</v>
      </c>
      <c r="C759" s="1" t="n">
        <v>45182</v>
      </c>
      <c r="D759" t="inlineStr">
        <is>
          <t>SÖDERMANLANDS LÄN</t>
        </is>
      </c>
      <c r="E759" t="inlineStr">
        <is>
          <t>NYKÖPING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16396-2019</t>
        </is>
      </c>
      <c r="B760" s="1" t="n">
        <v>43546</v>
      </c>
      <c r="C760" s="1" t="n">
        <v>45182</v>
      </c>
      <c r="D760" t="inlineStr">
        <is>
          <t>SÖDERMANLANDS LÄN</t>
        </is>
      </c>
      <c r="E760" t="inlineStr">
        <is>
          <t>KATRINEHOLM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16595-2019</t>
        </is>
      </c>
      <c r="B761" s="1" t="n">
        <v>43546</v>
      </c>
      <c r="C761" s="1" t="n">
        <v>45182</v>
      </c>
      <c r="D761" t="inlineStr">
        <is>
          <t>SÖDERMANLANDS LÄN</t>
        </is>
      </c>
      <c r="E761" t="inlineStr">
        <is>
          <t>NYKÖPING</t>
        </is>
      </c>
      <c r="G761" t="n">
        <v>5.4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16393-2019</t>
        </is>
      </c>
      <c r="B762" s="1" t="n">
        <v>43546</v>
      </c>
      <c r="C762" s="1" t="n">
        <v>45182</v>
      </c>
      <c r="D762" t="inlineStr">
        <is>
          <t>SÖDERMANLANDS LÄN</t>
        </is>
      </c>
      <c r="E762" t="inlineStr">
        <is>
          <t>KATRINEHOLM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16463-2019</t>
        </is>
      </c>
      <c r="B763" s="1" t="n">
        <v>43546</v>
      </c>
      <c r="C763" s="1" t="n">
        <v>45182</v>
      </c>
      <c r="D763" t="inlineStr">
        <is>
          <t>SÖDERMANLANDS LÄN</t>
        </is>
      </c>
      <c r="E763" t="inlineStr">
        <is>
          <t>KATRINEHOLM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16462-2019</t>
        </is>
      </c>
      <c r="B764" s="1" t="n">
        <v>43546</v>
      </c>
      <c r="C764" s="1" t="n">
        <v>45182</v>
      </c>
      <c r="D764" t="inlineStr">
        <is>
          <t>SÖDERMANLANDS LÄN</t>
        </is>
      </c>
      <c r="E764" t="inlineStr">
        <is>
          <t>KATRINEHOLM</t>
        </is>
      </c>
      <c r="G764" t="n">
        <v>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16576-2019</t>
        </is>
      </c>
      <c r="B765" s="1" t="n">
        <v>43548</v>
      </c>
      <c r="C765" s="1" t="n">
        <v>45182</v>
      </c>
      <c r="D765" t="inlineStr">
        <is>
          <t>SÖDERMANLANDS LÄN</t>
        </is>
      </c>
      <c r="E765" t="inlineStr">
        <is>
          <t>KATRINEHOLM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16683-2019</t>
        </is>
      </c>
      <c r="B766" s="1" t="n">
        <v>43549</v>
      </c>
      <c r="C766" s="1" t="n">
        <v>45182</v>
      </c>
      <c r="D766" t="inlineStr">
        <is>
          <t>SÖDERMANLANDS LÄN</t>
        </is>
      </c>
      <c r="E766" t="inlineStr">
        <is>
          <t>VINGÅKER</t>
        </is>
      </c>
      <c r="G766" t="n">
        <v>6.3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16989-2019</t>
        </is>
      </c>
      <c r="B767" s="1" t="n">
        <v>43550</v>
      </c>
      <c r="C767" s="1" t="n">
        <v>45182</v>
      </c>
      <c r="D767" t="inlineStr">
        <is>
          <t>SÖDERMANLANDS LÄN</t>
        </is>
      </c>
      <c r="E767" t="inlineStr">
        <is>
          <t>KATRINEHOLM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16880-2019</t>
        </is>
      </c>
      <c r="B768" s="1" t="n">
        <v>43550</v>
      </c>
      <c r="C768" s="1" t="n">
        <v>45182</v>
      </c>
      <c r="D768" t="inlineStr">
        <is>
          <t>SÖDERMANLANDS LÄN</t>
        </is>
      </c>
      <c r="E768" t="inlineStr">
        <is>
          <t>STRÄNGNÄS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17302-2019</t>
        </is>
      </c>
      <c r="B769" s="1" t="n">
        <v>43551</v>
      </c>
      <c r="C769" s="1" t="n">
        <v>45182</v>
      </c>
      <c r="D769" t="inlineStr">
        <is>
          <t>SÖDERMANLANDS LÄN</t>
        </is>
      </c>
      <c r="E769" t="inlineStr">
        <is>
          <t>FLEN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17434-2019</t>
        </is>
      </c>
      <c r="B770" s="1" t="n">
        <v>43553</v>
      </c>
      <c r="C770" s="1" t="n">
        <v>45182</v>
      </c>
      <c r="D770" t="inlineStr">
        <is>
          <t>SÖDERMANLANDS LÄN</t>
        </is>
      </c>
      <c r="E770" t="inlineStr">
        <is>
          <t>NYKÖPING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17423-2019</t>
        </is>
      </c>
      <c r="B771" s="1" t="n">
        <v>43553</v>
      </c>
      <c r="C771" s="1" t="n">
        <v>45182</v>
      </c>
      <c r="D771" t="inlineStr">
        <is>
          <t>SÖDERMANLANDS LÄN</t>
        </is>
      </c>
      <c r="E771" t="inlineStr">
        <is>
          <t>NYKÖPING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17436-2019</t>
        </is>
      </c>
      <c r="B772" s="1" t="n">
        <v>43553</v>
      </c>
      <c r="C772" s="1" t="n">
        <v>45182</v>
      </c>
      <c r="D772" t="inlineStr">
        <is>
          <t>SÖDERMANLANDS LÄN</t>
        </is>
      </c>
      <c r="E772" t="inlineStr">
        <is>
          <t>NYKÖPING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17815-2019</t>
        </is>
      </c>
      <c r="B773" s="1" t="n">
        <v>43556</v>
      </c>
      <c r="C773" s="1" t="n">
        <v>45182</v>
      </c>
      <c r="D773" t="inlineStr">
        <is>
          <t>SÖDERMANLANDS LÄN</t>
        </is>
      </c>
      <c r="E773" t="inlineStr">
        <is>
          <t>NYKÖPING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17823-2019</t>
        </is>
      </c>
      <c r="B774" s="1" t="n">
        <v>43556</v>
      </c>
      <c r="C774" s="1" t="n">
        <v>45182</v>
      </c>
      <c r="D774" t="inlineStr">
        <is>
          <t>SÖDERMANLANDS LÄN</t>
        </is>
      </c>
      <c r="E774" t="inlineStr">
        <is>
          <t>NYKÖPING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18002-2019</t>
        </is>
      </c>
      <c r="B775" s="1" t="n">
        <v>43556</v>
      </c>
      <c r="C775" s="1" t="n">
        <v>45182</v>
      </c>
      <c r="D775" t="inlineStr">
        <is>
          <t>SÖDERMANLANDS LÄN</t>
        </is>
      </c>
      <c r="E775" t="inlineStr">
        <is>
          <t>GNESTA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17818-2019</t>
        </is>
      </c>
      <c r="B776" s="1" t="n">
        <v>43556</v>
      </c>
      <c r="C776" s="1" t="n">
        <v>45182</v>
      </c>
      <c r="D776" t="inlineStr">
        <is>
          <t>SÖDERMANLANDS LÄN</t>
        </is>
      </c>
      <c r="E776" t="inlineStr">
        <is>
          <t>NYKÖPING</t>
        </is>
      </c>
      <c r="G776" t="n">
        <v>9.9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18328-2019</t>
        </is>
      </c>
      <c r="B777" s="1" t="n">
        <v>43557</v>
      </c>
      <c r="C777" s="1" t="n">
        <v>45182</v>
      </c>
      <c r="D777" t="inlineStr">
        <is>
          <t>SÖDERMANLANDS LÄN</t>
        </is>
      </c>
      <c r="E777" t="inlineStr">
        <is>
          <t>STRÄNGNÄS</t>
        </is>
      </c>
      <c r="G777" t="n">
        <v>12.8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18324-2019</t>
        </is>
      </c>
      <c r="B778" s="1" t="n">
        <v>43557</v>
      </c>
      <c r="C778" s="1" t="n">
        <v>45182</v>
      </c>
      <c r="D778" t="inlineStr">
        <is>
          <t>SÖDERMANLANDS LÄN</t>
        </is>
      </c>
      <c r="E778" t="inlineStr">
        <is>
          <t>STRÄNGNÄS</t>
        </is>
      </c>
      <c r="G778" t="n">
        <v>3.3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17953-2019</t>
        </is>
      </c>
      <c r="B779" s="1" t="n">
        <v>43557</v>
      </c>
      <c r="C779" s="1" t="n">
        <v>45182</v>
      </c>
      <c r="D779" t="inlineStr">
        <is>
          <t>SÖDERMANLANDS LÄN</t>
        </is>
      </c>
      <c r="E779" t="inlineStr">
        <is>
          <t>ESKILSTUNA</t>
        </is>
      </c>
      <c r="G779" t="n">
        <v>0.2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18391-2019</t>
        </is>
      </c>
      <c r="B780" s="1" t="n">
        <v>43558</v>
      </c>
      <c r="C780" s="1" t="n">
        <v>45182</v>
      </c>
      <c r="D780" t="inlineStr">
        <is>
          <t>SÖDERMANLANDS LÄN</t>
        </is>
      </c>
      <c r="E780" t="inlineStr">
        <is>
          <t>FLEN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18224-2019</t>
        </is>
      </c>
      <c r="B781" s="1" t="n">
        <v>43558</v>
      </c>
      <c r="C781" s="1" t="n">
        <v>45182</v>
      </c>
      <c r="D781" t="inlineStr">
        <is>
          <t>SÖDERMANLANDS LÄN</t>
        </is>
      </c>
      <c r="E781" t="inlineStr">
        <is>
          <t>ESKILSTUNA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18493-2019</t>
        </is>
      </c>
      <c r="B782" s="1" t="n">
        <v>43558</v>
      </c>
      <c r="C782" s="1" t="n">
        <v>45182</v>
      </c>
      <c r="D782" t="inlineStr">
        <is>
          <t>SÖDERMANLANDS LÄN</t>
        </is>
      </c>
      <c r="E782" t="inlineStr">
        <is>
          <t>ESKILSTUNA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18543-2019</t>
        </is>
      </c>
      <c r="B783" s="1" t="n">
        <v>43558</v>
      </c>
      <c r="C783" s="1" t="n">
        <v>45182</v>
      </c>
      <c r="D783" t="inlineStr">
        <is>
          <t>SÖDERMANLANDS LÄN</t>
        </is>
      </c>
      <c r="E783" t="inlineStr">
        <is>
          <t>FLEN</t>
        </is>
      </c>
      <c r="F783" t="inlineStr">
        <is>
          <t>Övriga statliga verk och myndigheter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18334-2019</t>
        </is>
      </c>
      <c r="B784" s="1" t="n">
        <v>43558</v>
      </c>
      <c r="C784" s="1" t="n">
        <v>45182</v>
      </c>
      <c r="D784" t="inlineStr">
        <is>
          <t>SÖDERMANLANDS LÄN</t>
        </is>
      </c>
      <c r="E784" t="inlineStr">
        <is>
          <t>NYKÖPING</t>
        </is>
      </c>
      <c r="G784" t="n">
        <v>13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18423-2019</t>
        </is>
      </c>
      <c r="B785" s="1" t="n">
        <v>43559</v>
      </c>
      <c r="C785" s="1" t="n">
        <v>45182</v>
      </c>
      <c r="D785" t="inlineStr">
        <is>
          <t>SÖDERMANLANDS LÄN</t>
        </is>
      </c>
      <c r="E785" t="inlineStr">
        <is>
          <t>ESKILSTUNA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18704-2019</t>
        </is>
      </c>
      <c r="B786" s="1" t="n">
        <v>43559</v>
      </c>
      <c r="C786" s="1" t="n">
        <v>45182</v>
      </c>
      <c r="D786" t="inlineStr">
        <is>
          <t>SÖDERMANLANDS LÄN</t>
        </is>
      </c>
      <c r="E786" t="inlineStr">
        <is>
          <t>ESKILSTUNA</t>
        </is>
      </c>
      <c r="G786" t="n">
        <v>7.8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18431-2019</t>
        </is>
      </c>
      <c r="B787" s="1" t="n">
        <v>43559</v>
      </c>
      <c r="C787" s="1" t="n">
        <v>45182</v>
      </c>
      <c r="D787" t="inlineStr">
        <is>
          <t>SÖDERMANLANDS LÄN</t>
        </is>
      </c>
      <c r="E787" t="inlineStr">
        <is>
          <t>KATRINEHOLM</t>
        </is>
      </c>
      <c r="G787" t="n">
        <v>2.4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18632-2019</t>
        </is>
      </c>
      <c r="B788" s="1" t="n">
        <v>43559</v>
      </c>
      <c r="C788" s="1" t="n">
        <v>45182</v>
      </c>
      <c r="D788" t="inlineStr">
        <is>
          <t>SÖDERMANLANDS LÄN</t>
        </is>
      </c>
      <c r="E788" t="inlineStr">
        <is>
          <t>VINGÅKER</t>
        </is>
      </c>
      <c r="G788" t="n">
        <v>6.4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18688-2019</t>
        </is>
      </c>
      <c r="B789" s="1" t="n">
        <v>43559</v>
      </c>
      <c r="C789" s="1" t="n">
        <v>45182</v>
      </c>
      <c r="D789" t="inlineStr">
        <is>
          <t>SÖDERMANLANDS LÄN</t>
        </is>
      </c>
      <c r="E789" t="inlineStr">
        <is>
          <t>FLEN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18700-2019</t>
        </is>
      </c>
      <c r="B790" s="1" t="n">
        <v>43559</v>
      </c>
      <c r="C790" s="1" t="n">
        <v>45182</v>
      </c>
      <c r="D790" t="inlineStr">
        <is>
          <t>SÖDERMANLANDS LÄN</t>
        </is>
      </c>
      <c r="E790" t="inlineStr">
        <is>
          <t>FLEN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18561-2019</t>
        </is>
      </c>
      <c r="B791" s="1" t="n">
        <v>43559</v>
      </c>
      <c r="C791" s="1" t="n">
        <v>45182</v>
      </c>
      <c r="D791" t="inlineStr">
        <is>
          <t>SÖDERMANLANDS LÄN</t>
        </is>
      </c>
      <c r="E791" t="inlineStr">
        <is>
          <t>STRÄNGNÄS</t>
        </is>
      </c>
      <c r="F791" t="inlineStr">
        <is>
          <t>Allmännings- och besparingsskogar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18639-2019</t>
        </is>
      </c>
      <c r="B792" s="1" t="n">
        <v>43559</v>
      </c>
      <c r="C792" s="1" t="n">
        <v>45182</v>
      </c>
      <c r="D792" t="inlineStr">
        <is>
          <t>SÖDERMANLANDS LÄN</t>
        </is>
      </c>
      <c r="E792" t="inlineStr">
        <is>
          <t>GNESTA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18698-2019</t>
        </is>
      </c>
      <c r="B793" s="1" t="n">
        <v>43559</v>
      </c>
      <c r="C793" s="1" t="n">
        <v>45182</v>
      </c>
      <c r="D793" t="inlineStr">
        <is>
          <t>SÖDERMANLANDS LÄN</t>
        </is>
      </c>
      <c r="E793" t="inlineStr">
        <is>
          <t>ESKILSTUNA</t>
        </is>
      </c>
      <c r="G793" t="n">
        <v>10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18645-2019</t>
        </is>
      </c>
      <c r="B794" s="1" t="n">
        <v>43560</v>
      </c>
      <c r="C794" s="1" t="n">
        <v>45182</v>
      </c>
      <c r="D794" t="inlineStr">
        <is>
          <t>SÖDERMANLANDS LÄN</t>
        </is>
      </c>
      <c r="E794" t="inlineStr">
        <is>
          <t>FLEN</t>
        </is>
      </c>
      <c r="G794" t="n">
        <v>8.4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18740-2019</t>
        </is>
      </c>
      <c r="B795" s="1" t="n">
        <v>43560</v>
      </c>
      <c r="C795" s="1" t="n">
        <v>45182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18824-2019</t>
        </is>
      </c>
      <c r="B796" s="1" t="n">
        <v>43560</v>
      </c>
      <c r="C796" s="1" t="n">
        <v>45182</v>
      </c>
      <c r="D796" t="inlineStr">
        <is>
          <t>SÖDERMANLANDS LÄN</t>
        </is>
      </c>
      <c r="E796" t="inlineStr">
        <is>
          <t>FLEN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18793-2019</t>
        </is>
      </c>
      <c r="B797" s="1" t="n">
        <v>43562</v>
      </c>
      <c r="C797" s="1" t="n">
        <v>45182</v>
      </c>
      <c r="D797" t="inlineStr">
        <is>
          <t>SÖDERMANLANDS LÄN</t>
        </is>
      </c>
      <c r="E797" t="inlineStr">
        <is>
          <t>NYKÖPING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18786-2019</t>
        </is>
      </c>
      <c r="B798" s="1" t="n">
        <v>43562</v>
      </c>
      <c r="C798" s="1" t="n">
        <v>45182</v>
      </c>
      <c r="D798" t="inlineStr">
        <is>
          <t>SÖDERMANLANDS LÄN</t>
        </is>
      </c>
      <c r="E798" t="inlineStr">
        <is>
          <t>NYKÖPING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18862-2019</t>
        </is>
      </c>
      <c r="B799" s="1" t="n">
        <v>43563</v>
      </c>
      <c r="C799" s="1" t="n">
        <v>45182</v>
      </c>
      <c r="D799" t="inlineStr">
        <is>
          <t>SÖDERMANLANDS LÄN</t>
        </is>
      </c>
      <c r="E799" t="inlineStr">
        <is>
          <t>STRÄNGNÄS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18869-2019</t>
        </is>
      </c>
      <c r="B800" s="1" t="n">
        <v>43563</v>
      </c>
      <c r="C800" s="1" t="n">
        <v>45182</v>
      </c>
      <c r="D800" t="inlineStr">
        <is>
          <t>SÖDERMANLANDS LÄN</t>
        </is>
      </c>
      <c r="E800" t="inlineStr">
        <is>
          <t>KATRINEHOLM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18892-2019</t>
        </is>
      </c>
      <c r="B801" s="1" t="n">
        <v>43563</v>
      </c>
      <c r="C801" s="1" t="n">
        <v>45182</v>
      </c>
      <c r="D801" t="inlineStr">
        <is>
          <t>SÖDERMANLANDS LÄN</t>
        </is>
      </c>
      <c r="E801" t="inlineStr">
        <is>
          <t>GNESTA</t>
        </is>
      </c>
      <c r="G801" t="n">
        <v>5.6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18950-2019</t>
        </is>
      </c>
      <c r="B802" s="1" t="n">
        <v>43563</v>
      </c>
      <c r="C802" s="1" t="n">
        <v>45182</v>
      </c>
      <c r="D802" t="inlineStr">
        <is>
          <t>SÖDERMANLANDS LÄN</t>
        </is>
      </c>
      <c r="E802" t="inlineStr">
        <is>
          <t>ESKILSTUNA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19122-2019</t>
        </is>
      </c>
      <c r="B803" s="1" t="n">
        <v>43564</v>
      </c>
      <c r="C803" s="1" t="n">
        <v>45182</v>
      </c>
      <c r="D803" t="inlineStr">
        <is>
          <t>SÖDERMANLANDS LÄN</t>
        </is>
      </c>
      <c r="E803" t="inlineStr">
        <is>
          <t>ESKILSTUNA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19166-2019</t>
        </is>
      </c>
      <c r="B804" s="1" t="n">
        <v>43564</v>
      </c>
      <c r="C804" s="1" t="n">
        <v>45182</v>
      </c>
      <c r="D804" t="inlineStr">
        <is>
          <t>SÖDERMANLANDS LÄN</t>
        </is>
      </c>
      <c r="E804" t="inlineStr">
        <is>
          <t>GNESTA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19374-2019</t>
        </is>
      </c>
      <c r="B805" s="1" t="n">
        <v>43565</v>
      </c>
      <c r="C805" s="1" t="n">
        <v>45182</v>
      </c>
      <c r="D805" t="inlineStr">
        <is>
          <t>SÖDERMANLANDS LÄN</t>
        </is>
      </c>
      <c r="E805" t="inlineStr">
        <is>
          <t>KATRINEHOLM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19291-2019</t>
        </is>
      </c>
      <c r="B806" s="1" t="n">
        <v>43565</v>
      </c>
      <c r="C806" s="1" t="n">
        <v>45182</v>
      </c>
      <c r="D806" t="inlineStr">
        <is>
          <t>SÖDERMANLANDS LÄN</t>
        </is>
      </c>
      <c r="E806" t="inlineStr">
        <is>
          <t>ESKILSTUNA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19476-2019</t>
        </is>
      </c>
      <c r="B807" s="1" t="n">
        <v>43565</v>
      </c>
      <c r="C807" s="1" t="n">
        <v>45182</v>
      </c>
      <c r="D807" t="inlineStr">
        <is>
          <t>SÖDERMANLANDS LÄN</t>
        </is>
      </c>
      <c r="E807" t="inlineStr">
        <is>
          <t>NYKÖPING</t>
        </is>
      </c>
      <c r="G807" t="n">
        <v>7.5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19511-2019</t>
        </is>
      </c>
      <c r="B808" s="1" t="n">
        <v>43565</v>
      </c>
      <c r="C808" s="1" t="n">
        <v>45182</v>
      </c>
      <c r="D808" t="inlineStr">
        <is>
          <t>SÖDERMANLANDS LÄN</t>
        </is>
      </c>
      <c r="E808" t="inlineStr">
        <is>
          <t>NYKÖPING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19427-2019</t>
        </is>
      </c>
      <c r="B809" s="1" t="n">
        <v>43565</v>
      </c>
      <c r="C809" s="1" t="n">
        <v>45182</v>
      </c>
      <c r="D809" t="inlineStr">
        <is>
          <t>SÖDERMANLANDS LÄN</t>
        </is>
      </c>
      <c r="E809" t="inlineStr">
        <is>
          <t>NYKÖPING</t>
        </is>
      </c>
      <c r="G809" t="n">
        <v>3.3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19449-2019</t>
        </is>
      </c>
      <c r="B810" s="1" t="n">
        <v>43565</v>
      </c>
      <c r="C810" s="1" t="n">
        <v>45182</v>
      </c>
      <c r="D810" t="inlineStr">
        <is>
          <t>SÖDERMANLANDS LÄN</t>
        </is>
      </c>
      <c r="E810" t="inlineStr">
        <is>
          <t>VINGÅKER</t>
        </is>
      </c>
      <c r="G810" t="n">
        <v>2.7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19469-2019</t>
        </is>
      </c>
      <c r="B811" s="1" t="n">
        <v>43565</v>
      </c>
      <c r="C811" s="1" t="n">
        <v>45182</v>
      </c>
      <c r="D811" t="inlineStr">
        <is>
          <t>SÖDERMANLANDS LÄN</t>
        </is>
      </c>
      <c r="E811" t="inlineStr">
        <is>
          <t>NYKÖPING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19395-2019</t>
        </is>
      </c>
      <c r="B812" s="1" t="n">
        <v>43565</v>
      </c>
      <c r="C812" s="1" t="n">
        <v>45182</v>
      </c>
      <c r="D812" t="inlineStr">
        <is>
          <t>SÖDERMANLANDS LÄN</t>
        </is>
      </c>
      <c r="E812" t="inlineStr">
        <is>
          <t>FLEN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19692-2019</t>
        </is>
      </c>
      <c r="B813" s="1" t="n">
        <v>43566</v>
      </c>
      <c r="C813" s="1" t="n">
        <v>45182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Kyrkan</t>
        </is>
      </c>
      <c r="G813" t="n">
        <v>9.199999999999999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19804-2019</t>
        </is>
      </c>
      <c r="B814" s="1" t="n">
        <v>43566</v>
      </c>
      <c r="C814" s="1" t="n">
        <v>45182</v>
      </c>
      <c r="D814" t="inlineStr">
        <is>
          <t>SÖDERMANLANDS LÄN</t>
        </is>
      </c>
      <c r="E814" t="inlineStr">
        <is>
          <t>GNESTA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19874-2019</t>
        </is>
      </c>
      <c r="B815" s="1" t="n">
        <v>43567</v>
      </c>
      <c r="C815" s="1" t="n">
        <v>45182</v>
      </c>
      <c r="D815" t="inlineStr">
        <is>
          <t>SÖDERMANLANDS LÄN</t>
        </is>
      </c>
      <c r="E815" t="inlineStr">
        <is>
          <t>STRÄNGNÄS</t>
        </is>
      </c>
      <c r="G815" t="n">
        <v>12.6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19834-2019</t>
        </is>
      </c>
      <c r="B816" s="1" t="n">
        <v>43567</v>
      </c>
      <c r="C816" s="1" t="n">
        <v>45182</v>
      </c>
      <c r="D816" t="inlineStr">
        <is>
          <t>SÖDERMANLANDS LÄN</t>
        </is>
      </c>
      <c r="E816" t="inlineStr">
        <is>
          <t>FLEN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20084-2019</t>
        </is>
      </c>
      <c r="B817" s="1" t="n">
        <v>43570</v>
      </c>
      <c r="C817" s="1" t="n">
        <v>45182</v>
      </c>
      <c r="D817" t="inlineStr">
        <is>
          <t>SÖDERMANLANDS LÄN</t>
        </is>
      </c>
      <c r="E817" t="inlineStr">
        <is>
          <t>KATRINEHOLM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19980-2019</t>
        </is>
      </c>
      <c r="B818" s="1" t="n">
        <v>43570</v>
      </c>
      <c r="C818" s="1" t="n">
        <v>45182</v>
      </c>
      <c r="D818" t="inlineStr">
        <is>
          <t>SÖDERMANLANDS LÄN</t>
        </is>
      </c>
      <c r="E818" t="inlineStr">
        <is>
          <t>NYKÖPING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20081-2019</t>
        </is>
      </c>
      <c r="B819" s="1" t="n">
        <v>43570</v>
      </c>
      <c r="C819" s="1" t="n">
        <v>45182</v>
      </c>
      <c r="D819" t="inlineStr">
        <is>
          <t>SÖDERMANLANDS LÄN</t>
        </is>
      </c>
      <c r="E819" t="inlineStr">
        <is>
          <t>KATRINEHOLM</t>
        </is>
      </c>
      <c r="G819" t="n">
        <v>2.8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20089-2019</t>
        </is>
      </c>
      <c r="B820" s="1" t="n">
        <v>43570</v>
      </c>
      <c r="C820" s="1" t="n">
        <v>45182</v>
      </c>
      <c r="D820" t="inlineStr">
        <is>
          <t>SÖDERMANLANDS LÄN</t>
        </is>
      </c>
      <c r="E820" t="inlineStr">
        <is>
          <t>KATRINEHOLM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20179-2019</t>
        </is>
      </c>
      <c r="B821" s="1" t="n">
        <v>43570</v>
      </c>
      <c r="C821" s="1" t="n">
        <v>45182</v>
      </c>
      <c r="D821" t="inlineStr">
        <is>
          <t>SÖDERMANLANDS LÄN</t>
        </is>
      </c>
      <c r="E821" t="inlineStr">
        <is>
          <t>ESKILSTUNA</t>
        </is>
      </c>
      <c r="F821" t="inlineStr">
        <is>
          <t>Sveaskog</t>
        </is>
      </c>
      <c r="G821" t="n">
        <v>3.2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20284-2019</t>
        </is>
      </c>
      <c r="B822" s="1" t="n">
        <v>43570</v>
      </c>
      <c r="C822" s="1" t="n">
        <v>45182</v>
      </c>
      <c r="D822" t="inlineStr">
        <is>
          <t>SÖDERMANLANDS LÄN</t>
        </is>
      </c>
      <c r="E822" t="inlineStr">
        <is>
          <t>FLEN</t>
        </is>
      </c>
      <c r="G822" t="n">
        <v>6.5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20666-2019</t>
        </is>
      </c>
      <c r="B823" s="1" t="n">
        <v>43572</v>
      </c>
      <c r="C823" s="1" t="n">
        <v>45182</v>
      </c>
      <c r="D823" t="inlineStr">
        <is>
          <t>SÖDERMANLANDS LÄN</t>
        </is>
      </c>
      <c r="E823" t="inlineStr">
        <is>
          <t>STRÄNGNÄS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20529-2019</t>
        </is>
      </c>
      <c r="B824" s="1" t="n">
        <v>43572</v>
      </c>
      <c r="C824" s="1" t="n">
        <v>45182</v>
      </c>
      <c r="D824" t="inlineStr">
        <is>
          <t>SÖDERMANLANDS LÄN</t>
        </is>
      </c>
      <c r="E824" t="inlineStr">
        <is>
          <t>GNESTA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20729-2019</t>
        </is>
      </c>
      <c r="B825" s="1" t="n">
        <v>43573</v>
      </c>
      <c r="C825" s="1" t="n">
        <v>45182</v>
      </c>
      <c r="D825" t="inlineStr">
        <is>
          <t>SÖDERMANLANDS LÄN</t>
        </is>
      </c>
      <c r="E825" t="inlineStr">
        <is>
          <t>VINGÅKER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21632-2019</t>
        </is>
      </c>
      <c r="B826" s="1" t="n">
        <v>43580</v>
      </c>
      <c r="C826" s="1" t="n">
        <v>45182</v>
      </c>
      <c r="D826" t="inlineStr">
        <is>
          <t>SÖDERMANLANDS LÄN</t>
        </is>
      </c>
      <c r="E826" t="inlineStr">
        <is>
          <t>VINGÅKER</t>
        </is>
      </c>
      <c r="G826" t="n">
        <v>4.6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21472-2019</t>
        </is>
      </c>
      <c r="B827" s="1" t="n">
        <v>43580</v>
      </c>
      <c r="C827" s="1" t="n">
        <v>45182</v>
      </c>
      <c r="D827" t="inlineStr">
        <is>
          <t>SÖDERMANLANDS LÄN</t>
        </is>
      </c>
      <c r="E827" t="inlineStr">
        <is>
          <t>ESKILSTUNA</t>
        </is>
      </c>
      <c r="F827" t="inlineStr">
        <is>
          <t>Kyrkan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21555-2019</t>
        </is>
      </c>
      <c r="B828" s="1" t="n">
        <v>43580</v>
      </c>
      <c r="C828" s="1" t="n">
        <v>45182</v>
      </c>
      <c r="D828" t="inlineStr">
        <is>
          <t>SÖDERMANLANDS LÄN</t>
        </is>
      </c>
      <c r="E828" t="inlineStr">
        <is>
          <t>ESKILSTUNA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21630-2019</t>
        </is>
      </c>
      <c r="B829" s="1" t="n">
        <v>43580</v>
      </c>
      <c r="C829" s="1" t="n">
        <v>45182</v>
      </c>
      <c r="D829" t="inlineStr">
        <is>
          <t>SÖDERMANLANDS LÄN</t>
        </is>
      </c>
      <c r="E829" t="inlineStr">
        <is>
          <t>VINGÅKER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21575-2019</t>
        </is>
      </c>
      <c r="B830" s="1" t="n">
        <v>43580</v>
      </c>
      <c r="C830" s="1" t="n">
        <v>45182</v>
      </c>
      <c r="D830" t="inlineStr">
        <is>
          <t>SÖDERMANLANDS LÄN</t>
        </is>
      </c>
      <c r="E830" t="inlineStr">
        <is>
          <t>VINGÅKER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21585-2019</t>
        </is>
      </c>
      <c r="B831" s="1" t="n">
        <v>43580</v>
      </c>
      <c r="C831" s="1" t="n">
        <v>45182</v>
      </c>
      <c r="D831" t="inlineStr">
        <is>
          <t>SÖDERMANLANDS LÄN</t>
        </is>
      </c>
      <c r="E831" t="inlineStr">
        <is>
          <t>NYKÖPING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21627-2019</t>
        </is>
      </c>
      <c r="B832" s="1" t="n">
        <v>43580</v>
      </c>
      <c r="C832" s="1" t="n">
        <v>45182</v>
      </c>
      <c r="D832" t="inlineStr">
        <is>
          <t>SÖDERMANLANDS LÄN</t>
        </is>
      </c>
      <c r="E832" t="inlineStr">
        <is>
          <t>VINGÅKER</t>
        </is>
      </c>
      <c r="G832" t="n">
        <v>13.1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21994-2019</t>
        </is>
      </c>
      <c r="B833" s="1" t="n">
        <v>43581</v>
      </c>
      <c r="C833" s="1" t="n">
        <v>45182</v>
      </c>
      <c r="D833" t="inlineStr">
        <is>
          <t>SÖDERMANLANDS LÄN</t>
        </is>
      </c>
      <c r="E833" t="inlineStr">
        <is>
          <t>KATRINEHOLM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21694-2019</t>
        </is>
      </c>
      <c r="B834" s="1" t="n">
        <v>43581</v>
      </c>
      <c r="C834" s="1" t="n">
        <v>45182</v>
      </c>
      <c r="D834" t="inlineStr">
        <is>
          <t>SÖDERMANLANDS LÄN</t>
        </is>
      </c>
      <c r="E834" t="inlineStr">
        <is>
          <t>NYKÖPING</t>
        </is>
      </c>
      <c r="G834" t="n">
        <v>3.4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21691-2019</t>
        </is>
      </c>
      <c r="B835" s="1" t="n">
        <v>43581</v>
      </c>
      <c r="C835" s="1" t="n">
        <v>45182</v>
      </c>
      <c r="D835" t="inlineStr">
        <is>
          <t>SÖDERMANLANDS LÄN</t>
        </is>
      </c>
      <c r="E835" t="inlineStr">
        <is>
          <t>GNESTA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22100-2019</t>
        </is>
      </c>
      <c r="B836" s="1" t="n">
        <v>43584</v>
      </c>
      <c r="C836" s="1" t="n">
        <v>45182</v>
      </c>
      <c r="D836" t="inlineStr">
        <is>
          <t>SÖDERMANLANDS LÄN</t>
        </is>
      </c>
      <c r="E836" t="inlineStr">
        <is>
          <t>GNESTA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22101-2019</t>
        </is>
      </c>
      <c r="B837" s="1" t="n">
        <v>43584</v>
      </c>
      <c r="C837" s="1" t="n">
        <v>45182</v>
      </c>
      <c r="D837" t="inlineStr">
        <is>
          <t>SÖDERMANLANDS LÄN</t>
        </is>
      </c>
      <c r="E837" t="inlineStr">
        <is>
          <t>GNESTA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21920-2019</t>
        </is>
      </c>
      <c r="B838" s="1" t="n">
        <v>43584</v>
      </c>
      <c r="C838" s="1" t="n">
        <v>45182</v>
      </c>
      <c r="D838" t="inlineStr">
        <is>
          <t>SÖDERMANLANDS LÄN</t>
        </is>
      </c>
      <c r="E838" t="inlineStr">
        <is>
          <t>FLEN</t>
        </is>
      </c>
      <c r="G838" t="n">
        <v>6.8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22217-2019</t>
        </is>
      </c>
      <c r="B839" s="1" t="n">
        <v>43585</v>
      </c>
      <c r="C839" s="1" t="n">
        <v>45182</v>
      </c>
      <c r="D839" t="inlineStr">
        <is>
          <t>SÖDERMANLANDS LÄN</t>
        </is>
      </c>
      <c r="E839" t="inlineStr">
        <is>
          <t>ESKILSTUNA</t>
        </is>
      </c>
      <c r="F839" t="inlineStr">
        <is>
          <t>Sveaskog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22503-2019</t>
        </is>
      </c>
      <c r="B840" s="1" t="n">
        <v>43587</v>
      </c>
      <c r="C840" s="1" t="n">
        <v>45182</v>
      </c>
      <c r="D840" t="inlineStr">
        <is>
          <t>SÖDERMANLANDS LÄN</t>
        </is>
      </c>
      <c r="E840" t="inlineStr">
        <is>
          <t>VINGÅKER</t>
        </is>
      </c>
      <c r="G840" t="n">
        <v>4.1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22691-2019</t>
        </is>
      </c>
      <c r="B841" s="1" t="n">
        <v>43588</v>
      </c>
      <c r="C841" s="1" t="n">
        <v>45182</v>
      </c>
      <c r="D841" t="inlineStr">
        <is>
          <t>SÖDERMANLANDS LÄN</t>
        </is>
      </c>
      <c r="E841" t="inlineStr">
        <is>
          <t>KATRINEHOLM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23053-2019</t>
        </is>
      </c>
      <c r="B842" s="1" t="n">
        <v>43591</v>
      </c>
      <c r="C842" s="1" t="n">
        <v>45182</v>
      </c>
      <c r="D842" t="inlineStr">
        <is>
          <t>SÖDERMANLANDS LÄN</t>
        </is>
      </c>
      <c r="E842" t="inlineStr">
        <is>
          <t>NYKÖPING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23265-2019</t>
        </is>
      </c>
      <c r="B843" s="1" t="n">
        <v>43591</v>
      </c>
      <c r="C843" s="1" t="n">
        <v>45182</v>
      </c>
      <c r="D843" t="inlineStr">
        <is>
          <t>SÖDERMANLANDS LÄN</t>
        </is>
      </c>
      <c r="E843" t="inlineStr">
        <is>
          <t>STRÄNGNÄS</t>
        </is>
      </c>
      <c r="G843" t="n">
        <v>12.7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22839-2019</t>
        </is>
      </c>
      <c r="B844" s="1" t="n">
        <v>43591</v>
      </c>
      <c r="C844" s="1" t="n">
        <v>45182</v>
      </c>
      <c r="D844" t="inlineStr">
        <is>
          <t>SÖDERMANLANDS LÄN</t>
        </is>
      </c>
      <c r="E844" t="inlineStr">
        <is>
          <t>KATRINEHOLM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23055-2019</t>
        </is>
      </c>
      <c r="B845" s="1" t="n">
        <v>43591</v>
      </c>
      <c r="C845" s="1" t="n">
        <v>45182</v>
      </c>
      <c r="D845" t="inlineStr">
        <is>
          <t>SÖDERMANLANDS LÄN</t>
        </is>
      </c>
      <c r="E845" t="inlineStr">
        <is>
          <t>NYKÖPING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23244-2019</t>
        </is>
      </c>
      <c r="B846" s="1" t="n">
        <v>43592</v>
      </c>
      <c r="C846" s="1" t="n">
        <v>45182</v>
      </c>
      <c r="D846" t="inlineStr">
        <is>
          <t>SÖDERMANLANDS LÄN</t>
        </is>
      </c>
      <c r="E846" t="inlineStr">
        <is>
          <t>VINGÅKER</t>
        </is>
      </c>
      <c r="F846" t="inlineStr">
        <is>
          <t>Kyrkan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23267-2019</t>
        </is>
      </c>
      <c r="B847" s="1" t="n">
        <v>43592</v>
      </c>
      <c r="C847" s="1" t="n">
        <v>45182</v>
      </c>
      <c r="D847" t="inlineStr">
        <is>
          <t>SÖDERMANLANDS LÄN</t>
        </is>
      </c>
      <c r="E847" t="inlineStr">
        <is>
          <t>STRÄNGNÄS</t>
        </is>
      </c>
      <c r="G847" t="n">
        <v>12.1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23506-2019</t>
        </is>
      </c>
      <c r="B848" s="1" t="n">
        <v>43593</v>
      </c>
      <c r="C848" s="1" t="n">
        <v>45182</v>
      </c>
      <c r="D848" t="inlineStr">
        <is>
          <t>SÖDERMANLANDS LÄN</t>
        </is>
      </c>
      <c r="E848" t="inlineStr">
        <is>
          <t>GNESTA</t>
        </is>
      </c>
      <c r="G848" t="n">
        <v>7.7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23553-2019</t>
        </is>
      </c>
      <c r="B849" s="1" t="n">
        <v>43594</v>
      </c>
      <c r="C849" s="1" t="n">
        <v>45182</v>
      </c>
      <c r="D849" t="inlineStr">
        <is>
          <t>SÖDERMANLANDS LÄN</t>
        </is>
      </c>
      <c r="E849" t="inlineStr">
        <is>
          <t>NYKÖPING</t>
        </is>
      </c>
      <c r="F849" t="inlineStr">
        <is>
          <t>Sveaskog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23679-2019</t>
        </is>
      </c>
      <c r="B850" s="1" t="n">
        <v>43594</v>
      </c>
      <c r="C850" s="1" t="n">
        <v>45182</v>
      </c>
      <c r="D850" t="inlineStr">
        <is>
          <t>SÖDERMANLANDS LÄN</t>
        </is>
      </c>
      <c r="E850" t="inlineStr">
        <is>
          <t>KATRINEHOLM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23769-2019</t>
        </is>
      </c>
      <c r="B851" s="1" t="n">
        <v>43595</v>
      </c>
      <c r="C851" s="1" t="n">
        <v>45182</v>
      </c>
      <c r="D851" t="inlineStr">
        <is>
          <t>SÖDERMANLANDS LÄN</t>
        </is>
      </c>
      <c r="E851" t="inlineStr">
        <is>
          <t>ESKILSTUNA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24069-2019</t>
        </is>
      </c>
      <c r="B852" s="1" t="n">
        <v>43598</v>
      </c>
      <c r="C852" s="1" t="n">
        <v>45182</v>
      </c>
      <c r="D852" t="inlineStr">
        <is>
          <t>SÖDERMANLANDS LÄN</t>
        </is>
      </c>
      <c r="E852" t="inlineStr">
        <is>
          <t>NYKÖPING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24368-2019</t>
        </is>
      </c>
      <c r="B853" s="1" t="n">
        <v>43599</v>
      </c>
      <c r="C853" s="1" t="n">
        <v>45182</v>
      </c>
      <c r="D853" t="inlineStr">
        <is>
          <t>SÖDERMANLANDS LÄN</t>
        </is>
      </c>
      <c r="E853" t="inlineStr">
        <is>
          <t>NYKÖPING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24192-2019</t>
        </is>
      </c>
      <c r="B854" s="1" t="n">
        <v>43599</v>
      </c>
      <c r="C854" s="1" t="n">
        <v>45182</v>
      </c>
      <c r="D854" t="inlineStr">
        <is>
          <t>SÖDERMANLANDS LÄN</t>
        </is>
      </c>
      <c r="E854" t="inlineStr">
        <is>
          <t>KATRINEHOLM</t>
        </is>
      </c>
      <c r="G854" t="n">
        <v>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24622-2019</t>
        </is>
      </c>
      <c r="B855" s="1" t="n">
        <v>43601</v>
      </c>
      <c r="C855" s="1" t="n">
        <v>45182</v>
      </c>
      <c r="D855" t="inlineStr">
        <is>
          <t>SÖDERMANLANDS LÄN</t>
        </is>
      </c>
      <c r="E855" t="inlineStr">
        <is>
          <t>NYKÖPING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24616-2019</t>
        </is>
      </c>
      <c r="B856" s="1" t="n">
        <v>43601</v>
      </c>
      <c r="C856" s="1" t="n">
        <v>45182</v>
      </c>
      <c r="D856" t="inlineStr">
        <is>
          <t>SÖDERMANLANDS LÄN</t>
        </is>
      </c>
      <c r="E856" t="inlineStr">
        <is>
          <t>NYKÖPING</t>
        </is>
      </c>
      <c r="G856" t="n">
        <v>2.4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25195-2019</t>
        </is>
      </c>
      <c r="B857" s="1" t="n">
        <v>43605</v>
      </c>
      <c r="C857" s="1" t="n">
        <v>45182</v>
      </c>
      <c r="D857" t="inlineStr">
        <is>
          <t>SÖDERMANLANDS LÄN</t>
        </is>
      </c>
      <c r="E857" t="inlineStr">
        <is>
          <t>KATRINEHOLM</t>
        </is>
      </c>
      <c r="F857" t="inlineStr">
        <is>
          <t>Kommuner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25294-2019</t>
        </is>
      </c>
      <c r="B858" s="1" t="n">
        <v>43605</v>
      </c>
      <c r="C858" s="1" t="n">
        <v>45182</v>
      </c>
      <c r="D858" t="inlineStr">
        <is>
          <t>SÖDERMANLANDS LÄN</t>
        </is>
      </c>
      <c r="E858" t="inlineStr">
        <is>
          <t>GNESTA</t>
        </is>
      </c>
      <c r="F858" t="inlineStr">
        <is>
          <t>Kommuner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26460-2019</t>
        </is>
      </c>
      <c r="B859" s="1" t="n">
        <v>43606</v>
      </c>
      <c r="C859" s="1" t="n">
        <v>45182</v>
      </c>
      <c r="D859" t="inlineStr">
        <is>
          <t>SÖDERMANLANDS LÄN</t>
        </is>
      </c>
      <c r="E859" t="inlineStr">
        <is>
          <t>VINGÅKER</t>
        </is>
      </c>
      <c r="G859" t="n">
        <v>2.8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25570-2019</t>
        </is>
      </c>
      <c r="B860" s="1" t="n">
        <v>43607</v>
      </c>
      <c r="C860" s="1" t="n">
        <v>45182</v>
      </c>
      <c r="D860" t="inlineStr">
        <is>
          <t>SÖDERMANLANDS LÄN</t>
        </is>
      </c>
      <c r="E860" t="inlineStr">
        <is>
          <t>KATRINEHOLM</t>
        </is>
      </c>
      <c r="F860" t="inlineStr">
        <is>
          <t>Kyrkan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25807-2019</t>
        </is>
      </c>
      <c r="B861" s="1" t="n">
        <v>43608</v>
      </c>
      <c r="C861" s="1" t="n">
        <v>45182</v>
      </c>
      <c r="D861" t="inlineStr">
        <is>
          <t>SÖDERMANLANDS LÄN</t>
        </is>
      </c>
      <c r="E861" t="inlineStr">
        <is>
          <t>VINGÅKER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25936-2019</t>
        </is>
      </c>
      <c r="B862" s="1" t="n">
        <v>43608</v>
      </c>
      <c r="C862" s="1" t="n">
        <v>45182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Övriga Aktiebolag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25805-2019</t>
        </is>
      </c>
      <c r="B863" s="1" t="n">
        <v>43608</v>
      </c>
      <c r="C863" s="1" t="n">
        <v>45182</v>
      </c>
      <c r="D863" t="inlineStr">
        <is>
          <t>SÖDERMANLANDS LÄN</t>
        </is>
      </c>
      <c r="E863" t="inlineStr">
        <is>
          <t>VINGÅKER</t>
        </is>
      </c>
      <c r="G863" t="n">
        <v>6.6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26873-2019</t>
        </is>
      </c>
      <c r="B864" s="1" t="n">
        <v>43608</v>
      </c>
      <c r="C864" s="1" t="n">
        <v>45182</v>
      </c>
      <c r="D864" t="inlineStr">
        <is>
          <t>SÖDERMANLANDS LÄN</t>
        </is>
      </c>
      <c r="E864" t="inlineStr">
        <is>
          <t>VINGÅKER</t>
        </is>
      </c>
      <c r="G864" t="n">
        <v>5.4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25802-2019</t>
        </is>
      </c>
      <c r="B865" s="1" t="n">
        <v>43608</v>
      </c>
      <c r="C865" s="1" t="n">
        <v>45182</v>
      </c>
      <c r="D865" t="inlineStr">
        <is>
          <t>SÖDERMANLANDS LÄN</t>
        </is>
      </c>
      <c r="E865" t="inlineStr">
        <is>
          <t>VINGÅKER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26542-2019</t>
        </is>
      </c>
      <c r="B866" s="1" t="n">
        <v>43612</v>
      </c>
      <c r="C866" s="1" t="n">
        <v>45182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26339-2019</t>
        </is>
      </c>
      <c r="B867" s="1" t="n">
        <v>43612</v>
      </c>
      <c r="C867" s="1" t="n">
        <v>45182</v>
      </c>
      <c r="D867" t="inlineStr">
        <is>
          <t>SÖDERMANLANDS LÄN</t>
        </is>
      </c>
      <c r="E867" t="inlineStr">
        <is>
          <t>KATRINEHOLM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26532-2019</t>
        </is>
      </c>
      <c r="B868" s="1" t="n">
        <v>43612</v>
      </c>
      <c r="C868" s="1" t="n">
        <v>45182</v>
      </c>
      <c r="D868" t="inlineStr">
        <is>
          <t>SÖDERMANLANDS LÄN</t>
        </is>
      </c>
      <c r="E868" t="inlineStr">
        <is>
          <t>KATRINEHOLM</t>
        </is>
      </c>
      <c r="G868" t="n">
        <v>4.2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27951-2019</t>
        </is>
      </c>
      <c r="B869" s="1" t="n">
        <v>43612</v>
      </c>
      <c r="C869" s="1" t="n">
        <v>45182</v>
      </c>
      <c r="D869" t="inlineStr">
        <is>
          <t>SÖDERMANLANDS LÄN</t>
        </is>
      </c>
      <c r="E869" t="inlineStr">
        <is>
          <t>STRÄNGNÄS</t>
        </is>
      </c>
      <c r="G869" t="n">
        <v>4.9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26848-2019</t>
        </is>
      </c>
      <c r="B870" s="1" t="n">
        <v>43613</v>
      </c>
      <c r="C870" s="1" t="n">
        <v>45182</v>
      </c>
      <c r="D870" t="inlineStr">
        <is>
          <t>SÖDERMANLANDS LÄN</t>
        </is>
      </c>
      <c r="E870" t="inlineStr">
        <is>
          <t>VINGÅKER</t>
        </is>
      </c>
      <c r="F870" t="inlineStr">
        <is>
          <t>Kyrkan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28673-2019</t>
        </is>
      </c>
      <c r="B871" s="1" t="n">
        <v>43614</v>
      </c>
      <c r="C871" s="1" t="n">
        <v>45182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Allmännings- och besparingsskogar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27151-2019</t>
        </is>
      </c>
      <c r="B872" s="1" t="n">
        <v>43614</v>
      </c>
      <c r="C872" s="1" t="n">
        <v>45182</v>
      </c>
      <c r="D872" t="inlineStr">
        <is>
          <t>SÖDERMANLANDS LÄN</t>
        </is>
      </c>
      <c r="E872" t="inlineStr">
        <is>
          <t>ESKILSTUNA</t>
        </is>
      </c>
      <c r="F872" t="inlineStr">
        <is>
          <t>Allmännings- och besparingsskogar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28911-2019</t>
        </is>
      </c>
      <c r="B873" s="1" t="n">
        <v>43616</v>
      </c>
      <c r="C873" s="1" t="n">
        <v>45182</v>
      </c>
      <c r="D873" t="inlineStr">
        <is>
          <t>SÖDERMANLANDS LÄN</t>
        </is>
      </c>
      <c r="E873" t="inlineStr">
        <is>
          <t>FLEN</t>
        </is>
      </c>
      <c r="G873" t="n">
        <v>3.4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27545-2019</t>
        </is>
      </c>
      <c r="B874" s="1" t="n">
        <v>43619</v>
      </c>
      <c r="C874" s="1" t="n">
        <v>45182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Sveaskog</t>
        </is>
      </c>
      <c r="G874" t="n">
        <v>6.1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27620-2019</t>
        </is>
      </c>
      <c r="B875" s="1" t="n">
        <v>43619</v>
      </c>
      <c r="C875" s="1" t="n">
        <v>45182</v>
      </c>
      <c r="D875" t="inlineStr">
        <is>
          <t>SÖDERMANLANDS LÄN</t>
        </is>
      </c>
      <c r="E875" t="inlineStr">
        <is>
          <t>ESKILSTUNA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28025-2019</t>
        </is>
      </c>
      <c r="B876" s="1" t="n">
        <v>43621</v>
      </c>
      <c r="C876" s="1" t="n">
        <v>45182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Övriga Aktiebolag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28058-2019</t>
        </is>
      </c>
      <c r="B877" s="1" t="n">
        <v>43621</v>
      </c>
      <c r="C877" s="1" t="n">
        <v>45182</v>
      </c>
      <c r="D877" t="inlineStr">
        <is>
          <t>SÖDERMANLANDS LÄN</t>
        </is>
      </c>
      <c r="E877" t="inlineStr">
        <is>
          <t>FLEN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28029-2019</t>
        </is>
      </c>
      <c r="B878" s="1" t="n">
        <v>43621</v>
      </c>
      <c r="C878" s="1" t="n">
        <v>45182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28035-2019</t>
        </is>
      </c>
      <c r="B879" s="1" t="n">
        <v>43621</v>
      </c>
      <c r="C879" s="1" t="n">
        <v>45182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29433-2019</t>
        </is>
      </c>
      <c r="B880" s="1" t="n">
        <v>43623</v>
      </c>
      <c r="C880" s="1" t="n">
        <v>45182</v>
      </c>
      <c r="D880" t="inlineStr">
        <is>
          <t>SÖDERMANLANDS LÄN</t>
        </is>
      </c>
      <c r="E880" t="inlineStr">
        <is>
          <t>KATRINEHOLM</t>
        </is>
      </c>
      <c r="G880" t="n">
        <v>16.7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28568-2019</t>
        </is>
      </c>
      <c r="B881" s="1" t="n">
        <v>43626</v>
      </c>
      <c r="C881" s="1" t="n">
        <v>45182</v>
      </c>
      <c r="D881" t="inlineStr">
        <is>
          <t>SÖDERMANLANDS LÄN</t>
        </is>
      </c>
      <c r="E881" t="inlineStr">
        <is>
          <t>NYKÖPING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28401-2019</t>
        </is>
      </c>
      <c r="B882" s="1" t="n">
        <v>43626</v>
      </c>
      <c r="C882" s="1" t="n">
        <v>45182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28405-2019</t>
        </is>
      </c>
      <c r="B883" s="1" t="n">
        <v>43626</v>
      </c>
      <c r="C883" s="1" t="n">
        <v>45182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28400-2019</t>
        </is>
      </c>
      <c r="B884" s="1" t="n">
        <v>43626</v>
      </c>
      <c r="C884" s="1" t="n">
        <v>45182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28404-2019</t>
        </is>
      </c>
      <c r="B885" s="1" t="n">
        <v>43626</v>
      </c>
      <c r="C885" s="1" t="n">
        <v>45182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Sveaskog</t>
        </is>
      </c>
      <c r="G885" t="n">
        <v>3.1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28511-2019</t>
        </is>
      </c>
      <c r="B886" s="1" t="n">
        <v>43626</v>
      </c>
      <c r="C886" s="1" t="n">
        <v>45182</v>
      </c>
      <c r="D886" t="inlineStr">
        <is>
          <t>SÖDERMANLANDS LÄN</t>
        </is>
      </c>
      <c r="E886" t="inlineStr">
        <is>
          <t>VINGÅKER</t>
        </is>
      </c>
      <c r="G886" t="n">
        <v>9.699999999999999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28402-2019</t>
        </is>
      </c>
      <c r="B887" s="1" t="n">
        <v>43626</v>
      </c>
      <c r="C887" s="1" t="n">
        <v>45182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28567-2019</t>
        </is>
      </c>
      <c r="B888" s="1" t="n">
        <v>43626</v>
      </c>
      <c r="C888" s="1" t="n">
        <v>45182</v>
      </c>
      <c r="D888" t="inlineStr">
        <is>
          <t>SÖDERMANLANDS LÄN</t>
        </is>
      </c>
      <c r="E888" t="inlineStr">
        <is>
          <t>NYKÖPING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28719-2019</t>
        </is>
      </c>
      <c r="B889" s="1" t="n">
        <v>43627</v>
      </c>
      <c r="C889" s="1" t="n">
        <v>45182</v>
      </c>
      <c r="D889" t="inlineStr">
        <is>
          <t>SÖDERMANLANDS LÄN</t>
        </is>
      </c>
      <c r="E889" t="inlineStr">
        <is>
          <t>NYKÖPING</t>
        </is>
      </c>
      <c r="G889" t="n">
        <v>14.7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28982-2019</t>
        </is>
      </c>
      <c r="B890" s="1" t="n">
        <v>43628</v>
      </c>
      <c r="C890" s="1" t="n">
        <v>45182</v>
      </c>
      <c r="D890" t="inlineStr">
        <is>
          <t>SÖDERMANLANDS LÄN</t>
        </is>
      </c>
      <c r="E890" t="inlineStr">
        <is>
          <t>STRÄNGNÄS</t>
        </is>
      </c>
      <c r="F890" t="inlineStr">
        <is>
          <t>Övriga Aktiebolag</t>
        </is>
      </c>
      <c r="G890" t="n">
        <v>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29084-2019</t>
        </is>
      </c>
      <c r="B891" s="1" t="n">
        <v>43628</v>
      </c>
      <c r="C891" s="1" t="n">
        <v>45182</v>
      </c>
      <c r="D891" t="inlineStr">
        <is>
          <t>SÖDERMANLANDS LÄN</t>
        </is>
      </c>
      <c r="E891" t="inlineStr">
        <is>
          <t>ESKILSTUNA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29125-2019</t>
        </is>
      </c>
      <c r="B892" s="1" t="n">
        <v>43628</v>
      </c>
      <c r="C892" s="1" t="n">
        <v>45182</v>
      </c>
      <c r="D892" t="inlineStr">
        <is>
          <t>SÖDERMANLANDS LÄN</t>
        </is>
      </c>
      <c r="E892" t="inlineStr">
        <is>
          <t>STRÄNGNÄS</t>
        </is>
      </c>
      <c r="F892" t="inlineStr">
        <is>
          <t>Övriga Aktiebolag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29449-2019</t>
        </is>
      </c>
      <c r="B893" s="1" t="n">
        <v>43629</v>
      </c>
      <c r="C893" s="1" t="n">
        <v>45182</v>
      </c>
      <c r="D893" t="inlineStr">
        <is>
          <t>SÖDERMANLANDS LÄN</t>
        </is>
      </c>
      <c r="E893" t="inlineStr">
        <is>
          <t>ESKILSTUNA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29235-2019</t>
        </is>
      </c>
      <c r="B894" s="1" t="n">
        <v>43629</v>
      </c>
      <c r="C894" s="1" t="n">
        <v>45182</v>
      </c>
      <c r="D894" t="inlineStr">
        <is>
          <t>SÖDERMANLANDS LÄN</t>
        </is>
      </c>
      <c r="E894" t="inlineStr">
        <is>
          <t>ESKILSTUNA</t>
        </is>
      </c>
      <c r="F894" t="inlineStr">
        <is>
          <t>Sveaskog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29258-2019</t>
        </is>
      </c>
      <c r="B895" s="1" t="n">
        <v>43629</v>
      </c>
      <c r="C895" s="1" t="n">
        <v>45182</v>
      </c>
      <c r="D895" t="inlineStr">
        <is>
          <t>SÖDERMANLANDS LÄN</t>
        </is>
      </c>
      <c r="E895" t="inlineStr">
        <is>
          <t>VINGÅKER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30025-2019</t>
        </is>
      </c>
      <c r="B896" s="1" t="n">
        <v>43630</v>
      </c>
      <c r="C896" s="1" t="n">
        <v>45182</v>
      </c>
      <c r="D896" t="inlineStr">
        <is>
          <t>SÖDERMANLANDS LÄN</t>
        </is>
      </c>
      <c r="E896" t="inlineStr">
        <is>
          <t>NYKÖPING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29977-2019</t>
        </is>
      </c>
      <c r="B897" s="1" t="n">
        <v>43630</v>
      </c>
      <c r="C897" s="1" t="n">
        <v>45182</v>
      </c>
      <c r="D897" t="inlineStr">
        <is>
          <t>SÖDERMANLANDS LÄN</t>
        </is>
      </c>
      <c r="E897" t="inlineStr">
        <is>
          <t>FLEN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30604-2019</t>
        </is>
      </c>
      <c r="B898" s="1" t="n">
        <v>43635</v>
      </c>
      <c r="C898" s="1" t="n">
        <v>45182</v>
      </c>
      <c r="D898" t="inlineStr">
        <is>
          <t>SÖDERMANLANDS LÄN</t>
        </is>
      </c>
      <c r="E898" t="inlineStr">
        <is>
          <t>KATRINEHOLM</t>
        </is>
      </c>
      <c r="G898" t="n">
        <v>5.4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30492-2019</t>
        </is>
      </c>
      <c r="B899" s="1" t="n">
        <v>43635</v>
      </c>
      <c r="C899" s="1" t="n">
        <v>45182</v>
      </c>
      <c r="D899" t="inlineStr">
        <is>
          <t>SÖDERMANLANDS LÄN</t>
        </is>
      </c>
      <c r="E899" t="inlineStr">
        <is>
          <t>FLEN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30646-2019</t>
        </is>
      </c>
      <c r="B900" s="1" t="n">
        <v>43636</v>
      </c>
      <c r="C900" s="1" t="n">
        <v>45182</v>
      </c>
      <c r="D900" t="inlineStr">
        <is>
          <t>SÖDERMANLANDS LÄN</t>
        </is>
      </c>
      <c r="E900" t="inlineStr">
        <is>
          <t>STRÄNGNÄS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30669-2019</t>
        </is>
      </c>
      <c r="B901" s="1" t="n">
        <v>43636</v>
      </c>
      <c r="C901" s="1" t="n">
        <v>45182</v>
      </c>
      <c r="D901" t="inlineStr">
        <is>
          <t>SÖDERMANLANDS LÄN</t>
        </is>
      </c>
      <c r="E901" t="inlineStr">
        <is>
          <t>STRÄNGNÄS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30872-2019</t>
        </is>
      </c>
      <c r="B902" s="1" t="n">
        <v>43636</v>
      </c>
      <c r="C902" s="1" t="n">
        <v>45182</v>
      </c>
      <c r="D902" t="inlineStr">
        <is>
          <t>SÖDERMANLANDS LÄN</t>
        </is>
      </c>
      <c r="E902" t="inlineStr">
        <is>
          <t>FLEN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30692-2019</t>
        </is>
      </c>
      <c r="B903" s="1" t="n">
        <v>43636</v>
      </c>
      <c r="C903" s="1" t="n">
        <v>45182</v>
      </c>
      <c r="D903" t="inlineStr">
        <is>
          <t>SÖDERMANLANDS LÄN</t>
        </is>
      </c>
      <c r="E903" t="inlineStr">
        <is>
          <t>STRÄNGNÄS</t>
        </is>
      </c>
      <c r="G903" t="n">
        <v>2.8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31388-2019</t>
        </is>
      </c>
      <c r="B904" s="1" t="n">
        <v>43636</v>
      </c>
      <c r="C904" s="1" t="n">
        <v>45182</v>
      </c>
      <c r="D904" t="inlineStr">
        <is>
          <t>SÖDERMANLANDS LÄN</t>
        </is>
      </c>
      <c r="E904" t="inlineStr">
        <is>
          <t>STRÄNGNÄS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31835-2019</t>
        </is>
      </c>
      <c r="B905" s="1" t="n">
        <v>43640</v>
      </c>
      <c r="C905" s="1" t="n">
        <v>45182</v>
      </c>
      <c r="D905" t="inlineStr">
        <is>
          <t>SÖDERMANLANDS LÄN</t>
        </is>
      </c>
      <c r="E905" t="inlineStr">
        <is>
          <t>VINGÅKER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31492-2019</t>
        </is>
      </c>
      <c r="B906" s="1" t="n">
        <v>43640</v>
      </c>
      <c r="C906" s="1" t="n">
        <v>45182</v>
      </c>
      <c r="D906" t="inlineStr">
        <is>
          <t>SÖDERMANLANDS LÄN</t>
        </is>
      </c>
      <c r="E906" t="inlineStr">
        <is>
          <t>ESKILSTUNA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31832-2019</t>
        </is>
      </c>
      <c r="B907" s="1" t="n">
        <v>43640</v>
      </c>
      <c r="C907" s="1" t="n">
        <v>45182</v>
      </c>
      <c r="D907" t="inlineStr">
        <is>
          <t>SÖDERMANLANDS LÄN</t>
        </is>
      </c>
      <c r="E907" t="inlineStr">
        <is>
          <t>VINGÅKER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30982-2019</t>
        </is>
      </c>
      <c r="B908" s="1" t="n">
        <v>43640</v>
      </c>
      <c r="C908" s="1" t="n">
        <v>45182</v>
      </c>
      <c r="D908" t="inlineStr">
        <is>
          <t>SÖDERMANLANDS LÄN</t>
        </is>
      </c>
      <c r="E908" t="inlineStr">
        <is>
          <t>NYKÖPING</t>
        </is>
      </c>
      <c r="F908" t="inlineStr">
        <is>
          <t>Sveaskog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31818-2019</t>
        </is>
      </c>
      <c r="B909" s="1" t="n">
        <v>43640</v>
      </c>
      <c r="C909" s="1" t="n">
        <v>45182</v>
      </c>
      <c r="D909" t="inlineStr">
        <is>
          <t>SÖDERMANLANDS LÄN</t>
        </is>
      </c>
      <c r="E909" t="inlineStr">
        <is>
          <t>VINGÅKER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32196-2019</t>
        </is>
      </c>
      <c r="B910" s="1" t="n">
        <v>43643</v>
      </c>
      <c r="C910" s="1" t="n">
        <v>45182</v>
      </c>
      <c r="D910" t="inlineStr">
        <is>
          <t>SÖDERMANLANDS LÄN</t>
        </is>
      </c>
      <c r="E910" t="inlineStr">
        <is>
          <t>STRÄNGNÄS</t>
        </is>
      </c>
      <c r="F910" t="inlineStr">
        <is>
          <t>Övriga Aktiebolag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32047-2019</t>
        </is>
      </c>
      <c r="B911" s="1" t="n">
        <v>43643</v>
      </c>
      <c r="C911" s="1" t="n">
        <v>45182</v>
      </c>
      <c r="D911" t="inlineStr">
        <is>
          <t>SÖDERMANLANDS LÄN</t>
        </is>
      </c>
      <c r="E911" t="inlineStr">
        <is>
          <t>ESKILSTUNA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32804-2019</t>
        </is>
      </c>
      <c r="B912" s="1" t="n">
        <v>43643</v>
      </c>
      <c r="C912" s="1" t="n">
        <v>45182</v>
      </c>
      <c r="D912" t="inlineStr">
        <is>
          <t>SÖDERMANLANDS LÄN</t>
        </is>
      </c>
      <c r="E912" t="inlineStr">
        <is>
          <t>NYKÖPING</t>
        </is>
      </c>
      <c r="G912" t="n">
        <v>4.1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32070-2019</t>
        </is>
      </c>
      <c r="B913" s="1" t="n">
        <v>43643</v>
      </c>
      <c r="C913" s="1" t="n">
        <v>45182</v>
      </c>
      <c r="D913" t="inlineStr">
        <is>
          <t>SÖDERMANLANDS LÄN</t>
        </is>
      </c>
      <c r="E913" t="inlineStr">
        <is>
          <t>FLEN</t>
        </is>
      </c>
      <c r="G913" t="n">
        <v>9.9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32189-2019</t>
        </is>
      </c>
      <c r="B914" s="1" t="n">
        <v>43643</v>
      </c>
      <c r="C914" s="1" t="n">
        <v>45182</v>
      </c>
      <c r="D914" t="inlineStr">
        <is>
          <t>SÖDERMANLANDS LÄN</t>
        </is>
      </c>
      <c r="E914" t="inlineStr">
        <is>
          <t>TROSA</t>
        </is>
      </c>
      <c r="G914" t="n">
        <v>17.1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32926-2019</t>
        </is>
      </c>
      <c r="B915" s="1" t="n">
        <v>43643</v>
      </c>
      <c r="C915" s="1" t="n">
        <v>45182</v>
      </c>
      <c r="D915" t="inlineStr">
        <is>
          <t>SÖDERMANLANDS LÄN</t>
        </is>
      </c>
      <c r="E915" t="inlineStr">
        <is>
          <t>NYKÖPING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32194-2019</t>
        </is>
      </c>
      <c r="B916" s="1" t="n">
        <v>43643</v>
      </c>
      <c r="C916" s="1" t="n">
        <v>45182</v>
      </c>
      <c r="D916" t="inlineStr">
        <is>
          <t>SÖDERMANLANDS LÄN</t>
        </is>
      </c>
      <c r="E916" t="inlineStr">
        <is>
          <t>KATRINEHOLM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32889-2019</t>
        </is>
      </c>
      <c r="B917" s="1" t="n">
        <v>43643</v>
      </c>
      <c r="C917" s="1" t="n">
        <v>45182</v>
      </c>
      <c r="D917" t="inlineStr">
        <is>
          <t>SÖDERMANLANDS LÄN</t>
        </is>
      </c>
      <c r="E917" t="inlineStr">
        <is>
          <t>FLEN</t>
        </is>
      </c>
      <c r="G917" t="n">
        <v>16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32931-2019</t>
        </is>
      </c>
      <c r="B918" s="1" t="n">
        <v>43643</v>
      </c>
      <c r="C918" s="1" t="n">
        <v>45182</v>
      </c>
      <c r="D918" t="inlineStr">
        <is>
          <t>SÖDERMANLANDS LÄN</t>
        </is>
      </c>
      <c r="E918" t="inlineStr">
        <is>
          <t>NYKÖPING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34203-2019</t>
        </is>
      </c>
      <c r="B919" s="1" t="n">
        <v>43644</v>
      </c>
      <c r="C919" s="1" t="n">
        <v>45182</v>
      </c>
      <c r="D919" t="inlineStr">
        <is>
          <t>SÖDERMANLANDS LÄN</t>
        </is>
      </c>
      <c r="E919" t="inlineStr">
        <is>
          <t>STRÄNGNÄS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34199-2019</t>
        </is>
      </c>
      <c r="B920" s="1" t="n">
        <v>43644</v>
      </c>
      <c r="C920" s="1" t="n">
        <v>45182</v>
      </c>
      <c r="D920" t="inlineStr">
        <is>
          <t>SÖDERMANLANDS LÄN</t>
        </is>
      </c>
      <c r="E920" t="inlineStr">
        <is>
          <t>STRÄNGNÄS</t>
        </is>
      </c>
      <c r="G920" t="n">
        <v>7.6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32353-2019</t>
        </is>
      </c>
      <c r="B921" s="1" t="n">
        <v>43644</v>
      </c>
      <c r="C921" s="1" t="n">
        <v>45182</v>
      </c>
      <c r="D921" t="inlineStr">
        <is>
          <t>SÖDERMANLANDS LÄN</t>
        </is>
      </c>
      <c r="E921" t="inlineStr">
        <is>
          <t>NYKÖPING</t>
        </is>
      </c>
      <c r="G921" t="n">
        <v>10.2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34148-2019</t>
        </is>
      </c>
      <c r="B922" s="1" t="n">
        <v>43644</v>
      </c>
      <c r="C922" s="1" t="n">
        <v>45182</v>
      </c>
      <c r="D922" t="inlineStr">
        <is>
          <t>SÖDERMANLANDS LÄN</t>
        </is>
      </c>
      <c r="E922" t="inlineStr">
        <is>
          <t>STRÄNGNÄS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32555-2019</t>
        </is>
      </c>
      <c r="B923" s="1" t="n">
        <v>43645</v>
      </c>
      <c r="C923" s="1" t="n">
        <v>45182</v>
      </c>
      <c r="D923" t="inlineStr">
        <is>
          <t>SÖDERMANLANDS LÄN</t>
        </is>
      </c>
      <c r="E923" t="inlineStr">
        <is>
          <t>KATRINEHOLM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32789-2019</t>
        </is>
      </c>
      <c r="B924" s="1" t="n">
        <v>43648</v>
      </c>
      <c r="C924" s="1" t="n">
        <v>45182</v>
      </c>
      <c r="D924" t="inlineStr">
        <is>
          <t>SÖDERMANLANDS LÄN</t>
        </is>
      </c>
      <c r="E924" t="inlineStr">
        <is>
          <t>VINGÅKER</t>
        </is>
      </c>
      <c r="G924" t="n">
        <v>2.4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32870-2019</t>
        </is>
      </c>
      <c r="B925" s="1" t="n">
        <v>43648</v>
      </c>
      <c r="C925" s="1" t="n">
        <v>45182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33000-2019</t>
        </is>
      </c>
      <c r="B926" s="1" t="n">
        <v>43649</v>
      </c>
      <c r="C926" s="1" t="n">
        <v>45182</v>
      </c>
      <c r="D926" t="inlineStr">
        <is>
          <t>SÖDERMANLANDS LÄN</t>
        </is>
      </c>
      <c r="E926" t="inlineStr">
        <is>
          <t>STRÄNGNÄS</t>
        </is>
      </c>
      <c r="F926" t="inlineStr">
        <is>
          <t>Övriga Aktiebolag</t>
        </is>
      </c>
      <c r="G926" t="n">
        <v>8.1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33074-2019</t>
        </is>
      </c>
      <c r="B927" s="1" t="n">
        <v>43649</v>
      </c>
      <c r="C927" s="1" t="n">
        <v>45182</v>
      </c>
      <c r="D927" t="inlineStr">
        <is>
          <t>SÖDERMANLANDS LÄN</t>
        </is>
      </c>
      <c r="E927" t="inlineStr">
        <is>
          <t>STRÄNGNÄS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33113-2019</t>
        </is>
      </c>
      <c r="B928" s="1" t="n">
        <v>43649</v>
      </c>
      <c r="C928" s="1" t="n">
        <v>45182</v>
      </c>
      <c r="D928" t="inlineStr">
        <is>
          <t>SÖDERMANLANDS LÄN</t>
        </is>
      </c>
      <c r="E928" t="inlineStr">
        <is>
          <t>STRÄNGNÄS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33397-2019</t>
        </is>
      </c>
      <c r="B929" s="1" t="n">
        <v>43650</v>
      </c>
      <c r="C929" s="1" t="n">
        <v>45182</v>
      </c>
      <c r="D929" t="inlineStr">
        <is>
          <t>SÖDERMANLANDS LÄN</t>
        </is>
      </c>
      <c r="E929" t="inlineStr">
        <is>
          <t>TROSA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34856-2019</t>
        </is>
      </c>
      <c r="B930" s="1" t="n">
        <v>43650</v>
      </c>
      <c r="C930" s="1" t="n">
        <v>45182</v>
      </c>
      <c r="D930" t="inlineStr">
        <is>
          <t>SÖDERMANLANDS LÄN</t>
        </is>
      </c>
      <c r="E930" t="inlineStr">
        <is>
          <t>KATRINEHOLM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33315-2019</t>
        </is>
      </c>
      <c r="B931" s="1" t="n">
        <v>43650</v>
      </c>
      <c r="C931" s="1" t="n">
        <v>45182</v>
      </c>
      <c r="D931" t="inlineStr">
        <is>
          <t>SÖDERMANLANDS LÄN</t>
        </is>
      </c>
      <c r="E931" t="inlineStr">
        <is>
          <t>NYKÖPING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33364-2019</t>
        </is>
      </c>
      <c r="B932" s="1" t="n">
        <v>43650</v>
      </c>
      <c r="C932" s="1" t="n">
        <v>45182</v>
      </c>
      <c r="D932" t="inlineStr">
        <is>
          <t>SÖDERMANLANDS LÄN</t>
        </is>
      </c>
      <c r="E932" t="inlineStr">
        <is>
          <t>NYKÖPING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33490-2019</t>
        </is>
      </c>
      <c r="B933" s="1" t="n">
        <v>43651</v>
      </c>
      <c r="C933" s="1" t="n">
        <v>45182</v>
      </c>
      <c r="D933" t="inlineStr">
        <is>
          <t>SÖDERMANLANDS LÄN</t>
        </is>
      </c>
      <c r="E933" t="inlineStr">
        <is>
          <t>ESKILSTUNA</t>
        </is>
      </c>
      <c r="F933" t="inlineStr">
        <is>
          <t>Allmännings- och besparingsskogar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33819-2019</t>
        </is>
      </c>
      <c r="B934" s="1" t="n">
        <v>43651</v>
      </c>
      <c r="C934" s="1" t="n">
        <v>45182</v>
      </c>
      <c r="D934" t="inlineStr">
        <is>
          <t>SÖDERMANLANDS LÄN</t>
        </is>
      </c>
      <c r="E934" t="inlineStr">
        <is>
          <t>VINGÅKER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33804-2019</t>
        </is>
      </c>
      <c r="B935" s="1" t="n">
        <v>43651</v>
      </c>
      <c r="C935" s="1" t="n">
        <v>45182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4.4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33488-2019</t>
        </is>
      </c>
      <c r="B936" s="1" t="n">
        <v>43651</v>
      </c>
      <c r="C936" s="1" t="n">
        <v>45182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20.1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33760-2019</t>
        </is>
      </c>
      <c r="B937" s="1" t="n">
        <v>43651</v>
      </c>
      <c r="C937" s="1" t="n">
        <v>45182</v>
      </c>
      <c r="D937" t="inlineStr">
        <is>
          <t>SÖDERMANLANDS LÄN</t>
        </is>
      </c>
      <c r="E937" t="inlineStr">
        <is>
          <t>STRÄNGNÄS</t>
        </is>
      </c>
      <c r="F937" t="inlineStr">
        <is>
          <t>Allmännings- och besparingsskogar</t>
        </is>
      </c>
      <c r="G937" t="n">
        <v>15.1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33489-2019</t>
        </is>
      </c>
      <c r="B938" s="1" t="n">
        <v>43651</v>
      </c>
      <c r="C938" s="1" t="n">
        <v>45182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35468-2019</t>
        </is>
      </c>
      <c r="B939" s="1" t="n">
        <v>43651</v>
      </c>
      <c r="C939" s="1" t="n">
        <v>45182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Kommuner</t>
        </is>
      </c>
      <c r="G939" t="n">
        <v>3.3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33968-2019</t>
        </is>
      </c>
      <c r="B940" s="1" t="n">
        <v>43654</v>
      </c>
      <c r="C940" s="1" t="n">
        <v>45182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35428-2019</t>
        </is>
      </c>
      <c r="B941" s="1" t="n">
        <v>43654</v>
      </c>
      <c r="C941" s="1" t="n">
        <v>45182</v>
      </c>
      <c r="D941" t="inlineStr">
        <is>
          <t>SÖDERMANLANDS LÄN</t>
        </is>
      </c>
      <c r="E941" t="inlineStr">
        <is>
          <t>KATRINEHOLM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35583-2019</t>
        </is>
      </c>
      <c r="B942" s="1" t="n">
        <v>43655</v>
      </c>
      <c r="C942" s="1" t="n">
        <v>45182</v>
      </c>
      <c r="D942" t="inlineStr">
        <is>
          <t>SÖDERMANLANDS LÄN</t>
        </is>
      </c>
      <c r="E942" t="inlineStr">
        <is>
          <t>FLEN</t>
        </is>
      </c>
      <c r="G942" t="n">
        <v>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34226-2019</t>
        </is>
      </c>
      <c r="B943" s="1" t="n">
        <v>43655</v>
      </c>
      <c r="C943" s="1" t="n">
        <v>45182</v>
      </c>
      <c r="D943" t="inlineStr">
        <is>
          <t>SÖDERMANLANDS LÄN</t>
        </is>
      </c>
      <c r="E943" t="inlineStr">
        <is>
          <t>VINGÅKER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35802-2019</t>
        </is>
      </c>
      <c r="B944" s="1" t="n">
        <v>43656</v>
      </c>
      <c r="C944" s="1" t="n">
        <v>45182</v>
      </c>
      <c r="D944" t="inlineStr">
        <is>
          <t>SÖDERMANLANDS LÄN</t>
        </is>
      </c>
      <c r="E944" t="inlineStr">
        <is>
          <t>VINGÅKER</t>
        </is>
      </c>
      <c r="G944" t="n">
        <v>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35796-2019</t>
        </is>
      </c>
      <c r="B945" s="1" t="n">
        <v>43656</v>
      </c>
      <c r="C945" s="1" t="n">
        <v>45182</v>
      </c>
      <c r="D945" t="inlineStr">
        <is>
          <t>SÖDERMANLANDS LÄN</t>
        </is>
      </c>
      <c r="E945" t="inlineStr">
        <is>
          <t>VINGÅKER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35864-2019</t>
        </is>
      </c>
      <c r="B946" s="1" t="n">
        <v>43656</v>
      </c>
      <c r="C946" s="1" t="n">
        <v>45182</v>
      </c>
      <c r="D946" t="inlineStr">
        <is>
          <t>SÖDERMANLANDS LÄN</t>
        </is>
      </c>
      <c r="E946" t="inlineStr">
        <is>
          <t>ESKILSTUNA</t>
        </is>
      </c>
      <c r="G946" t="n">
        <v>5.6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34606-2019</t>
        </is>
      </c>
      <c r="B947" s="1" t="n">
        <v>43657</v>
      </c>
      <c r="C947" s="1" t="n">
        <v>45182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34988-2019</t>
        </is>
      </c>
      <c r="B948" s="1" t="n">
        <v>43659</v>
      </c>
      <c r="C948" s="1" t="n">
        <v>45182</v>
      </c>
      <c r="D948" t="inlineStr">
        <is>
          <t>SÖDERMANLANDS LÄN</t>
        </is>
      </c>
      <c r="E948" t="inlineStr">
        <is>
          <t>FLEN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36250-2019</t>
        </is>
      </c>
      <c r="B949" s="1" t="n">
        <v>43660</v>
      </c>
      <c r="C949" s="1" t="n">
        <v>45182</v>
      </c>
      <c r="D949" t="inlineStr">
        <is>
          <t>SÖDERMANLANDS LÄN</t>
        </is>
      </c>
      <c r="E949" t="inlineStr">
        <is>
          <t>KATRINEHOLM</t>
        </is>
      </c>
      <c r="G949" t="n">
        <v>5.4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36280-2019</t>
        </is>
      </c>
      <c r="B950" s="1" t="n">
        <v>43661</v>
      </c>
      <c r="C950" s="1" t="n">
        <v>45182</v>
      </c>
      <c r="D950" t="inlineStr">
        <is>
          <t>SÖDERMANLANDS LÄN</t>
        </is>
      </c>
      <c r="E950" t="inlineStr">
        <is>
          <t>KATRINEHOLM</t>
        </is>
      </c>
      <c r="G950" t="n">
        <v>2.7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35086-2019</t>
        </is>
      </c>
      <c r="B951" s="1" t="n">
        <v>43661</v>
      </c>
      <c r="C951" s="1" t="n">
        <v>45182</v>
      </c>
      <c r="D951" t="inlineStr">
        <is>
          <t>SÖDERMANLANDS LÄN</t>
        </is>
      </c>
      <c r="E951" t="inlineStr">
        <is>
          <t>FLEN</t>
        </is>
      </c>
      <c r="F951" t="inlineStr">
        <is>
          <t>Övriga statliga verk och myndigheter</t>
        </is>
      </c>
      <c r="G951" t="n">
        <v>1.9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35145-2019</t>
        </is>
      </c>
      <c r="B952" s="1" t="n">
        <v>43661</v>
      </c>
      <c r="C952" s="1" t="n">
        <v>45182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Övriga Aktiebolag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35182-2019</t>
        </is>
      </c>
      <c r="B953" s="1" t="n">
        <v>43661</v>
      </c>
      <c r="C953" s="1" t="n">
        <v>45182</v>
      </c>
      <c r="D953" t="inlineStr">
        <is>
          <t>SÖDERMANLANDS LÄN</t>
        </is>
      </c>
      <c r="E953" t="inlineStr">
        <is>
          <t>FLEN</t>
        </is>
      </c>
      <c r="G953" t="n">
        <v>5.1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35061-2019</t>
        </is>
      </c>
      <c r="B954" s="1" t="n">
        <v>43661</v>
      </c>
      <c r="C954" s="1" t="n">
        <v>45182</v>
      </c>
      <c r="D954" t="inlineStr">
        <is>
          <t>SÖDERMANLANDS LÄN</t>
        </is>
      </c>
      <c r="E954" t="inlineStr">
        <is>
          <t>GNESTA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35155-2019</t>
        </is>
      </c>
      <c r="B955" s="1" t="n">
        <v>43661</v>
      </c>
      <c r="C955" s="1" t="n">
        <v>45182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35052-2019</t>
        </is>
      </c>
      <c r="B956" s="1" t="n">
        <v>43661</v>
      </c>
      <c r="C956" s="1" t="n">
        <v>45182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35140-2019</t>
        </is>
      </c>
      <c r="B957" s="1" t="n">
        <v>43661</v>
      </c>
      <c r="C957" s="1" t="n">
        <v>45182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36279-2019</t>
        </is>
      </c>
      <c r="B958" s="1" t="n">
        <v>43661</v>
      </c>
      <c r="C958" s="1" t="n">
        <v>45182</v>
      </c>
      <c r="D958" t="inlineStr">
        <is>
          <t>SÖDERMANLANDS LÄN</t>
        </is>
      </c>
      <c r="E958" t="inlineStr">
        <is>
          <t>KATRINEHOLM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35293-2019</t>
        </is>
      </c>
      <c r="B959" s="1" t="n">
        <v>43662</v>
      </c>
      <c r="C959" s="1" t="n">
        <v>45182</v>
      </c>
      <c r="D959" t="inlineStr">
        <is>
          <t>SÖDERMANLANDS LÄN</t>
        </is>
      </c>
      <c r="E959" t="inlineStr">
        <is>
          <t>ESKILSTUNA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35432-2019</t>
        </is>
      </c>
      <c r="B960" s="1" t="n">
        <v>43663</v>
      </c>
      <c r="C960" s="1" t="n">
        <v>45182</v>
      </c>
      <c r="D960" t="inlineStr">
        <is>
          <t>SÖDERMANLANDS LÄN</t>
        </is>
      </c>
      <c r="E960" t="inlineStr">
        <is>
          <t>KATRINEHOLM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35702-2019</t>
        </is>
      </c>
      <c r="B961" s="1" t="n">
        <v>43664</v>
      </c>
      <c r="C961" s="1" t="n">
        <v>45182</v>
      </c>
      <c r="D961" t="inlineStr">
        <is>
          <t>SÖDERMANLANDS LÄN</t>
        </is>
      </c>
      <c r="E961" t="inlineStr">
        <is>
          <t>FLEN</t>
        </is>
      </c>
      <c r="G961" t="n">
        <v>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35590-2019</t>
        </is>
      </c>
      <c r="B962" s="1" t="n">
        <v>43664</v>
      </c>
      <c r="C962" s="1" t="n">
        <v>45182</v>
      </c>
      <c r="D962" t="inlineStr">
        <is>
          <t>SÖDERMANLANDS LÄN</t>
        </is>
      </c>
      <c r="E962" t="inlineStr">
        <is>
          <t>NYKÖPING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36449-2019</t>
        </is>
      </c>
      <c r="B963" s="1" t="n">
        <v>43664</v>
      </c>
      <c r="C963" s="1" t="n">
        <v>45182</v>
      </c>
      <c r="D963" t="inlineStr">
        <is>
          <t>SÖDERMANLANDS LÄN</t>
        </is>
      </c>
      <c r="E963" t="inlineStr">
        <is>
          <t>STRÄNGNÄS</t>
        </is>
      </c>
      <c r="G963" t="n">
        <v>12.2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36478-2019</t>
        </is>
      </c>
      <c r="B964" s="1" t="n">
        <v>43664</v>
      </c>
      <c r="C964" s="1" t="n">
        <v>45182</v>
      </c>
      <c r="D964" t="inlineStr">
        <is>
          <t>SÖDERMANLANDS LÄN</t>
        </is>
      </c>
      <c r="E964" t="inlineStr">
        <is>
          <t>ESKILSTUNA</t>
        </is>
      </c>
      <c r="G964" t="n">
        <v>16.6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35773-2019</t>
        </is>
      </c>
      <c r="B965" s="1" t="n">
        <v>43665</v>
      </c>
      <c r="C965" s="1" t="n">
        <v>45182</v>
      </c>
      <c r="D965" t="inlineStr">
        <is>
          <t>SÖDERMANLANDS LÄN</t>
        </is>
      </c>
      <c r="E965" t="inlineStr">
        <is>
          <t>VINGÅKER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35784-2019</t>
        </is>
      </c>
      <c r="B966" s="1" t="n">
        <v>43665</v>
      </c>
      <c r="C966" s="1" t="n">
        <v>45182</v>
      </c>
      <c r="D966" t="inlineStr">
        <is>
          <t>SÖDERMANLANDS LÄN</t>
        </is>
      </c>
      <c r="E966" t="inlineStr">
        <is>
          <t>KATRINEHOLM</t>
        </is>
      </c>
      <c r="G966" t="n">
        <v>1.3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35982-2019</t>
        </is>
      </c>
      <c r="B967" s="1" t="n">
        <v>43667</v>
      </c>
      <c r="C967" s="1" t="n">
        <v>45182</v>
      </c>
      <c r="D967" t="inlineStr">
        <is>
          <t>SÖDERMANLANDS LÄN</t>
        </is>
      </c>
      <c r="E967" t="inlineStr">
        <is>
          <t>ESKILSTUNA</t>
        </is>
      </c>
      <c r="G967" t="n">
        <v>6.2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35985-2019</t>
        </is>
      </c>
      <c r="B968" s="1" t="n">
        <v>43667</v>
      </c>
      <c r="C968" s="1" t="n">
        <v>45182</v>
      </c>
      <c r="D968" t="inlineStr">
        <is>
          <t>SÖDERMANLANDS LÄN</t>
        </is>
      </c>
      <c r="E968" t="inlineStr">
        <is>
          <t>ESKILSTUNA</t>
        </is>
      </c>
      <c r="G968" t="n">
        <v>2.4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36098-2019</t>
        </is>
      </c>
      <c r="B969" s="1" t="n">
        <v>43668</v>
      </c>
      <c r="C969" s="1" t="n">
        <v>45182</v>
      </c>
      <c r="D969" t="inlineStr">
        <is>
          <t>SÖDERMANLANDS LÄN</t>
        </is>
      </c>
      <c r="E969" t="inlineStr">
        <is>
          <t>STRÄNGNÄS</t>
        </is>
      </c>
      <c r="G969" t="n">
        <v>7.2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36152-2019</t>
        </is>
      </c>
      <c r="B970" s="1" t="n">
        <v>43668</v>
      </c>
      <c r="C970" s="1" t="n">
        <v>45182</v>
      </c>
      <c r="D970" t="inlineStr">
        <is>
          <t>SÖDERMANLANDS LÄN</t>
        </is>
      </c>
      <c r="E970" t="inlineStr">
        <is>
          <t>FLEN</t>
        </is>
      </c>
      <c r="F970" t="inlineStr">
        <is>
          <t>Holmen skog AB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36613-2019</t>
        </is>
      </c>
      <c r="B971" s="1" t="n">
        <v>43669</v>
      </c>
      <c r="C971" s="1" t="n">
        <v>45182</v>
      </c>
      <c r="D971" t="inlineStr">
        <is>
          <t>SÖDERMANLANDS LÄN</t>
        </is>
      </c>
      <c r="E971" t="inlineStr">
        <is>
          <t>KATRINEHOLM</t>
        </is>
      </c>
      <c r="G971" t="n">
        <v>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36225-2019</t>
        </is>
      </c>
      <c r="B972" s="1" t="n">
        <v>43669</v>
      </c>
      <c r="C972" s="1" t="n">
        <v>45182</v>
      </c>
      <c r="D972" t="inlineStr">
        <is>
          <t>SÖDERMANLANDS LÄN</t>
        </is>
      </c>
      <c r="E972" t="inlineStr">
        <is>
          <t>FLEN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36582-2019</t>
        </is>
      </c>
      <c r="B973" s="1" t="n">
        <v>43669</v>
      </c>
      <c r="C973" s="1" t="n">
        <v>45182</v>
      </c>
      <c r="D973" t="inlineStr">
        <is>
          <t>SÖDERMANLANDS LÄN</t>
        </is>
      </c>
      <c r="E973" t="inlineStr">
        <is>
          <t>NYKÖPING</t>
        </is>
      </c>
      <c r="G973" t="n">
        <v>6.1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36612-2019</t>
        </is>
      </c>
      <c r="B974" s="1" t="n">
        <v>43669</v>
      </c>
      <c r="C974" s="1" t="n">
        <v>45182</v>
      </c>
      <c r="D974" t="inlineStr">
        <is>
          <t>SÖDERMANLANDS LÄN</t>
        </is>
      </c>
      <c r="E974" t="inlineStr">
        <is>
          <t>FLEN</t>
        </is>
      </c>
      <c r="G974" t="n">
        <v>4.8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36619-2019</t>
        </is>
      </c>
      <c r="B975" s="1" t="n">
        <v>43669</v>
      </c>
      <c r="C975" s="1" t="n">
        <v>45182</v>
      </c>
      <c r="D975" t="inlineStr">
        <is>
          <t>SÖDERMANLANDS LÄN</t>
        </is>
      </c>
      <c r="E975" t="inlineStr">
        <is>
          <t>FLEN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36223-2019</t>
        </is>
      </c>
      <c r="B976" s="1" t="n">
        <v>43669</v>
      </c>
      <c r="C976" s="1" t="n">
        <v>45182</v>
      </c>
      <c r="D976" t="inlineStr">
        <is>
          <t>SÖDERMANLANDS LÄN</t>
        </is>
      </c>
      <c r="E976" t="inlineStr">
        <is>
          <t>FLEN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36603-2019</t>
        </is>
      </c>
      <c r="B977" s="1" t="n">
        <v>43669</v>
      </c>
      <c r="C977" s="1" t="n">
        <v>45182</v>
      </c>
      <c r="D977" t="inlineStr">
        <is>
          <t>SÖDERMANLANDS LÄN</t>
        </is>
      </c>
      <c r="E977" t="inlineStr">
        <is>
          <t>KATRINEHOLM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36408-2019</t>
        </is>
      </c>
      <c r="B978" s="1" t="n">
        <v>43670</v>
      </c>
      <c r="C978" s="1" t="n">
        <v>45182</v>
      </c>
      <c r="D978" t="inlineStr">
        <is>
          <t>SÖDERMANLANDS LÄN</t>
        </is>
      </c>
      <c r="E978" t="inlineStr">
        <is>
          <t>KATRINEHOLM</t>
        </is>
      </c>
      <c r="G978" t="n">
        <v>13.6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36479-2019</t>
        </is>
      </c>
      <c r="B979" s="1" t="n">
        <v>43670</v>
      </c>
      <c r="C979" s="1" t="n">
        <v>45182</v>
      </c>
      <c r="D979" t="inlineStr">
        <is>
          <t>SÖDERMANLANDS LÄN</t>
        </is>
      </c>
      <c r="E979" t="inlineStr">
        <is>
          <t>VINGÅKER</t>
        </is>
      </c>
      <c r="G979" t="n">
        <v>4.5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36780-2019</t>
        </is>
      </c>
      <c r="B980" s="1" t="n">
        <v>43672</v>
      </c>
      <c r="C980" s="1" t="n">
        <v>45182</v>
      </c>
      <c r="D980" t="inlineStr">
        <is>
          <t>SÖDERMANLANDS LÄN</t>
        </is>
      </c>
      <c r="E980" t="inlineStr">
        <is>
          <t>KATRINEHOLM</t>
        </is>
      </c>
      <c r="G980" t="n">
        <v>0.4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36901-2019</t>
        </is>
      </c>
      <c r="B981" s="1" t="n">
        <v>43675</v>
      </c>
      <c r="C981" s="1" t="n">
        <v>45182</v>
      </c>
      <c r="D981" t="inlineStr">
        <is>
          <t>SÖDERMANLANDS LÄN</t>
        </is>
      </c>
      <c r="E981" t="inlineStr">
        <is>
          <t>FLEN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36994-2019</t>
        </is>
      </c>
      <c r="B982" s="1" t="n">
        <v>43676</v>
      </c>
      <c r="C982" s="1" t="n">
        <v>45182</v>
      </c>
      <c r="D982" t="inlineStr">
        <is>
          <t>SÖDERMANLANDS LÄN</t>
        </is>
      </c>
      <c r="E982" t="inlineStr">
        <is>
          <t>FLEN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36978-2019</t>
        </is>
      </c>
      <c r="B983" s="1" t="n">
        <v>43676</v>
      </c>
      <c r="C983" s="1" t="n">
        <v>45182</v>
      </c>
      <c r="D983" t="inlineStr">
        <is>
          <t>SÖDERMANLANDS LÄN</t>
        </is>
      </c>
      <c r="E983" t="inlineStr">
        <is>
          <t>FLEN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37062-2019</t>
        </is>
      </c>
      <c r="B984" s="1" t="n">
        <v>43676</v>
      </c>
      <c r="C984" s="1" t="n">
        <v>45182</v>
      </c>
      <c r="D984" t="inlineStr">
        <is>
          <t>SÖDERMANLANDS LÄN</t>
        </is>
      </c>
      <c r="E984" t="inlineStr">
        <is>
          <t>VINGÅKER</t>
        </is>
      </c>
      <c r="G984" t="n">
        <v>6.7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37255-2019</t>
        </is>
      </c>
      <c r="B985" s="1" t="n">
        <v>43677</v>
      </c>
      <c r="C985" s="1" t="n">
        <v>45182</v>
      </c>
      <c r="D985" t="inlineStr">
        <is>
          <t>SÖDERMANLANDS LÄN</t>
        </is>
      </c>
      <c r="E985" t="inlineStr">
        <is>
          <t>ESKILSTUNA</t>
        </is>
      </c>
      <c r="G985" t="n">
        <v>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37337-2019</t>
        </is>
      </c>
      <c r="B986" s="1" t="n">
        <v>43678</v>
      </c>
      <c r="C986" s="1" t="n">
        <v>45182</v>
      </c>
      <c r="D986" t="inlineStr">
        <is>
          <t>SÖDERMANLANDS LÄN</t>
        </is>
      </c>
      <c r="E986" t="inlineStr">
        <is>
          <t>FLEN</t>
        </is>
      </c>
      <c r="G986" t="n">
        <v>4.5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37344-2019</t>
        </is>
      </c>
      <c r="B987" s="1" t="n">
        <v>43678</v>
      </c>
      <c r="C987" s="1" t="n">
        <v>45182</v>
      </c>
      <c r="D987" t="inlineStr">
        <is>
          <t>SÖDERMANLANDS LÄN</t>
        </is>
      </c>
      <c r="E987" t="inlineStr">
        <is>
          <t>NYKÖPING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37420-2019</t>
        </is>
      </c>
      <c r="B988" s="1" t="n">
        <v>43678</v>
      </c>
      <c r="C988" s="1" t="n">
        <v>45182</v>
      </c>
      <c r="D988" t="inlineStr">
        <is>
          <t>SÖDERMANLANDS LÄN</t>
        </is>
      </c>
      <c r="E988" t="inlineStr">
        <is>
          <t>KATRINEHOLM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37416-2019</t>
        </is>
      </c>
      <c r="B989" s="1" t="n">
        <v>43678</v>
      </c>
      <c r="C989" s="1" t="n">
        <v>45182</v>
      </c>
      <c r="D989" t="inlineStr">
        <is>
          <t>SÖDERMANLANDS LÄN</t>
        </is>
      </c>
      <c r="E989" t="inlineStr">
        <is>
          <t>NYKÖPING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37462-2019</t>
        </is>
      </c>
      <c r="B990" s="1" t="n">
        <v>43678</v>
      </c>
      <c r="C990" s="1" t="n">
        <v>45182</v>
      </c>
      <c r="D990" t="inlineStr">
        <is>
          <t>SÖDERMANLANDS LÄN</t>
        </is>
      </c>
      <c r="E990" t="inlineStr">
        <is>
          <t>KATRINEHOLM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37321-2019</t>
        </is>
      </c>
      <c r="B991" s="1" t="n">
        <v>43678</v>
      </c>
      <c r="C991" s="1" t="n">
        <v>45182</v>
      </c>
      <c r="D991" t="inlineStr">
        <is>
          <t>SÖDERMANLANDS LÄN</t>
        </is>
      </c>
      <c r="E991" t="inlineStr">
        <is>
          <t>KATRINEHOLM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37504-2019</t>
        </is>
      </c>
      <c r="B992" s="1" t="n">
        <v>43678</v>
      </c>
      <c r="C992" s="1" t="n">
        <v>45182</v>
      </c>
      <c r="D992" t="inlineStr">
        <is>
          <t>SÖDERMANLANDS LÄN</t>
        </is>
      </c>
      <c r="E992" t="inlineStr">
        <is>
          <t>ESKILSTUNA</t>
        </is>
      </c>
      <c r="G992" t="n">
        <v>6.1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37562-2019</t>
        </is>
      </c>
      <c r="B993" s="1" t="n">
        <v>43679</v>
      </c>
      <c r="C993" s="1" t="n">
        <v>45182</v>
      </c>
      <c r="D993" t="inlineStr">
        <is>
          <t>SÖDERMANLANDS LÄN</t>
        </is>
      </c>
      <c r="E993" t="inlineStr">
        <is>
          <t>STRÄNGNÄS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37574-2019</t>
        </is>
      </c>
      <c r="B994" s="1" t="n">
        <v>43679</v>
      </c>
      <c r="C994" s="1" t="n">
        <v>45182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37571-2019</t>
        </is>
      </c>
      <c r="B995" s="1" t="n">
        <v>43679</v>
      </c>
      <c r="C995" s="1" t="n">
        <v>45182</v>
      </c>
      <c r="D995" t="inlineStr">
        <is>
          <t>SÖDERMANLANDS LÄN</t>
        </is>
      </c>
      <c r="E995" t="inlineStr">
        <is>
          <t>FLEN</t>
        </is>
      </c>
      <c r="F995" t="inlineStr">
        <is>
          <t>Övriga statliga verk och myndigheter</t>
        </is>
      </c>
      <c r="G995" t="n">
        <v>1.8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37627-2019</t>
        </is>
      </c>
      <c r="B996" s="1" t="n">
        <v>43679</v>
      </c>
      <c r="C996" s="1" t="n">
        <v>45182</v>
      </c>
      <c r="D996" t="inlineStr">
        <is>
          <t>SÖDERMANLANDS LÄN</t>
        </is>
      </c>
      <c r="E996" t="inlineStr">
        <is>
          <t>ESKILSTUNA</t>
        </is>
      </c>
      <c r="G996" t="n">
        <v>2.5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37546-2019</t>
        </is>
      </c>
      <c r="B997" s="1" t="n">
        <v>43679</v>
      </c>
      <c r="C997" s="1" t="n">
        <v>45182</v>
      </c>
      <c r="D997" t="inlineStr">
        <is>
          <t>SÖDERMANLANDS LÄN</t>
        </is>
      </c>
      <c r="E997" t="inlineStr">
        <is>
          <t>GNESTA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37560-2019</t>
        </is>
      </c>
      <c r="B998" s="1" t="n">
        <v>43679</v>
      </c>
      <c r="C998" s="1" t="n">
        <v>45182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4.2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37572-2019</t>
        </is>
      </c>
      <c r="B999" s="1" t="n">
        <v>43679</v>
      </c>
      <c r="C999" s="1" t="n">
        <v>45182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37742-2019</t>
        </is>
      </c>
      <c r="B1000" s="1" t="n">
        <v>43679</v>
      </c>
      <c r="C1000" s="1" t="n">
        <v>45182</v>
      </c>
      <c r="D1000" t="inlineStr">
        <is>
          <t>SÖDERMANLANDS LÄN</t>
        </is>
      </c>
      <c r="E1000" t="inlineStr">
        <is>
          <t>VINGÅKER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37712-2019</t>
        </is>
      </c>
      <c r="B1001" s="1" t="n">
        <v>43682</v>
      </c>
      <c r="C1001" s="1" t="n">
        <v>45182</v>
      </c>
      <c r="D1001" t="inlineStr">
        <is>
          <t>SÖDERMANLANDS LÄN</t>
        </is>
      </c>
      <c r="E1001" t="inlineStr">
        <is>
          <t>GNESTA</t>
        </is>
      </c>
      <c r="G1001" t="n">
        <v>3.2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37744-2019</t>
        </is>
      </c>
      <c r="B1002" s="1" t="n">
        <v>43682</v>
      </c>
      <c r="C1002" s="1" t="n">
        <v>45182</v>
      </c>
      <c r="D1002" t="inlineStr">
        <is>
          <t>SÖDERMANLANDS LÄN</t>
        </is>
      </c>
      <c r="E1002" t="inlineStr">
        <is>
          <t>NYKÖPING</t>
        </is>
      </c>
      <c r="G1002" t="n">
        <v>3.6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37769-2019</t>
        </is>
      </c>
      <c r="B1003" s="1" t="n">
        <v>43682</v>
      </c>
      <c r="C1003" s="1" t="n">
        <v>45182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37715-2019</t>
        </is>
      </c>
      <c r="B1004" s="1" t="n">
        <v>43682</v>
      </c>
      <c r="C1004" s="1" t="n">
        <v>45182</v>
      </c>
      <c r="D1004" t="inlineStr">
        <is>
          <t>SÖDERMANLANDS LÄN</t>
        </is>
      </c>
      <c r="E1004" t="inlineStr">
        <is>
          <t>GNESTA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37940-2019</t>
        </is>
      </c>
      <c r="B1005" s="1" t="n">
        <v>43683</v>
      </c>
      <c r="C1005" s="1" t="n">
        <v>45182</v>
      </c>
      <c r="D1005" t="inlineStr">
        <is>
          <t>SÖDERMANLANDS LÄN</t>
        </is>
      </c>
      <c r="E1005" t="inlineStr">
        <is>
          <t>NYKÖPING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38008-2019</t>
        </is>
      </c>
      <c r="B1006" s="1" t="n">
        <v>43683</v>
      </c>
      <c r="C1006" s="1" t="n">
        <v>45182</v>
      </c>
      <c r="D1006" t="inlineStr">
        <is>
          <t>SÖDERMANLANDS LÄN</t>
        </is>
      </c>
      <c r="E1006" t="inlineStr">
        <is>
          <t>ESKILSTUNA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38046-2019</t>
        </is>
      </c>
      <c r="B1007" s="1" t="n">
        <v>43683</v>
      </c>
      <c r="C1007" s="1" t="n">
        <v>45182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Sveaskog</t>
        </is>
      </c>
      <c r="G1007" t="n">
        <v>2.1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38177-2019</t>
        </is>
      </c>
      <c r="B1008" s="1" t="n">
        <v>43683</v>
      </c>
      <c r="C1008" s="1" t="n">
        <v>45182</v>
      </c>
      <c r="D1008" t="inlineStr">
        <is>
          <t>SÖDERMANLANDS LÄN</t>
        </is>
      </c>
      <c r="E1008" t="inlineStr">
        <is>
          <t>ESKILSTUNA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38107-2019</t>
        </is>
      </c>
      <c r="B1009" s="1" t="n">
        <v>43683</v>
      </c>
      <c r="C1009" s="1" t="n">
        <v>45182</v>
      </c>
      <c r="D1009" t="inlineStr">
        <is>
          <t>SÖDERMANLANDS LÄN</t>
        </is>
      </c>
      <c r="E1009" t="inlineStr">
        <is>
          <t>ESKILSTUNA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38409-2019</t>
        </is>
      </c>
      <c r="B1010" s="1" t="n">
        <v>43683</v>
      </c>
      <c r="C1010" s="1" t="n">
        <v>45182</v>
      </c>
      <c r="D1010" t="inlineStr">
        <is>
          <t>SÖDERMANLANDS LÄN</t>
        </is>
      </c>
      <c r="E1010" t="inlineStr">
        <is>
          <t>STRÄNGNÄS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38217-2019</t>
        </is>
      </c>
      <c r="B1011" s="1" t="n">
        <v>43684</v>
      </c>
      <c r="C1011" s="1" t="n">
        <v>45182</v>
      </c>
      <c r="D1011" t="inlineStr">
        <is>
          <t>SÖDERMANLANDS LÄN</t>
        </is>
      </c>
      <c r="E1011" t="inlineStr">
        <is>
          <t>ESKILSTUNA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38241-2019</t>
        </is>
      </c>
      <c r="B1012" s="1" t="n">
        <v>43684</v>
      </c>
      <c r="C1012" s="1" t="n">
        <v>45182</v>
      </c>
      <c r="D1012" t="inlineStr">
        <is>
          <t>SÖDERMANLANDS LÄN</t>
        </is>
      </c>
      <c r="E1012" t="inlineStr">
        <is>
          <t>FLEN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38288-2019</t>
        </is>
      </c>
      <c r="B1013" s="1" t="n">
        <v>43684</v>
      </c>
      <c r="C1013" s="1" t="n">
        <v>45182</v>
      </c>
      <c r="D1013" t="inlineStr">
        <is>
          <t>SÖDERMANLANDS LÄN</t>
        </is>
      </c>
      <c r="E1013" t="inlineStr">
        <is>
          <t>TROSA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38303-2019</t>
        </is>
      </c>
      <c r="B1014" s="1" t="n">
        <v>43684</v>
      </c>
      <c r="C1014" s="1" t="n">
        <v>45182</v>
      </c>
      <c r="D1014" t="inlineStr">
        <is>
          <t>SÖDERMANLANDS LÄN</t>
        </is>
      </c>
      <c r="E1014" t="inlineStr">
        <is>
          <t>ESKILSTUNA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38589-2019</t>
        </is>
      </c>
      <c r="B1015" s="1" t="n">
        <v>43684</v>
      </c>
      <c r="C1015" s="1" t="n">
        <v>45182</v>
      </c>
      <c r="D1015" t="inlineStr">
        <is>
          <t>SÖDERMANLANDS LÄN</t>
        </is>
      </c>
      <c r="E1015" t="inlineStr">
        <is>
          <t>ESKILSTUNA</t>
        </is>
      </c>
      <c r="G1015" t="n">
        <v>7.4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38213-2019</t>
        </is>
      </c>
      <c r="B1016" s="1" t="n">
        <v>43684</v>
      </c>
      <c r="C1016" s="1" t="n">
        <v>45182</v>
      </c>
      <c r="D1016" t="inlineStr">
        <is>
          <t>SÖDERMANLANDS LÄN</t>
        </is>
      </c>
      <c r="E1016" t="inlineStr">
        <is>
          <t>ESKILSTUNA</t>
        </is>
      </c>
      <c r="G1016" t="n">
        <v>2.7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38436-2019</t>
        </is>
      </c>
      <c r="B1017" s="1" t="n">
        <v>43685</v>
      </c>
      <c r="C1017" s="1" t="n">
        <v>45182</v>
      </c>
      <c r="D1017" t="inlineStr">
        <is>
          <t>SÖDERMANLANDS LÄN</t>
        </is>
      </c>
      <c r="E1017" t="inlineStr">
        <is>
          <t>ESKILSTUNA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38736-2019</t>
        </is>
      </c>
      <c r="B1018" s="1" t="n">
        <v>43686</v>
      </c>
      <c r="C1018" s="1" t="n">
        <v>45182</v>
      </c>
      <c r="D1018" t="inlineStr">
        <is>
          <t>SÖDERMANLANDS LÄN</t>
        </is>
      </c>
      <c r="E1018" t="inlineStr">
        <is>
          <t>NYKÖPING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38593-2019</t>
        </is>
      </c>
      <c r="B1019" s="1" t="n">
        <v>43686</v>
      </c>
      <c r="C1019" s="1" t="n">
        <v>45182</v>
      </c>
      <c r="D1019" t="inlineStr">
        <is>
          <t>SÖDERMANLANDS LÄN</t>
        </is>
      </c>
      <c r="E1019" t="inlineStr">
        <is>
          <t>NYKÖPING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38795-2019</t>
        </is>
      </c>
      <c r="B1020" s="1" t="n">
        <v>43688</v>
      </c>
      <c r="C1020" s="1" t="n">
        <v>45182</v>
      </c>
      <c r="D1020" t="inlineStr">
        <is>
          <t>SÖDERMANLANDS LÄN</t>
        </is>
      </c>
      <c r="E1020" t="inlineStr">
        <is>
          <t>FLEN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38796-2019</t>
        </is>
      </c>
      <c r="B1021" s="1" t="n">
        <v>43688</v>
      </c>
      <c r="C1021" s="1" t="n">
        <v>45182</v>
      </c>
      <c r="D1021" t="inlineStr">
        <is>
          <t>SÖDERMANLANDS LÄN</t>
        </is>
      </c>
      <c r="E1021" t="inlineStr">
        <is>
          <t>FLEN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38812-2019</t>
        </is>
      </c>
      <c r="B1022" s="1" t="n">
        <v>43689</v>
      </c>
      <c r="C1022" s="1" t="n">
        <v>45182</v>
      </c>
      <c r="D1022" t="inlineStr">
        <is>
          <t>SÖDERMANLANDS LÄN</t>
        </is>
      </c>
      <c r="E1022" t="inlineStr">
        <is>
          <t>GNESTA</t>
        </is>
      </c>
      <c r="G1022" t="n">
        <v>4.7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38875-2019</t>
        </is>
      </c>
      <c r="B1023" s="1" t="n">
        <v>43689</v>
      </c>
      <c r="C1023" s="1" t="n">
        <v>45182</v>
      </c>
      <c r="D1023" t="inlineStr">
        <is>
          <t>SÖDERMANLANDS LÄN</t>
        </is>
      </c>
      <c r="E1023" t="inlineStr">
        <is>
          <t>VINGÅKER</t>
        </is>
      </c>
      <c r="F1023" t="inlineStr">
        <is>
          <t>Kommuner</t>
        </is>
      </c>
      <c r="G1023" t="n">
        <v>4.5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38977-2019</t>
        </is>
      </c>
      <c r="B1024" s="1" t="n">
        <v>43689</v>
      </c>
      <c r="C1024" s="1" t="n">
        <v>45182</v>
      </c>
      <c r="D1024" t="inlineStr">
        <is>
          <t>SÖDERMANLANDS LÄN</t>
        </is>
      </c>
      <c r="E1024" t="inlineStr">
        <is>
          <t>GNESTA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39166-2019</t>
        </is>
      </c>
      <c r="B1025" s="1" t="n">
        <v>43690</v>
      </c>
      <c r="C1025" s="1" t="n">
        <v>45182</v>
      </c>
      <c r="D1025" t="inlineStr">
        <is>
          <t>SÖDERMANLANDS LÄN</t>
        </is>
      </c>
      <c r="E1025" t="inlineStr">
        <is>
          <t>NYKÖPING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39247-2019</t>
        </is>
      </c>
      <c r="B1026" s="1" t="n">
        <v>43690</v>
      </c>
      <c r="C1026" s="1" t="n">
        <v>45182</v>
      </c>
      <c r="D1026" t="inlineStr">
        <is>
          <t>SÖDERMANLANDS LÄN</t>
        </is>
      </c>
      <c r="E1026" t="inlineStr">
        <is>
          <t>NYKÖPING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39335-2019</t>
        </is>
      </c>
      <c r="B1027" s="1" t="n">
        <v>43690</v>
      </c>
      <c r="C1027" s="1" t="n">
        <v>45182</v>
      </c>
      <c r="D1027" t="inlineStr">
        <is>
          <t>SÖDERMANLANDS LÄN</t>
        </is>
      </c>
      <c r="E1027" t="inlineStr">
        <is>
          <t>NYKÖPING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39219-2019</t>
        </is>
      </c>
      <c r="B1028" s="1" t="n">
        <v>43690</v>
      </c>
      <c r="C1028" s="1" t="n">
        <v>45182</v>
      </c>
      <c r="D1028" t="inlineStr">
        <is>
          <t>SÖDERMANLANDS LÄN</t>
        </is>
      </c>
      <c r="E1028" t="inlineStr">
        <is>
          <t>ESKILSTUNA</t>
        </is>
      </c>
      <c r="G1028" t="n">
        <v>6.2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39228-2019</t>
        </is>
      </c>
      <c r="B1029" s="1" t="n">
        <v>43690</v>
      </c>
      <c r="C1029" s="1" t="n">
        <v>45182</v>
      </c>
      <c r="D1029" t="inlineStr">
        <is>
          <t>SÖDERMANLANDS LÄN</t>
        </is>
      </c>
      <c r="E1029" t="inlineStr">
        <is>
          <t>NYKÖPING</t>
        </is>
      </c>
      <c r="G1029" t="n">
        <v>2.1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39245-2019</t>
        </is>
      </c>
      <c r="B1030" s="1" t="n">
        <v>43690</v>
      </c>
      <c r="C1030" s="1" t="n">
        <v>45182</v>
      </c>
      <c r="D1030" t="inlineStr">
        <is>
          <t>SÖDERMANLANDS LÄN</t>
        </is>
      </c>
      <c r="E1030" t="inlineStr">
        <is>
          <t>NYKÖPING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39328-2019</t>
        </is>
      </c>
      <c r="B1031" s="1" t="n">
        <v>43690</v>
      </c>
      <c r="C1031" s="1" t="n">
        <v>45182</v>
      </c>
      <c r="D1031" t="inlineStr">
        <is>
          <t>SÖDERMANLANDS LÄN</t>
        </is>
      </c>
      <c r="E1031" t="inlineStr">
        <is>
          <t>STRÄNGNÄS</t>
        </is>
      </c>
      <c r="G1031" t="n">
        <v>3.1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39424-2019</t>
        </is>
      </c>
      <c r="B1032" s="1" t="n">
        <v>43690</v>
      </c>
      <c r="C1032" s="1" t="n">
        <v>45182</v>
      </c>
      <c r="D1032" t="inlineStr">
        <is>
          <t>SÖDERMANLANDS LÄN</t>
        </is>
      </c>
      <c r="E1032" t="inlineStr">
        <is>
          <t>KATRINEHOLM</t>
        </is>
      </c>
      <c r="G1032" t="n">
        <v>25.1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39942-2019</t>
        </is>
      </c>
      <c r="B1033" s="1" t="n">
        <v>43690</v>
      </c>
      <c r="C1033" s="1" t="n">
        <v>45182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39441-2019</t>
        </is>
      </c>
      <c r="B1034" s="1" t="n">
        <v>43691</v>
      </c>
      <c r="C1034" s="1" t="n">
        <v>45182</v>
      </c>
      <c r="D1034" t="inlineStr">
        <is>
          <t>SÖDERMANLANDS LÄN</t>
        </is>
      </c>
      <c r="E1034" t="inlineStr">
        <is>
          <t>FLEN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39691-2019</t>
        </is>
      </c>
      <c r="B1035" s="1" t="n">
        <v>43691</v>
      </c>
      <c r="C1035" s="1" t="n">
        <v>45182</v>
      </c>
      <c r="D1035" t="inlineStr">
        <is>
          <t>SÖDERMANLANDS LÄN</t>
        </is>
      </c>
      <c r="E1035" t="inlineStr">
        <is>
          <t>STRÄNGNÄS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39731-2019</t>
        </is>
      </c>
      <c r="B1036" s="1" t="n">
        <v>43691</v>
      </c>
      <c r="C1036" s="1" t="n">
        <v>45182</v>
      </c>
      <c r="D1036" t="inlineStr">
        <is>
          <t>SÖDERMANLANDS LÄN</t>
        </is>
      </c>
      <c r="E1036" t="inlineStr">
        <is>
          <t>STRÄNGNÄS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41114-2019</t>
        </is>
      </c>
      <c r="B1037" s="1" t="n">
        <v>43691</v>
      </c>
      <c r="C1037" s="1" t="n">
        <v>45182</v>
      </c>
      <c r="D1037" t="inlineStr">
        <is>
          <t>SÖDERMANLANDS LÄN</t>
        </is>
      </c>
      <c r="E1037" t="inlineStr">
        <is>
          <t>FLEN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40620-2019</t>
        </is>
      </c>
      <c r="B1038" s="1" t="n">
        <v>43691</v>
      </c>
      <c r="C1038" s="1" t="n">
        <v>45182</v>
      </c>
      <c r="D1038" t="inlineStr">
        <is>
          <t>SÖDERMANLANDS LÄN</t>
        </is>
      </c>
      <c r="E1038" t="inlineStr">
        <is>
          <t>NYKÖPING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39736-2019</t>
        </is>
      </c>
      <c r="B1039" s="1" t="n">
        <v>43691</v>
      </c>
      <c r="C1039" s="1" t="n">
        <v>45182</v>
      </c>
      <c r="D1039" t="inlineStr">
        <is>
          <t>SÖDERMANLANDS LÄN</t>
        </is>
      </c>
      <c r="E1039" t="inlineStr">
        <is>
          <t>VINGÅKER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41126-2019</t>
        </is>
      </c>
      <c r="B1040" s="1" t="n">
        <v>43691</v>
      </c>
      <c r="C1040" s="1" t="n">
        <v>45182</v>
      </c>
      <c r="D1040" t="inlineStr">
        <is>
          <t>SÖDERMANLANDS LÄN</t>
        </is>
      </c>
      <c r="E1040" t="inlineStr">
        <is>
          <t>KATRINEHOLM</t>
        </is>
      </c>
      <c r="F1040" t="inlineStr">
        <is>
          <t>Övriga Aktiebolag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39771-2019</t>
        </is>
      </c>
      <c r="B1041" s="1" t="n">
        <v>43692</v>
      </c>
      <c r="C1041" s="1" t="n">
        <v>45182</v>
      </c>
      <c r="D1041" t="inlineStr">
        <is>
          <t>SÖDERMANLANDS LÄN</t>
        </is>
      </c>
      <c r="E1041" t="inlineStr">
        <is>
          <t>VINGÅKER</t>
        </is>
      </c>
      <c r="F1041" t="inlineStr">
        <is>
          <t>Kyrkan</t>
        </is>
      </c>
      <c r="G1041" t="n">
        <v>12.2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39982-2019</t>
        </is>
      </c>
      <c r="B1042" s="1" t="n">
        <v>43692</v>
      </c>
      <c r="C1042" s="1" t="n">
        <v>45182</v>
      </c>
      <c r="D1042" t="inlineStr">
        <is>
          <t>SÖDERMANLANDS LÄN</t>
        </is>
      </c>
      <c r="E1042" t="inlineStr">
        <is>
          <t>GNESTA</t>
        </is>
      </c>
      <c r="F1042" t="inlineStr">
        <is>
          <t>Kommuner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40017-2019</t>
        </is>
      </c>
      <c r="B1043" s="1" t="n">
        <v>43693</v>
      </c>
      <c r="C1043" s="1" t="n">
        <v>45182</v>
      </c>
      <c r="D1043" t="inlineStr">
        <is>
          <t>SÖDERMANLANDS LÄN</t>
        </is>
      </c>
      <c r="E1043" t="inlineStr">
        <is>
          <t>ESKILSTUNA</t>
        </is>
      </c>
      <c r="G1043" t="n">
        <v>6.9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40020-2019</t>
        </is>
      </c>
      <c r="B1044" s="1" t="n">
        <v>43693</v>
      </c>
      <c r="C1044" s="1" t="n">
        <v>45182</v>
      </c>
      <c r="D1044" t="inlineStr">
        <is>
          <t>SÖDERMANLANDS LÄN</t>
        </is>
      </c>
      <c r="E1044" t="inlineStr">
        <is>
          <t>ESKILSTUNA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40552-2019</t>
        </is>
      </c>
      <c r="B1045" s="1" t="n">
        <v>43696</v>
      </c>
      <c r="C1045" s="1" t="n">
        <v>45182</v>
      </c>
      <c r="D1045" t="inlineStr">
        <is>
          <t>SÖDERMANLANDS LÄN</t>
        </is>
      </c>
      <c r="E1045" t="inlineStr">
        <is>
          <t>ESKILSTUNA</t>
        </is>
      </c>
      <c r="G1045" t="n">
        <v>6.8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41476-2019</t>
        </is>
      </c>
      <c r="B1046" s="1" t="n">
        <v>43696</v>
      </c>
      <c r="C1046" s="1" t="n">
        <v>45182</v>
      </c>
      <c r="D1046" t="inlineStr">
        <is>
          <t>SÖDERMANLANDS LÄN</t>
        </is>
      </c>
      <c r="E1046" t="inlineStr">
        <is>
          <t>ESKILSTUNA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40314-2019</t>
        </is>
      </c>
      <c r="B1047" s="1" t="n">
        <v>43696</v>
      </c>
      <c r="C1047" s="1" t="n">
        <v>45182</v>
      </c>
      <c r="D1047" t="inlineStr">
        <is>
          <t>SÖDERMANLANDS LÄN</t>
        </is>
      </c>
      <c r="E1047" t="inlineStr">
        <is>
          <t>FLEN</t>
        </is>
      </c>
      <c r="G1047" t="n">
        <v>10.3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41481-2019</t>
        </is>
      </c>
      <c r="B1048" s="1" t="n">
        <v>43696</v>
      </c>
      <c r="C1048" s="1" t="n">
        <v>45182</v>
      </c>
      <c r="D1048" t="inlineStr">
        <is>
          <t>SÖDERMANLANDS LÄN</t>
        </is>
      </c>
      <c r="E1048" t="inlineStr">
        <is>
          <t>ESKILSTUNA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40455-2019</t>
        </is>
      </c>
      <c r="B1049" s="1" t="n">
        <v>43696</v>
      </c>
      <c r="C1049" s="1" t="n">
        <v>45182</v>
      </c>
      <c r="D1049" t="inlineStr">
        <is>
          <t>SÖDERMANLANDS LÄN</t>
        </is>
      </c>
      <c r="E1049" t="inlineStr">
        <is>
          <t>KATRINEHOLM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40778-2019</t>
        </is>
      </c>
      <c r="B1050" s="1" t="n">
        <v>43697</v>
      </c>
      <c r="C1050" s="1" t="n">
        <v>45182</v>
      </c>
      <c r="D1050" t="inlineStr">
        <is>
          <t>SÖDERMANLANDS LÄN</t>
        </is>
      </c>
      <c r="E1050" t="inlineStr">
        <is>
          <t>KATRINEHOLM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40798-2019</t>
        </is>
      </c>
      <c r="B1051" s="1" t="n">
        <v>43697</v>
      </c>
      <c r="C1051" s="1" t="n">
        <v>45182</v>
      </c>
      <c r="D1051" t="inlineStr">
        <is>
          <t>SÖDERMANLANDS LÄN</t>
        </is>
      </c>
      <c r="E1051" t="inlineStr">
        <is>
          <t>KATRINEHOLM</t>
        </is>
      </c>
      <c r="G1051" t="n">
        <v>4.8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40812-2019</t>
        </is>
      </c>
      <c r="B1052" s="1" t="n">
        <v>43697</v>
      </c>
      <c r="C1052" s="1" t="n">
        <v>45182</v>
      </c>
      <c r="D1052" t="inlineStr">
        <is>
          <t>SÖDERMANLANDS LÄN</t>
        </is>
      </c>
      <c r="E1052" t="inlineStr">
        <is>
          <t>KATRINEHOLM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40891-2019</t>
        </is>
      </c>
      <c r="B1053" s="1" t="n">
        <v>43697</v>
      </c>
      <c r="C1053" s="1" t="n">
        <v>45182</v>
      </c>
      <c r="D1053" t="inlineStr">
        <is>
          <t>SÖDERMANLANDS LÄN</t>
        </is>
      </c>
      <c r="E1053" t="inlineStr">
        <is>
          <t>KATRINEHOLM</t>
        </is>
      </c>
      <c r="G1053" t="n">
        <v>10.5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40773-2019</t>
        </is>
      </c>
      <c r="B1054" s="1" t="n">
        <v>43697</v>
      </c>
      <c r="C1054" s="1" t="n">
        <v>45182</v>
      </c>
      <c r="D1054" t="inlineStr">
        <is>
          <t>SÖDERMANLANDS LÄN</t>
        </is>
      </c>
      <c r="E1054" t="inlineStr">
        <is>
          <t>KATRINEHOLM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40820-2019</t>
        </is>
      </c>
      <c r="B1055" s="1" t="n">
        <v>43697</v>
      </c>
      <c r="C1055" s="1" t="n">
        <v>45182</v>
      </c>
      <c r="D1055" t="inlineStr">
        <is>
          <t>SÖDERMANLANDS LÄN</t>
        </is>
      </c>
      <c r="E1055" t="inlineStr">
        <is>
          <t>KATRINEHOLM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40775-2019</t>
        </is>
      </c>
      <c r="B1056" s="1" t="n">
        <v>43697</v>
      </c>
      <c r="C1056" s="1" t="n">
        <v>45182</v>
      </c>
      <c r="D1056" t="inlineStr">
        <is>
          <t>SÖDERMANLANDS LÄN</t>
        </is>
      </c>
      <c r="E1056" t="inlineStr">
        <is>
          <t>KATRINEHOLM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40824-2019</t>
        </is>
      </c>
      <c r="B1057" s="1" t="n">
        <v>43697</v>
      </c>
      <c r="C1057" s="1" t="n">
        <v>45182</v>
      </c>
      <c r="D1057" t="inlineStr">
        <is>
          <t>SÖDERMANLANDS LÄN</t>
        </is>
      </c>
      <c r="E1057" t="inlineStr">
        <is>
          <t>KATRINEHOLM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41847-2019</t>
        </is>
      </c>
      <c r="B1058" s="1" t="n">
        <v>43697</v>
      </c>
      <c r="C1058" s="1" t="n">
        <v>45182</v>
      </c>
      <c r="D1058" t="inlineStr">
        <is>
          <t>SÖDERMANLANDS LÄN</t>
        </is>
      </c>
      <c r="E1058" t="inlineStr">
        <is>
          <t>FLEN</t>
        </is>
      </c>
      <c r="G1058" t="n">
        <v>1.6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40781-2019</t>
        </is>
      </c>
      <c r="B1059" s="1" t="n">
        <v>43697</v>
      </c>
      <c r="C1059" s="1" t="n">
        <v>45182</v>
      </c>
      <c r="D1059" t="inlineStr">
        <is>
          <t>SÖDERMANLANDS LÄN</t>
        </is>
      </c>
      <c r="E1059" t="inlineStr">
        <is>
          <t>GNESTA</t>
        </is>
      </c>
      <c r="G1059" t="n">
        <v>6.1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40800-2019</t>
        </is>
      </c>
      <c r="B1060" s="1" t="n">
        <v>43697</v>
      </c>
      <c r="C1060" s="1" t="n">
        <v>45182</v>
      </c>
      <c r="D1060" t="inlineStr">
        <is>
          <t>SÖDERMANLANDS LÄN</t>
        </is>
      </c>
      <c r="E1060" t="inlineStr">
        <is>
          <t>KATRINEHOLM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41293-2019</t>
        </is>
      </c>
      <c r="B1061" s="1" t="n">
        <v>43698</v>
      </c>
      <c r="C1061" s="1" t="n">
        <v>45182</v>
      </c>
      <c r="D1061" t="inlineStr">
        <is>
          <t>SÖDERMANLANDS LÄN</t>
        </is>
      </c>
      <c r="E1061" t="inlineStr">
        <is>
          <t>VINGÅKER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41149-2019</t>
        </is>
      </c>
      <c r="B1062" s="1" t="n">
        <v>43698</v>
      </c>
      <c r="C1062" s="1" t="n">
        <v>45182</v>
      </c>
      <c r="D1062" t="inlineStr">
        <is>
          <t>SÖDERMANLANDS LÄN</t>
        </is>
      </c>
      <c r="E1062" t="inlineStr">
        <is>
          <t>NYKÖPING</t>
        </is>
      </c>
      <c r="G1062" t="n">
        <v>8.1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41167-2019</t>
        </is>
      </c>
      <c r="B1063" s="1" t="n">
        <v>43698</v>
      </c>
      <c r="C1063" s="1" t="n">
        <v>45182</v>
      </c>
      <c r="D1063" t="inlineStr">
        <is>
          <t>SÖDERMANLANDS LÄN</t>
        </is>
      </c>
      <c r="E1063" t="inlineStr">
        <is>
          <t>NYKÖPING</t>
        </is>
      </c>
      <c r="G1063" t="n">
        <v>6.7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41154-2019</t>
        </is>
      </c>
      <c r="B1064" s="1" t="n">
        <v>43698</v>
      </c>
      <c r="C1064" s="1" t="n">
        <v>45182</v>
      </c>
      <c r="D1064" t="inlineStr">
        <is>
          <t>SÖDERMANLANDS LÄN</t>
        </is>
      </c>
      <c r="E1064" t="inlineStr">
        <is>
          <t>NYKÖPING</t>
        </is>
      </c>
      <c r="G1064" t="n">
        <v>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41244-2019</t>
        </is>
      </c>
      <c r="B1065" s="1" t="n">
        <v>43698</v>
      </c>
      <c r="C1065" s="1" t="n">
        <v>45182</v>
      </c>
      <c r="D1065" t="inlineStr">
        <is>
          <t>SÖDERMANLANDS LÄN</t>
        </is>
      </c>
      <c r="E1065" t="inlineStr">
        <is>
          <t>NYKÖPING</t>
        </is>
      </c>
      <c r="G1065" t="n">
        <v>2.6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41442-2019</t>
        </is>
      </c>
      <c r="B1066" s="1" t="n">
        <v>43698</v>
      </c>
      <c r="C1066" s="1" t="n">
        <v>45182</v>
      </c>
      <c r="D1066" t="inlineStr">
        <is>
          <t>SÖDERMANLANDS LÄN</t>
        </is>
      </c>
      <c r="E1066" t="inlineStr">
        <is>
          <t>ESKILSTUNA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41718-2019</t>
        </is>
      </c>
      <c r="B1067" s="1" t="n">
        <v>43699</v>
      </c>
      <c r="C1067" s="1" t="n">
        <v>45182</v>
      </c>
      <c r="D1067" t="inlineStr">
        <is>
          <t>SÖDERMANLANDS LÄN</t>
        </is>
      </c>
      <c r="E1067" t="inlineStr">
        <is>
          <t>STRÄNGNÄS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42618-2019</t>
        </is>
      </c>
      <c r="B1068" s="1" t="n">
        <v>43699</v>
      </c>
      <c r="C1068" s="1" t="n">
        <v>45182</v>
      </c>
      <c r="D1068" t="inlineStr">
        <is>
          <t>SÖDERMANLANDS LÄN</t>
        </is>
      </c>
      <c r="E1068" t="inlineStr">
        <is>
          <t>KATRINEHOLM</t>
        </is>
      </c>
      <c r="G1068" t="n">
        <v>24.1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41830-2019</t>
        </is>
      </c>
      <c r="B1069" s="1" t="n">
        <v>43700</v>
      </c>
      <c r="C1069" s="1" t="n">
        <v>45182</v>
      </c>
      <c r="D1069" t="inlineStr">
        <is>
          <t>SÖDERMANLANDS LÄN</t>
        </is>
      </c>
      <c r="E1069" t="inlineStr">
        <is>
          <t>TROSA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41902-2019</t>
        </is>
      </c>
      <c r="B1070" s="1" t="n">
        <v>43700</v>
      </c>
      <c r="C1070" s="1" t="n">
        <v>45182</v>
      </c>
      <c r="D1070" t="inlineStr">
        <is>
          <t>SÖDERMANLANDS LÄN</t>
        </is>
      </c>
      <c r="E1070" t="inlineStr">
        <is>
          <t>TROSA</t>
        </is>
      </c>
      <c r="F1070" t="inlineStr">
        <is>
          <t>Övriga Aktiebolag</t>
        </is>
      </c>
      <c r="G1070" t="n">
        <v>4.8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41934-2019</t>
        </is>
      </c>
      <c r="B1071" s="1" t="n">
        <v>43700</v>
      </c>
      <c r="C1071" s="1" t="n">
        <v>45182</v>
      </c>
      <c r="D1071" t="inlineStr">
        <is>
          <t>SÖDERMANLANDS LÄN</t>
        </is>
      </c>
      <c r="E1071" t="inlineStr">
        <is>
          <t>VINGÅKER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41893-2019</t>
        </is>
      </c>
      <c r="B1072" s="1" t="n">
        <v>43700</v>
      </c>
      <c r="C1072" s="1" t="n">
        <v>45182</v>
      </c>
      <c r="D1072" t="inlineStr">
        <is>
          <t>SÖDERMANLANDS LÄN</t>
        </is>
      </c>
      <c r="E1072" t="inlineStr">
        <is>
          <t>TROSA</t>
        </is>
      </c>
      <c r="F1072" t="inlineStr">
        <is>
          <t>Övriga Aktiebolag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41975-2019</t>
        </is>
      </c>
      <c r="B1073" s="1" t="n">
        <v>43700</v>
      </c>
      <c r="C1073" s="1" t="n">
        <v>45182</v>
      </c>
      <c r="D1073" t="inlineStr">
        <is>
          <t>SÖDERMANLANDS LÄN</t>
        </is>
      </c>
      <c r="E1073" t="inlineStr">
        <is>
          <t>STRÄNGNÄS</t>
        </is>
      </c>
      <c r="F1073" t="inlineStr">
        <is>
          <t>Övriga Aktiebolag</t>
        </is>
      </c>
      <c r="G1073" t="n">
        <v>6.8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42056-2019</t>
        </is>
      </c>
      <c r="B1074" s="1" t="n">
        <v>43700</v>
      </c>
      <c r="C1074" s="1" t="n">
        <v>45182</v>
      </c>
      <c r="D1074" t="inlineStr">
        <is>
          <t>SÖDERMANLANDS LÄN</t>
        </is>
      </c>
      <c r="E1074" t="inlineStr">
        <is>
          <t>ESKILSTUNA</t>
        </is>
      </c>
      <c r="G1074" t="n">
        <v>7.4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41877-2019</t>
        </is>
      </c>
      <c r="B1075" s="1" t="n">
        <v>43700</v>
      </c>
      <c r="C1075" s="1" t="n">
        <v>45182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3.2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42324-2019</t>
        </is>
      </c>
      <c r="B1076" s="1" t="n">
        <v>43703</v>
      </c>
      <c r="C1076" s="1" t="n">
        <v>45182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42336-2019</t>
        </is>
      </c>
      <c r="B1077" s="1" t="n">
        <v>43703</v>
      </c>
      <c r="C1077" s="1" t="n">
        <v>45182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42343-2019</t>
        </is>
      </c>
      <c r="B1078" s="1" t="n">
        <v>43703</v>
      </c>
      <c r="C1078" s="1" t="n">
        <v>45182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Kommuner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42392-2019</t>
        </is>
      </c>
      <c r="B1079" s="1" t="n">
        <v>43703</v>
      </c>
      <c r="C1079" s="1" t="n">
        <v>45182</v>
      </c>
      <c r="D1079" t="inlineStr">
        <is>
          <t>SÖDERMANLANDS LÄN</t>
        </is>
      </c>
      <c r="E1079" t="inlineStr">
        <is>
          <t>KATRINEHOLM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42234-2019</t>
        </is>
      </c>
      <c r="B1080" s="1" t="n">
        <v>43703</v>
      </c>
      <c r="C1080" s="1" t="n">
        <v>45182</v>
      </c>
      <c r="D1080" t="inlineStr">
        <is>
          <t>SÖDERMANLANDS LÄN</t>
        </is>
      </c>
      <c r="E1080" t="inlineStr">
        <is>
          <t>NYKÖPING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42394-2019</t>
        </is>
      </c>
      <c r="B1081" s="1" t="n">
        <v>43703</v>
      </c>
      <c r="C1081" s="1" t="n">
        <v>45182</v>
      </c>
      <c r="D1081" t="inlineStr">
        <is>
          <t>SÖDERMANLANDS LÄN</t>
        </is>
      </c>
      <c r="E1081" t="inlineStr">
        <is>
          <t>KATRINEHOLM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42244-2019</t>
        </is>
      </c>
      <c r="B1082" s="1" t="n">
        <v>43703</v>
      </c>
      <c r="C1082" s="1" t="n">
        <v>45182</v>
      </c>
      <c r="D1082" t="inlineStr">
        <is>
          <t>SÖDERMANLANDS LÄN</t>
        </is>
      </c>
      <c r="E1082" t="inlineStr">
        <is>
          <t>KATRINEHOLM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42328-2019</t>
        </is>
      </c>
      <c r="B1083" s="1" t="n">
        <v>43703</v>
      </c>
      <c r="C1083" s="1" t="n">
        <v>45182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42338-2019</t>
        </is>
      </c>
      <c r="B1084" s="1" t="n">
        <v>43703</v>
      </c>
      <c r="C1084" s="1" t="n">
        <v>45182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42397-2019</t>
        </is>
      </c>
      <c r="B1085" s="1" t="n">
        <v>43703</v>
      </c>
      <c r="C1085" s="1" t="n">
        <v>45182</v>
      </c>
      <c r="D1085" t="inlineStr">
        <is>
          <t>SÖDERMANLANDS LÄN</t>
        </is>
      </c>
      <c r="E1085" t="inlineStr">
        <is>
          <t>KATRINEHOLM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42488-2019</t>
        </is>
      </c>
      <c r="B1086" s="1" t="n">
        <v>43704</v>
      </c>
      <c r="C1086" s="1" t="n">
        <v>45182</v>
      </c>
      <c r="D1086" t="inlineStr">
        <is>
          <t>SÖDERMANLANDS LÄN</t>
        </is>
      </c>
      <c r="E1086" t="inlineStr">
        <is>
          <t>NYKÖPING</t>
        </is>
      </c>
      <c r="G1086" t="n">
        <v>1.2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42496-2019</t>
        </is>
      </c>
      <c r="B1087" s="1" t="n">
        <v>43704</v>
      </c>
      <c r="C1087" s="1" t="n">
        <v>45182</v>
      </c>
      <c r="D1087" t="inlineStr">
        <is>
          <t>SÖDERMANLANDS LÄN</t>
        </is>
      </c>
      <c r="E1087" t="inlineStr">
        <is>
          <t>NYKÖPING</t>
        </is>
      </c>
      <c r="G1087" t="n">
        <v>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42491-2019</t>
        </is>
      </c>
      <c r="B1088" s="1" t="n">
        <v>43704</v>
      </c>
      <c r="C1088" s="1" t="n">
        <v>45182</v>
      </c>
      <c r="D1088" t="inlineStr">
        <is>
          <t>SÖDERMANLANDS LÄN</t>
        </is>
      </c>
      <c r="E1088" t="inlineStr">
        <is>
          <t>NYKÖPING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42516-2019</t>
        </is>
      </c>
      <c r="B1089" s="1" t="n">
        <v>43704</v>
      </c>
      <c r="C1089" s="1" t="n">
        <v>45182</v>
      </c>
      <c r="D1089" t="inlineStr">
        <is>
          <t>SÖDERMANLANDS LÄN</t>
        </is>
      </c>
      <c r="E1089" t="inlineStr">
        <is>
          <t>TROSA</t>
        </is>
      </c>
      <c r="F1089" t="inlineStr">
        <is>
          <t>Övriga Aktiebolag</t>
        </is>
      </c>
      <c r="G1089" t="n">
        <v>3.5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42675-2019</t>
        </is>
      </c>
      <c r="B1090" s="1" t="n">
        <v>43704</v>
      </c>
      <c r="C1090" s="1" t="n">
        <v>45182</v>
      </c>
      <c r="D1090" t="inlineStr">
        <is>
          <t>SÖDERMANLANDS LÄN</t>
        </is>
      </c>
      <c r="E1090" t="inlineStr">
        <is>
          <t>VINGÅKER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44364-2019</t>
        </is>
      </c>
      <c r="B1091" s="1" t="n">
        <v>43705</v>
      </c>
      <c r="C1091" s="1" t="n">
        <v>45182</v>
      </c>
      <c r="D1091" t="inlineStr">
        <is>
          <t>SÖDERMANLANDS LÄN</t>
        </is>
      </c>
      <c r="E1091" t="inlineStr">
        <is>
          <t>ESKILSTUNA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44403-2019</t>
        </is>
      </c>
      <c r="B1092" s="1" t="n">
        <v>43705</v>
      </c>
      <c r="C1092" s="1" t="n">
        <v>45182</v>
      </c>
      <c r="D1092" t="inlineStr">
        <is>
          <t>SÖDERMANLANDS LÄN</t>
        </is>
      </c>
      <c r="E1092" t="inlineStr">
        <is>
          <t>KATRINEHOLM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43063-2019</t>
        </is>
      </c>
      <c r="B1093" s="1" t="n">
        <v>43705</v>
      </c>
      <c r="C1093" s="1" t="n">
        <v>45182</v>
      </c>
      <c r="D1093" t="inlineStr">
        <is>
          <t>SÖDERMANLANDS LÄN</t>
        </is>
      </c>
      <c r="E1093" t="inlineStr">
        <is>
          <t>NYKÖPING</t>
        </is>
      </c>
      <c r="G1093" t="n">
        <v>5.7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42897-2019</t>
        </is>
      </c>
      <c r="B1094" s="1" t="n">
        <v>43705</v>
      </c>
      <c r="C1094" s="1" t="n">
        <v>45182</v>
      </c>
      <c r="D1094" t="inlineStr">
        <is>
          <t>SÖDERMANLANDS LÄN</t>
        </is>
      </c>
      <c r="E1094" t="inlineStr">
        <is>
          <t>KATRINEHOLM</t>
        </is>
      </c>
      <c r="G1094" t="n">
        <v>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42946-2019</t>
        </is>
      </c>
      <c r="B1095" s="1" t="n">
        <v>43705</v>
      </c>
      <c r="C1095" s="1" t="n">
        <v>45182</v>
      </c>
      <c r="D1095" t="inlineStr">
        <is>
          <t>SÖDERMANLANDS LÄN</t>
        </is>
      </c>
      <c r="E1095" t="inlineStr">
        <is>
          <t>GNESTA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43110-2019</t>
        </is>
      </c>
      <c r="B1096" s="1" t="n">
        <v>43705</v>
      </c>
      <c r="C1096" s="1" t="n">
        <v>45182</v>
      </c>
      <c r="D1096" t="inlineStr">
        <is>
          <t>SÖDERMANLANDS LÄN</t>
        </is>
      </c>
      <c r="E1096" t="inlineStr">
        <is>
          <t>VINGÅKER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43312-2019</t>
        </is>
      </c>
      <c r="B1097" s="1" t="n">
        <v>43706</v>
      </c>
      <c r="C1097" s="1" t="n">
        <v>45182</v>
      </c>
      <c r="D1097" t="inlineStr">
        <is>
          <t>SÖDERMANLANDS LÄN</t>
        </is>
      </c>
      <c r="E1097" t="inlineStr">
        <is>
          <t>ESKILSTUNA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43577-2019</t>
        </is>
      </c>
      <c r="B1098" s="1" t="n">
        <v>43706</v>
      </c>
      <c r="C1098" s="1" t="n">
        <v>45182</v>
      </c>
      <c r="D1098" t="inlineStr">
        <is>
          <t>SÖDERMANLANDS LÄN</t>
        </is>
      </c>
      <c r="E1098" t="inlineStr">
        <is>
          <t>KATRINEHOLM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43575-2019</t>
        </is>
      </c>
      <c r="B1099" s="1" t="n">
        <v>43706</v>
      </c>
      <c r="C1099" s="1" t="n">
        <v>45182</v>
      </c>
      <c r="D1099" t="inlineStr">
        <is>
          <t>SÖDERMANLANDS LÄN</t>
        </is>
      </c>
      <c r="E1099" t="inlineStr">
        <is>
          <t>KATRINEHOLM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43580-2019</t>
        </is>
      </c>
      <c r="B1100" s="1" t="n">
        <v>43706</v>
      </c>
      <c r="C1100" s="1" t="n">
        <v>45182</v>
      </c>
      <c r="D1100" t="inlineStr">
        <is>
          <t>SÖDERMANLANDS LÄN</t>
        </is>
      </c>
      <c r="E1100" t="inlineStr">
        <is>
          <t>KATRINEHOLM</t>
        </is>
      </c>
      <c r="G1100" t="n">
        <v>3.6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43579-2019</t>
        </is>
      </c>
      <c r="B1101" s="1" t="n">
        <v>43706</v>
      </c>
      <c r="C1101" s="1" t="n">
        <v>45182</v>
      </c>
      <c r="D1101" t="inlineStr">
        <is>
          <t>SÖDERMANLANDS LÄN</t>
        </is>
      </c>
      <c r="E1101" t="inlineStr">
        <is>
          <t>KATRINEHOLM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43301-2019</t>
        </is>
      </c>
      <c r="B1102" s="1" t="n">
        <v>43706</v>
      </c>
      <c r="C1102" s="1" t="n">
        <v>45182</v>
      </c>
      <c r="D1102" t="inlineStr">
        <is>
          <t>SÖDERMANLANDS LÄN</t>
        </is>
      </c>
      <c r="E1102" t="inlineStr">
        <is>
          <t>ESKILSTUNA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43571-2019</t>
        </is>
      </c>
      <c r="B1103" s="1" t="n">
        <v>43706</v>
      </c>
      <c r="C1103" s="1" t="n">
        <v>45182</v>
      </c>
      <c r="D1103" t="inlineStr">
        <is>
          <t>SÖDERMANLANDS LÄN</t>
        </is>
      </c>
      <c r="E1103" t="inlineStr">
        <is>
          <t>STRÄNGNÄS</t>
        </is>
      </c>
      <c r="F1103" t="inlineStr">
        <is>
          <t>Övriga Aktiebolag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45332-2019</t>
        </is>
      </c>
      <c r="B1104" s="1" t="n">
        <v>43709</v>
      </c>
      <c r="C1104" s="1" t="n">
        <v>45182</v>
      </c>
      <c r="D1104" t="inlineStr">
        <is>
          <t>SÖDERMANLANDS LÄN</t>
        </is>
      </c>
      <c r="E1104" t="inlineStr">
        <is>
          <t>KATRINEHOLM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45326-2019</t>
        </is>
      </c>
      <c r="B1105" s="1" t="n">
        <v>43709</v>
      </c>
      <c r="C1105" s="1" t="n">
        <v>45182</v>
      </c>
      <c r="D1105" t="inlineStr">
        <is>
          <t>SÖDERMANLANDS LÄN</t>
        </is>
      </c>
      <c r="E1105" t="inlineStr">
        <is>
          <t>KATRINEHOLM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44286-2019</t>
        </is>
      </c>
      <c r="B1106" s="1" t="n">
        <v>43710</v>
      </c>
      <c r="C1106" s="1" t="n">
        <v>45182</v>
      </c>
      <c r="D1106" t="inlineStr">
        <is>
          <t>SÖDERMANLANDS LÄN</t>
        </is>
      </c>
      <c r="E1106" t="inlineStr">
        <is>
          <t>KATRINEHOLM</t>
        </is>
      </c>
      <c r="G1106" t="n">
        <v>18.9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44309-2019</t>
        </is>
      </c>
      <c r="B1107" s="1" t="n">
        <v>43710</v>
      </c>
      <c r="C1107" s="1" t="n">
        <v>45182</v>
      </c>
      <c r="D1107" t="inlineStr">
        <is>
          <t>SÖDERMANLANDS LÄN</t>
        </is>
      </c>
      <c r="E1107" t="inlineStr">
        <is>
          <t>NYKÖPING</t>
        </is>
      </c>
      <c r="G1107" t="n">
        <v>16.3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45318-2019</t>
        </is>
      </c>
      <c r="B1108" s="1" t="n">
        <v>43710</v>
      </c>
      <c r="C1108" s="1" t="n">
        <v>45182</v>
      </c>
      <c r="D1108" t="inlineStr">
        <is>
          <t>SÖDERMANLANDS LÄN</t>
        </is>
      </c>
      <c r="E1108" t="inlineStr">
        <is>
          <t>KATRINEHOLM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44215-2019</t>
        </is>
      </c>
      <c r="B1109" s="1" t="n">
        <v>43710</v>
      </c>
      <c r="C1109" s="1" t="n">
        <v>45182</v>
      </c>
      <c r="D1109" t="inlineStr">
        <is>
          <t>SÖDERMANLANDS LÄN</t>
        </is>
      </c>
      <c r="E1109" t="inlineStr">
        <is>
          <t>KATRINEHOLM</t>
        </is>
      </c>
      <c r="G1109" t="n">
        <v>3.1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44276-2019</t>
        </is>
      </c>
      <c r="B1110" s="1" t="n">
        <v>43710</v>
      </c>
      <c r="C1110" s="1" t="n">
        <v>45182</v>
      </c>
      <c r="D1110" t="inlineStr">
        <is>
          <t>SÖDERMANLANDS LÄN</t>
        </is>
      </c>
      <c r="E1110" t="inlineStr">
        <is>
          <t>KATRINEHOLM</t>
        </is>
      </c>
      <c r="G1110" t="n">
        <v>14.2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44184-2019</t>
        </is>
      </c>
      <c r="B1111" s="1" t="n">
        <v>43710</v>
      </c>
      <c r="C1111" s="1" t="n">
        <v>45182</v>
      </c>
      <c r="D1111" t="inlineStr">
        <is>
          <t>SÖDERMANLANDS LÄN</t>
        </is>
      </c>
      <c r="E1111" t="inlineStr">
        <is>
          <t>KATRINEHOLM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44283-2019</t>
        </is>
      </c>
      <c r="B1112" s="1" t="n">
        <v>43710</v>
      </c>
      <c r="C1112" s="1" t="n">
        <v>45182</v>
      </c>
      <c r="D1112" t="inlineStr">
        <is>
          <t>SÖDERMANLANDS LÄN</t>
        </is>
      </c>
      <c r="E1112" t="inlineStr">
        <is>
          <t>KATRINEHOLM</t>
        </is>
      </c>
      <c r="G1112" t="n">
        <v>10.5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44504-2019</t>
        </is>
      </c>
      <c r="B1113" s="1" t="n">
        <v>43711</v>
      </c>
      <c r="C1113" s="1" t="n">
        <v>45182</v>
      </c>
      <c r="D1113" t="inlineStr">
        <is>
          <t>SÖDERMANLANDS LÄN</t>
        </is>
      </c>
      <c r="E1113" t="inlineStr">
        <is>
          <t>GNESTA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45642-2019</t>
        </is>
      </c>
      <c r="B1114" s="1" t="n">
        <v>43711</v>
      </c>
      <c r="C1114" s="1" t="n">
        <v>45182</v>
      </c>
      <c r="D1114" t="inlineStr">
        <is>
          <t>SÖDERMANLANDS LÄN</t>
        </is>
      </c>
      <c r="E1114" t="inlineStr">
        <is>
          <t>KATRINEHOLM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45780-2019</t>
        </is>
      </c>
      <c r="B1115" s="1" t="n">
        <v>43711</v>
      </c>
      <c r="C1115" s="1" t="n">
        <v>45182</v>
      </c>
      <c r="D1115" t="inlineStr">
        <is>
          <t>SÖDERMANLANDS LÄN</t>
        </is>
      </c>
      <c r="E1115" t="inlineStr">
        <is>
          <t>KATRINEHOLM</t>
        </is>
      </c>
      <c r="F1115" t="inlineStr">
        <is>
          <t>Övriga Aktiebolag</t>
        </is>
      </c>
      <c r="G1115" t="n">
        <v>16.5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44742-2019</t>
        </is>
      </c>
      <c r="B1116" s="1" t="n">
        <v>43712</v>
      </c>
      <c r="C1116" s="1" t="n">
        <v>45182</v>
      </c>
      <c r="D1116" t="inlineStr">
        <is>
          <t>SÖDERMANLANDS LÄN</t>
        </is>
      </c>
      <c r="E1116" t="inlineStr">
        <is>
          <t>ESKILSTUNA</t>
        </is>
      </c>
      <c r="G1116" t="n">
        <v>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44859-2019</t>
        </is>
      </c>
      <c r="B1117" s="1" t="n">
        <v>43712</v>
      </c>
      <c r="C1117" s="1" t="n">
        <v>45182</v>
      </c>
      <c r="D1117" t="inlineStr">
        <is>
          <t>SÖDERMANLANDS LÄN</t>
        </is>
      </c>
      <c r="E1117" t="inlineStr">
        <is>
          <t>KATRINEHOLM</t>
        </is>
      </c>
      <c r="G1117" t="n">
        <v>26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44698-2019</t>
        </is>
      </c>
      <c r="B1118" s="1" t="n">
        <v>43712</v>
      </c>
      <c r="C1118" s="1" t="n">
        <v>45182</v>
      </c>
      <c r="D1118" t="inlineStr">
        <is>
          <t>SÖDERMANLANDS LÄN</t>
        </is>
      </c>
      <c r="E1118" t="inlineStr">
        <is>
          <t>ESKILSTUNA</t>
        </is>
      </c>
      <c r="G1118" t="n">
        <v>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44764-2019</t>
        </is>
      </c>
      <c r="B1119" s="1" t="n">
        <v>43712</v>
      </c>
      <c r="C1119" s="1" t="n">
        <v>45182</v>
      </c>
      <c r="D1119" t="inlineStr">
        <is>
          <t>SÖDERMANLANDS LÄN</t>
        </is>
      </c>
      <c r="E1119" t="inlineStr">
        <is>
          <t>VINGÅKER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44862-2019</t>
        </is>
      </c>
      <c r="B1120" s="1" t="n">
        <v>43712</v>
      </c>
      <c r="C1120" s="1" t="n">
        <v>45182</v>
      </c>
      <c r="D1120" t="inlineStr">
        <is>
          <t>SÖDERMANLANDS LÄN</t>
        </is>
      </c>
      <c r="E1120" t="inlineStr">
        <is>
          <t>KATRINEHOLM</t>
        </is>
      </c>
      <c r="G1120" t="n">
        <v>26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45181-2019</t>
        </is>
      </c>
      <c r="B1121" s="1" t="n">
        <v>43713</v>
      </c>
      <c r="C1121" s="1" t="n">
        <v>45182</v>
      </c>
      <c r="D1121" t="inlineStr">
        <is>
          <t>SÖDERMANLANDS LÄN</t>
        </is>
      </c>
      <c r="E1121" t="inlineStr">
        <is>
          <t>ESKILSTUNA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45248-2019</t>
        </is>
      </c>
      <c r="B1122" s="1" t="n">
        <v>43713</v>
      </c>
      <c r="C1122" s="1" t="n">
        <v>45182</v>
      </c>
      <c r="D1122" t="inlineStr">
        <is>
          <t>SÖDERMANLANDS LÄN</t>
        </is>
      </c>
      <c r="E1122" t="inlineStr">
        <is>
          <t>KATRINEHOLM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45246-2019</t>
        </is>
      </c>
      <c r="B1123" s="1" t="n">
        <v>43713</v>
      </c>
      <c r="C1123" s="1" t="n">
        <v>45182</v>
      </c>
      <c r="D1123" t="inlineStr">
        <is>
          <t>SÖDERMANLANDS LÄN</t>
        </is>
      </c>
      <c r="E1123" t="inlineStr">
        <is>
          <t>KATRINEHOLM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46419-2019</t>
        </is>
      </c>
      <c r="B1124" s="1" t="n">
        <v>43716</v>
      </c>
      <c r="C1124" s="1" t="n">
        <v>45182</v>
      </c>
      <c r="D1124" t="inlineStr">
        <is>
          <t>SÖDERMANLANDS LÄN</t>
        </is>
      </c>
      <c r="E1124" t="inlineStr">
        <is>
          <t>VINGÅKER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46628-2019</t>
        </is>
      </c>
      <c r="B1125" s="1" t="n">
        <v>43717</v>
      </c>
      <c r="C1125" s="1" t="n">
        <v>45182</v>
      </c>
      <c r="D1125" t="inlineStr">
        <is>
          <t>SÖDERMANLANDS LÄN</t>
        </is>
      </c>
      <c r="E1125" t="inlineStr">
        <is>
          <t>FLEN</t>
        </is>
      </c>
      <c r="G1125" t="n">
        <v>16.2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46504-2019</t>
        </is>
      </c>
      <c r="B1126" s="1" t="n">
        <v>43717</v>
      </c>
      <c r="C1126" s="1" t="n">
        <v>45182</v>
      </c>
      <c r="D1126" t="inlineStr">
        <is>
          <t>SÖDERMANLANDS LÄN</t>
        </is>
      </c>
      <c r="E1126" t="inlineStr">
        <is>
          <t>NYKÖPING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46634-2019</t>
        </is>
      </c>
      <c r="B1127" s="1" t="n">
        <v>43717</v>
      </c>
      <c r="C1127" s="1" t="n">
        <v>45182</v>
      </c>
      <c r="D1127" t="inlineStr">
        <is>
          <t>SÖDERMANLANDS LÄN</t>
        </is>
      </c>
      <c r="E1127" t="inlineStr">
        <is>
          <t>GNESTA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46078-2019</t>
        </is>
      </c>
      <c r="B1128" s="1" t="n">
        <v>43718</v>
      </c>
      <c r="C1128" s="1" t="n">
        <v>45182</v>
      </c>
      <c r="D1128" t="inlineStr">
        <is>
          <t>SÖDERMANLANDS LÄN</t>
        </is>
      </c>
      <c r="E1128" t="inlineStr">
        <is>
          <t>NYKÖPING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47113-2019</t>
        </is>
      </c>
      <c r="B1129" s="1" t="n">
        <v>43720</v>
      </c>
      <c r="C1129" s="1" t="n">
        <v>45182</v>
      </c>
      <c r="D1129" t="inlineStr">
        <is>
          <t>SÖDERMANLANDS LÄN</t>
        </is>
      </c>
      <c r="E1129" t="inlineStr">
        <is>
          <t>GNESTA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47034-2019</t>
        </is>
      </c>
      <c r="B1130" s="1" t="n">
        <v>43720</v>
      </c>
      <c r="C1130" s="1" t="n">
        <v>45182</v>
      </c>
      <c r="D1130" t="inlineStr">
        <is>
          <t>SÖDERMANLANDS LÄN</t>
        </is>
      </c>
      <c r="E1130" t="inlineStr">
        <is>
          <t>NYKÖPING</t>
        </is>
      </c>
      <c r="F1130" t="inlineStr">
        <is>
          <t>Övriga Aktiebolag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47115-2019</t>
        </is>
      </c>
      <c r="B1131" s="1" t="n">
        <v>43720</v>
      </c>
      <c r="C1131" s="1" t="n">
        <v>45182</v>
      </c>
      <c r="D1131" t="inlineStr">
        <is>
          <t>SÖDERMANLANDS LÄN</t>
        </is>
      </c>
      <c r="E1131" t="inlineStr">
        <is>
          <t>GNESTA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47122-2019</t>
        </is>
      </c>
      <c r="B1132" s="1" t="n">
        <v>43721</v>
      </c>
      <c r="C1132" s="1" t="n">
        <v>45182</v>
      </c>
      <c r="D1132" t="inlineStr">
        <is>
          <t>SÖDERMANLANDS LÄN</t>
        </is>
      </c>
      <c r="E1132" t="inlineStr">
        <is>
          <t>NYKÖPING</t>
        </is>
      </c>
      <c r="F1132" t="inlineStr">
        <is>
          <t>Övriga Aktiebolag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47196-2019</t>
        </is>
      </c>
      <c r="B1133" s="1" t="n">
        <v>43721</v>
      </c>
      <c r="C1133" s="1" t="n">
        <v>45182</v>
      </c>
      <c r="D1133" t="inlineStr">
        <is>
          <t>SÖDERMANLANDS LÄN</t>
        </is>
      </c>
      <c r="E1133" t="inlineStr">
        <is>
          <t>GNESTA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47345-2019</t>
        </is>
      </c>
      <c r="B1134" s="1" t="n">
        <v>43721</v>
      </c>
      <c r="C1134" s="1" t="n">
        <v>45182</v>
      </c>
      <c r="D1134" t="inlineStr">
        <is>
          <t>SÖDERMANLANDS LÄN</t>
        </is>
      </c>
      <c r="E1134" t="inlineStr">
        <is>
          <t>FLEN</t>
        </is>
      </c>
      <c r="G1134" t="n">
        <v>7.1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47127-2019</t>
        </is>
      </c>
      <c r="B1135" s="1" t="n">
        <v>43721</v>
      </c>
      <c r="C1135" s="1" t="n">
        <v>45182</v>
      </c>
      <c r="D1135" t="inlineStr">
        <is>
          <t>SÖDERMANLANDS LÄN</t>
        </is>
      </c>
      <c r="E1135" t="inlineStr">
        <is>
          <t>NYKÖPING</t>
        </is>
      </c>
      <c r="G1135" t="n">
        <v>49.7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47128-2019</t>
        </is>
      </c>
      <c r="B1136" s="1" t="n">
        <v>43721</v>
      </c>
      <c r="C1136" s="1" t="n">
        <v>45182</v>
      </c>
      <c r="D1136" t="inlineStr">
        <is>
          <t>SÖDERMANLANDS LÄN</t>
        </is>
      </c>
      <c r="E1136" t="inlineStr">
        <is>
          <t>NYKÖPING</t>
        </is>
      </c>
      <c r="G1136" t="n">
        <v>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47200-2019</t>
        </is>
      </c>
      <c r="B1137" s="1" t="n">
        <v>43721</v>
      </c>
      <c r="C1137" s="1" t="n">
        <v>45182</v>
      </c>
      <c r="D1137" t="inlineStr">
        <is>
          <t>SÖDERMANLANDS LÄN</t>
        </is>
      </c>
      <c r="E1137" t="inlineStr">
        <is>
          <t>VINGÅKER</t>
        </is>
      </c>
      <c r="G1137" t="n">
        <v>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47280-2019</t>
        </is>
      </c>
      <c r="B1138" s="1" t="n">
        <v>43721</v>
      </c>
      <c r="C1138" s="1" t="n">
        <v>45182</v>
      </c>
      <c r="D1138" t="inlineStr">
        <is>
          <t>SÖDERMANLANDS LÄN</t>
        </is>
      </c>
      <c r="E1138" t="inlineStr">
        <is>
          <t>ESKILSTUNA</t>
        </is>
      </c>
      <c r="G1138" t="n">
        <v>18.1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47431-2019</t>
        </is>
      </c>
      <c r="B1139" s="1" t="n">
        <v>43723</v>
      </c>
      <c r="C1139" s="1" t="n">
        <v>45182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47537-2019</t>
        </is>
      </c>
      <c r="B1140" s="1" t="n">
        <v>43724</v>
      </c>
      <c r="C1140" s="1" t="n">
        <v>45182</v>
      </c>
      <c r="D1140" t="inlineStr">
        <is>
          <t>SÖDERMANLANDS LÄN</t>
        </is>
      </c>
      <c r="E1140" t="inlineStr">
        <is>
          <t>VINGÅKER</t>
        </is>
      </c>
      <c r="F1140" t="inlineStr">
        <is>
          <t>Övriga Aktiebolag</t>
        </is>
      </c>
      <c r="G1140" t="n">
        <v>4.6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47682-2019</t>
        </is>
      </c>
      <c r="B1141" s="1" t="n">
        <v>43724</v>
      </c>
      <c r="C1141" s="1" t="n">
        <v>45182</v>
      </c>
      <c r="D1141" t="inlineStr">
        <is>
          <t>SÖDERMANLANDS LÄN</t>
        </is>
      </c>
      <c r="E1141" t="inlineStr">
        <is>
          <t>GNESTA</t>
        </is>
      </c>
      <c r="G1141" t="n">
        <v>10.5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47553-2019</t>
        </is>
      </c>
      <c r="B1142" s="1" t="n">
        <v>43724</v>
      </c>
      <c r="C1142" s="1" t="n">
        <v>45182</v>
      </c>
      <c r="D1142" t="inlineStr">
        <is>
          <t>SÖDERMANLANDS LÄN</t>
        </is>
      </c>
      <c r="E1142" t="inlineStr">
        <is>
          <t>VINGÅKER</t>
        </is>
      </c>
      <c r="F1142" t="inlineStr">
        <is>
          <t>Övriga Aktiebolag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47770-2019</t>
        </is>
      </c>
      <c r="B1143" s="1" t="n">
        <v>43724</v>
      </c>
      <c r="C1143" s="1" t="n">
        <v>45182</v>
      </c>
      <c r="D1143" t="inlineStr">
        <is>
          <t>SÖDERMANLANDS LÄN</t>
        </is>
      </c>
      <c r="E1143" t="inlineStr">
        <is>
          <t>GNESTA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47599-2019</t>
        </is>
      </c>
      <c r="B1144" s="1" t="n">
        <v>43724</v>
      </c>
      <c r="C1144" s="1" t="n">
        <v>45182</v>
      </c>
      <c r="D1144" t="inlineStr">
        <is>
          <t>SÖDERMANLANDS LÄN</t>
        </is>
      </c>
      <c r="E1144" t="inlineStr">
        <is>
          <t>VINGÅKER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47825-2019</t>
        </is>
      </c>
      <c r="B1145" s="1" t="n">
        <v>43725</v>
      </c>
      <c r="C1145" s="1" t="n">
        <v>45182</v>
      </c>
      <c r="D1145" t="inlineStr">
        <is>
          <t>SÖDERMANLANDS LÄN</t>
        </is>
      </c>
      <c r="E1145" t="inlineStr">
        <is>
          <t>STRÄNGNÄS</t>
        </is>
      </c>
      <c r="F1145" t="inlineStr">
        <is>
          <t>Övriga Aktiebolag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47866-2019</t>
        </is>
      </c>
      <c r="B1146" s="1" t="n">
        <v>43725</v>
      </c>
      <c r="C1146" s="1" t="n">
        <v>45182</v>
      </c>
      <c r="D1146" t="inlineStr">
        <is>
          <t>SÖDERMANLANDS LÄN</t>
        </is>
      </c>
      <c r="E1146" t="inlineStr">
        <is>
          <t>VINGÅKER</t>
        </is>
      </c>
      <c r="G1146" t="n">
        <v>5.3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47935-2019</t>
        </is>
      </c>
      <c r="B1147" s="1" t="n">
        <v>43725</v>
      </c>
      <c r="C1147" s="1" t="n">
        <v>45182</v>
      </c>
      <c r="D1147" t="inlineStr">
        <is>
          <t>SÖDERMANLANDS LÄN</t>
        </is>
      </c>
      <c r="E1147" t="inlineStr">
        <is>
          <t>KATRINEHOLM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48078-2019</t>
        </is>
      </c>
      <c r="B1148" s="1" t="n">
        <v>43725</v>
      </c>
      <c r="C1148" s="1" t="n">
        <v>45182</v>
      </c>
      <c r="D1148" t="inlineStr">
        <is>
          <t>SÖDERMANLANDS LÄN</t>
        </is>
      </c>
      <c r="E1148" t="inlineStr">
        <is>
          <t>FLEN</t>
        </is>
      </c>
      <c r="G1148" t="n">
        <v>3.5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48240-2019</t>
        </is>
      </c>
      <c r="B1149" s="1" t="n">
        <v>43726</v>
      </c>
      <c r="C1149" s="1" t="n">
        <v>45182</v>
      </c>
      <c r="D1149" t="inlineStr">
        <is>
          <t>SÖDERMANLANDS LÄN</t>
        </is>
      </c>
      <c r="E1149" t="inlineStr">
        <is>
          <t>FLEN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48581-2019</t>
        </is>
      </c>
      <c r="B1150" s="1" t="n">
        <v>43727</v>
      </c>
      <c r="C1150" s="1" t="n">
        <v>45182</v>
      </c>
      <c r="D1150" t="inlineStr">
        <is>
          <t>SÖDERMANLANDS LÄN</t>
        </is>
      </c>
      <c r="E1150" t="inlineStr">
        <is>
          <t>KATRINEHOLM</t>
        </is>
      </c>
      <c r="G1150" t="n">
        <v>14.3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48792-2019</t>
        </is>
      </c>
      <c r="B1151" s="1" t="n">
        <v>43727</v>
      </c>
      <c r="C1151" s="1" t="n">
        <v>45182</v>
      </c>
      <c r="D1151" t="inlineStr">
        <is>
          <t>SÖDERMANLANDS LÄN</t>
        </is>
      </c>
      <c r="E1151" t="inlineStr">
        <is>
          <t>STRÄNGNÄS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48452-2019</t>
        </is>
      </c>
      <c r="B1152" s="1" t="n">
        <v>43727</v>
      </c>
      <c r="C1152" s="1" t="n">
        <v>45182</v>
      </c>
      <c r="D1152" t="inlineStr">
        <is>
          <t>SÖDERMANLANDS LÄN</t>
        </is>
      </c>
      <c r="E1152" t="inlineStr">
        <is>
          <t>NYKÖPING</t>
        </is>
      </c>
      <c r="G1152" t="n">
        <v>4.4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48726-2019</t>
        </is>
      </c>
      <c r="B1153" s="1" t="n">
        <v>43728</v>
      </c>
      <c r="C1153" s="1" t="n">
        <v>45182</v>
      </c>
      <c r="D1153" t="inlineStr">
        <is>
          <t>SÖDERMANLANDS LÄN</t>
        </is>
      </c>
      <c r="E1153" t="inlineStr">
        <is>
          <t>NYKÖPING</t>
        </is>
      </c>
      <c r="G1153" t="n">
        <v>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48829-2019</t>
        </is>
      </c>
      <c r="B1154" s="1" t="n">
        <v>43728</v>
      </c>
      <c r="C1154" s="1" t="n">
        <v>45182</v>
      </c>
      <c r="D1154" t="inlineStr">
        <is>
          <t>SÖDERMANLANDS LÄN</t>
        </is>
      </c>
      <c r="E1154" t="inlineStr">
        <is>
          <t>GNESTA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48827-2019</t>
        </is>
      </c>
      <c r="B1155" s="1" t="n">
        <v>43728</v>
      </c>
      <c r="C1155" s="1" t="n">
        <v>45182</v>
      </c>
      <c r="D1155" t="inlineStr">
        <is>
          <t>SÖDERMANLANDS LÄN</t>
        </is>
      </c>
      <c r="E1155" t="inlineStr">
        <is>
          <t>GNESTA</t>
        </is>
      </c>
      <c r="G1155" t="n">
        <v>2.9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48848-2019</t>
        </is>
      </c>
      <c r="B1156" s="1" t="n">
        <v>43728</v>
      </c>
      <c r="C1156" s="1" t="n">
        <v>45182</v>
      </c>
      <c r="D1156" t="inlineStr">
        <is>
          <t>SÖDERMANLANDS LÄN</t>
        </is>
      </c>
      <c r="E1156" t="inlineStr">
        <is>
          <t>NYKÖPING</t>
        </is>
      </c>
      <c r="G1156" t="n">
        <v>6.2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48943-2019</t>
        </is>
      </c>
      <c r="B1157" s="1" t="n">
        <v>43728</v>
      </c>
      <c r="C1157" s="1" t="n">
        <v>45182</v>
      </c>
      <c r="D1157" t="inlineStr">
        <is>
          <t>SÖDERMANLANDS LÄN</t>
        </is>
      </c>
      <c r="E1157" t="inlineStr">
        <is>
          <t>ESKILSTUNA</t>
        </is>
      </c>
      <c r="F1157" t="inlineStr">
        <is>
          <t>Naturvårdsverket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49342-2019</t>
        </is>
      </c>
      <c r="B1158" s="1" t="n">
        <v>43730</v>
      </c>
      <c r="C1158" s="1" t="n">
        <v>45182</v>
      </c>
      <c r="D1158" t="inlineStr">
        <is>
          <t>SÖDERMANLANDS LÄN</t>
        </is>
      </c>
      <c r="E1158" t="inlineStr">
        <is>
          <t>FLEN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49320-2019</t>
        </is>
      </c>
      <c r="B1159" s="1" t="n">
        <v>43731</v>
      </c>
      <c r="C1159" s="1" t="n">
        <v>45182</v>
      </c>
      <c r="D1159" t="inlineStr">
        <is>
          <t>SÖDERMANLANDS LÄN</t>
        </is>
      </c>
      <c r="E1159" t="inlineStr">
        <is>
          <t>VINGÅKER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49315-2019</t>
        </is>
      </c>
      <c r="B1160" s="1" t="n">
        <v>43731</v>
      </c>
      <c r="C1160" s="1" t="n">
        <v>45182</v>
      </c>
      <c r="D1160" t="inlineStr">
        <is>
          <t>SÖDERMANLANDS LÄN</t>
        </is>
      </c>
      <c r="E1160" t="inlineStr">
        <is>
          <t>VINGÅKER</t>
        </is>
      </c>
      <c r="G1160" t="n">
        <v>7.3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49346-2019</t>
        </is>
      </c>
      <c r="B1161" s="1" t="n">
        <v>43731</v>
      </c>
      <c r="C1161" s="1" t="n">
        <v>45182</v>
      </c>
      <c r="D1161" t="inlineStr">
        <is>
          <t>SÖDERMANLANDS LÄN</t>
        </is>
      </c>
      <c r="E1161" t="inlineStr">
        <is>
          <t>KATRINEHOLM</t>
        </is>
      </c>
      <c r="G1161" t="n">
        <v>4.1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49088-2019</t>
        </is>
      </c>
      <c r="B1162" s="1" t="n">
        <v>43731</v>
      </c>
      <c r="C1162" s="1" t="n">
        <v>45182</v>
      </c>
      <c r="D1162" t="inlineStr">
        <is>
          <t>SÖDERMANLANDS LÄN</t>
        </is>
      </c>
      <c r="E1162" t="inlineStr">
        <is>
          <t>VINGÅKER</t>
        </is>
      </c>
      <c r="G1162" t="n">
        <v>11.5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49101-2019</t>
        </is>
      </c>
      <c r="B1163" s="1" t="n">
        <v>43731</v>
      </c>
      <c r="C1163" s="1" t="n">
        <v>45182</v>
      </c>
      <c r="D1163" t="inlineStr">
        <is>
          <t>SÖDERMANLANDS LÄN</t>
        </is>
      </c>
      <c r="E1163" t="inlineStr">
        <is>
          <t>VINGÅKER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49515-2019</t>
        </is>
      </c>
      <c r="B1164" s="1" t="n">
        <v>43732</v>
      </c>
      <c r="C1164" s="1" t="n">
        <v>45182</v>
      </c>
      <c r="D1164" t="inlineStr">
        <is>
          <t>SÖDERMANLANDS LÄN</t>
        </is>
      </c>
      <c r="E1164" t="inlineStr">
        <is>
          <t>TROSA</t>
        </is>
      </c>
      <c r="F1164" t="inlineStr">
        <is>
          <t>Holmen skog AB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51122-2019</t>
        </is>
      </c>
      <c r="B1165" s="1" t="n">
        <v>43732</v>
      </c>
      <c r="C1165" s="1" t="n">
        <v>45182</v>
      </c>
      <c r="D1165" t="inlineStr">
        <is>
          <t>SÖDERMANLANDS LÄN</t>
        </is>
      </c>
      <c r="E1165" t="inlineStr">
        <is>
          <t>VINGÅKER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49630-2019</t>
        </is>
      </c>
      <c r="B1166" s="1" t="n">
        <v>43732</v>
      </c>
      <c r="C1166" s="1" t="n">
        <v>45182</v>
      </c>
      <c r="D1166" t="inlineStr">
        <is>
          <t>SÖDERMANLANDS LÄN</t>
        </is>
      </c>
      <c r="E1166" t="inlineStr">
        <is>
          <t>ESKILSTUNA</t>
        </is>
      </c>
      <c r="G1166" t="n">
        <v>1.3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49628-2019</t>
        </is>
      </c>
      <c r="B1167" s="1" t="n">
        <v>43732</v>
      </c>
      <c r="C1167" s="1" t="n">
        <v>45182</v>
      </c>
      <c r="D1167" t="inlineStr">
        <is>
          <t>SÖDERMANLANDS LÄN</t>
        </is>
      </c>
      <c r="E1167" t="inlineStr">
        <is>
          <t>ESKILSTUNA</t>
        </is>
      </c>
      <c r="G1167" t="n">
        <v>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50184-2019</t>
        </is>
      </c>
      <c r="B1168" s="1" t="n">
        <v>43733</v>
      </c>
      <c r="C1168" s="1" t="n">
        <v>45182</v>
      </c>
      <c r="D1168" t="inlineStr">
        <is>
          <t>SÖDERMANLANDS LÄN</t>
        </is>
      </c>
      <c r="E1168" t="inlineStr">
        <is>
          <t>VINGÅKER</t>
        </is>
      </c>
      <c r="F1168" t="inlineStr">
        <is>
          <t>Övriga Aktiebolag</t>
        </is>
      </c>
      <c r="G1168" t="n">
        <v>6.6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50046-2019</t>
        </is>
      </c>
      <c r="B1169" s="1" t="n">
        <v>43733</v>
      </c>
      <c r="C1169" s="1" t="n">
        <v>45182</v>
      </c>
      <c r="D1169" t="inlineStr">
        <is>
          <t>SÖDERMANLANDS LÄN</t>
        </is>
      </c>
      <c r="E1169" t="inlineStr">
        <is>
          <t>NYKÖPING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50192-2019</t>
        </is>
      </c>
      <c r="B1170" s="1" t="n">
        <v>43733</v>
      </c>
      <c r="C1170" s="1" t="n">
        <v>45182</v>
      </c>
      <c r="D1170" t="inlineStr">
        <is>
          <t>SÖDERMANLANDS LÄN</t>
        </is>
      </c>
      <c r="E1170" t="inlineStr">
        <is>
          <t>VINGÅKER</t>
        </is>
      </c>
      <c r="F1170" t="inlineStr">
        <is>
          <t>Övriga Aktiebolag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50018-2019</t>
        </is>
      </c>
      <c r="B1171" s="1" t="n">
        <v>43734</v>
      </c>
      <c r="C1171" s="1" t="n">
        <v>45182</v>
      </c>
      <c r="D1171" t="inlineStr">
        <is>
          <t>SÖDERMANLANDS LÄN</t>
        </is>
      </c>
      <c r="E1171" t="inlineStr">
        <is>
          <t>GNESTA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50149-2019</t>
        </is>
      </c>
      <c r="B1172" s="1" t="n">
        <v>43734</v>
      </c>
      <c r="C1172" s="1" t="n">
        <v>45182</v>
      </c>
      <c r="D1172" t="inlineStr">
        <is>
          <t>SÖDERMANLANDS LÄN</t>
        </is>
      </c>
      <c r="E1172" t="inlineStr">
        <is>
          <t>NYKÖPING</t>
        </is>
      </c>
      <c r="F1172" t="inlineStr">
        <is>
          <t>Holmen skog AB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50205-2019</t>
        </is>
      </c>
      <c r="B1173" s="1" t="n">
        <v>43734</v>
      </c>
      <c r="C1173" s="1" t="n">
        <v>45182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2.9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50176-2019</t>
        </is>
      </c>
      <c r="B1174" s="1" t="n">
        <v>43734</v>
      </c>
      <c r="C1174" s="1" t="n">
        <v>45182</v>
      </c>
      <c r="D1174" t="inlineStr">
        <is>
          <t>SÖDERMANLANDS LÄN</t>
        </is>
      </c>
      <c r="E1174" t="inlineStr">
        <is>
          <t>STRÄNGNÄS</t>
        </is>
      </c>
      <c r="F1174" t="inlineStr">
        <is>
          <t>Allmännings- och besparingsskogar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52086-2019</t>
        </is>
      </c>
      <c r="B1175" s="1" t="n">
        <v>43735</v>
      </c>
      <c r="C1175" s="1" t="n">
        <v>45182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2.1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50339-2019</t>
        </is>
      </c>
      <c r="B1176" s="1" t="n">
        <v>43735</v>
      </c>
      <c r="C1176" s="1" t="n">
        <v>45182</v>
      </c>
      <c r="D1176" t="inlineStr">
        <is>
          <t>SÖDERMANLANDS LÄN</t>
        </is>
      </c>
      <c r="E1176" t="inlineStr">
        <is>
          <t>ESKILSTUNA</t>
        </is>
      </c>
      <c r="F1176" t="inlineStr">
        <is>
          <t>Allmännings- och besparingsskogar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52147-2019</t>
        </is>
      </c>
      <c r="B1177" s="1" t="n">
        <v>43735</v>
      </c>
      <c r="C1177" s="1" t="n">
        <v>45182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50951-2019</t>
        </is>
      </c>
      <c r="B1178" s="1" t="n">
        <v>43738</v>
      </c>
      <c r="C1178" s="1" t="n">
        <v>45182</v>
      </c>
      <c r="D1178" t="inlineStr">
        <is>
          <t>SÖDERMANLANDS LÄN</t>
        </is>
      </c>
      <c r="E1178" t="inlineStr">
        <is>
          <t>ESKILSTUNA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50710-2019</t>
        </is>
      </c>
      <c r="B1179" s="1" t="n">
        <v>43738</v>
      </c>
      <c r="C1179" s="1" t="n">
        <v>45182</v>
      </c>
      <c r="D1179" t="inlineStr">
        <is>
          <t>SÖDERMANLANDS LÄN</t>
        </is>
      </c>
      <c r="E1179" t="inlineStr">
        <is>
          <t>FLEN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50869-2019</t>
        </is>
      </c>
      <c r="B1180" s="1" t="n">
        <v>43738</v>
      </c>
      <c r="C1180" s="1" t="n">
        <v>45182</v>
      </c>
      <c r="D1180" t="inlineStr">
        <is>
          <t>SÖDERMANLANDS LÄN</t>
        </is>
      </c>
      <c r="E1180" t="inlineStr">
        <is>
          <t>NYKÖPING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51233-2019</t>
        </is>
      </c>
      <c r="B1181" s="1" t="n">
        <v>43739</v>
      </c>
      <c r="C1181" s="1" t="n">
        <v>45182</v>
      </c>
      <c r="D1181" t="inlineStr">
        <is>
          <t>SÖDERMANLANDS LÄN</t>
        </is>
      </c>
      <c r="E1181" t="inlineStr">
        <is>
          <t>KATRINEHOLM</t>
        </is>
      </c>
      <c r="G1181" t="n">
        <v>7.4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51298-2019</t>
        </is>
      </c>
      <c r="B1182" s="1" t="n">
        <v>43739</v>
      </c>
      <c r="C1182" s="1" t="n">
        <v>45182</v>
      </c>
      <c r="D1182" t="inlineStr">
        <is>
          <t>SÖDERMANLANDS LÄN</t>
        </is>
      </c>
      <c r="E1182" t="inlineStr">
        <is>
          <t>NYKÖPING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51139-2019</t>
        </is>
      </c>
      <c r="B1183" s="1" t="n">
        <v>43739</v>
      </c>
      <c r="C1183" s="1" t="n">
        <v>45182</v>
      </c>
      <c r="D1183" t="inlineStr">
        <is>
          <t>SÖDERMANLANDS LÄN</t>
        </is>
      </c>
      <c r="E1183" t="inlineStr">
        <is>
          <t>VINGÅKER</t>
        </is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51296-2019</t>
        </is>
      </c>
      <c r="B1184" s="1" t="n">
        <v>43739</v>
      </c>
      <c r="C1184" s="1" t="n">
        <v>45182</v>
      </c>
      <c r="D1184" t="inlineStr">
        <is>
          <t>SÖDERMANLANDS LÄN</t>
        </is>
      </c>
      <c r="E1184" t="inlineStr">
        <is>
          <t>NYKÖPING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51109-2019</t>
        </is>
      </c>
      <c r="B1185" s="1" t="n">
        <v>43739</v>
      </c>
      <c r="C1185" s="1" t="n">
        <v>45182</v>
      </c>
      <c r="D1185" t="inlineStr">
        <is>
          <t>SÖDERMANLANDS LÄN</t>
        </is>
      </c>
      <c r="E1185" t="inlineStr">
        <is>
          <t>KATRINEHOLM</t>
        </is>
      </c>
      <c r="G1185" t="n">
        <v>7.8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51170-2019</t>
        </is>
      </c>
      <c r="B1186" s="1" t="n">
        <v>43739</v>
      </c>
      <c r="C1186" s="1" t="n">
        <v>45182</v>
      </c>
      <c r="D1186" t="inlineStr">
        <is>
          <t>SÖDERMANLANDS LÄN</t>
        </is>
      </c>
      <c r="E1186" t="inlineStr">
        <is>
          <t>FLEN</t>
        </is>
      </c>
      <c r="G1186" t="n">
        <v>3.2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51151-2019</t>
        </is>
      </c>
      <c r="B1187" s="1" t="n">
        <v>43739</v>
      </c>
      <c r="C1187" s="1" t="n">
        <v>45182</v>
      </c>
      <c r="D1187" t="inlineStr">
        <is>
          <t>SÖDERMANLANDS LÄN</t>
        </is>
      </c>
      <c r="E1187" t="inlineStr">
        <is>
          <t>VINGÅKER</t>
        </is>
      </c>
      <c r="G1187" t="n">
        <v>2.2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51292-2019</t>
        </is>
      </c>
      <c r="B1188" s="1" t="n">
        <v>43739</v>
      </c>
      <c r="C1188" s="1" t="n">
        <v>45182</v>
      </c>
      <c r="D1188" t="inlineStr">
        <is>
          <t>SÖDERMANLANDS LÄN</t>
        </is>
      </c>
      <c r="E1188" t="inlineStr">
        <is>
          <t>ESKILSTUNA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52889-2019</t>
        </is>
      </c>
      <c r="B1189" s="1" t="n">
        <v>43740</v>
      </c>
      <c r="C1189" s="1" t="n">
        <v>45182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51636-2019</t>
        </is>
      </c>
      <c r="B1190" s="1" t="n">
        <v>43740</v>
      </c>
      <c r="C1190" s="1" t="n">
        <v>45182</v>
      </c>
      <c r="D1190" t="inlineStr">
        <is>
          <t>SÖDERMANLANDS LÄN</t>
        </is>
      </c>
      <c r="E1190" t="inlineStr">
        <is>
          <t>VINGÅKER</t>
        </is>
      </c>
      <c r="G1190" t="n">
        <v>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51648-2019</t>
        </is>
      </c>
      <c r="B1191" s="1" t="n">
        <v>43740</v>
      </c>
      <c r="C1191" s="1" t="n">
        <v>45182</v>
      </c>
      <c r="D1191" t="inlineStr">
        <is>
          <t>SÖDERMANLANDS LÄN</t>
        </is>
      </c>
      <c r="E1191" t="inlineStr">
        <is>
          <t>ESKILSTUNA</t>
        </is>
      </c>
      <c r="G1191" t="n">
        <v>4.3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52894-2019</t>
        </is>
      </c>
      <c r="B1192" s="1" t="n">
        <v>43740</v>
      </c>
      <c r="C1192" s="1" t="n">
        <v>45182</v>
      </c>
      <c r="D1192" t="inlineStr">
        <is>
          <t>SÖDERMANLANDS LÄN</t>
        </is>
      </c>
      <c r="E1192" t="inlineStr">
        <is>
          <t>VINGÅKER</t>
        </is>
      </c>
      <c r="G1192" t="n">
        <v>5.5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51637-2019</t>
        </is>
      </c>
      <c r="B1193" s="1" t="n">
        <v>43740</v>
      </c>
      <c r="C1193" s="1" t="n">
        <v>45182</v>
      </c>
      <c r="D1193" t="inlineStr">
        <is>
          <t>SÖDERMANLANDS LÄN</t>
        </is>
      </c>
      <c r="E1193" t="inlineStr">
        <is>
          <t>VINGÅKER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51738-2019</t>
        </is>
      </c>
      <c r="B1194" s="1" t="n">
        <v>43740</v>
      </c>
      <c r="C1194" s="1" t="n">
        <v>45182</v>
      </c>
      <c r="D1194" t="inlineStr">
        <is>
          <t>SÖDERMANLANDS LÄN</t>
        </is>
      </c>
      <c r="E1194" t="inlineStr">
        <is>
          <t>FLEN</t>
        </is>
      </c>
      <c r="G1194" t="n">
        <v>2.8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51468-2019</t>
        </is>
      </c>
      <c r="B1195" s="1" t="n">
        <v>43740</v>
      </c>
      <c r="C1195" s="1" t="n">
        <v>45182</v>
      </c>
      <c r="D1195" t="inlineStr">
        <is>
          <t>SÖDERMANLANDS LÄN</t>
        </is>
      </c>
      <c r="E1195" t="inlineStr">
        <is>
          <t>STRÄNGNÄS</t>
        </is>
      </c>
      <c r="G1195" t="n">
        <v>16.5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52892-2019</t>
        </is>
      </c>
      <c r="B1196" s="1" t="n">
        <v>43740</v>
      </c>
      <c r="C1196" s="1" t="n">
        <v>45182</v>
      </c>
      <c r="D1196" t="inlineStr">
        <is>
          <t>SÖDERMANLANDS LÄN</t>
        </is>
      </c>
      <c r="E1196" t="inlineStr">
        <is>
          <t>VINGÅKER</t>
        </is>
      </c>
      <c r="G1196" t="n">
        <v>3.3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51852-2019</t>
        </is>
      </c>
      <c r="B1197" s="1" t="n">
        <v>43741</v>
      </c>
      <c r="C1197" s="1" t="n">
        <v>45182</v>
      </c>
      <c r="D1197" t="inlineStr">
        <is>
          <t>SÖDERMANLANDS LÄN</t>
        </is>
      </c>
      <c r="E1197" t="inlineStr">
        <is>
          <t>KATRINEHOLM</t>
        </is>
      </c>
      <c r="G1197" t="n">
        <v>16.4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51871-2019</t>
        </is>
      </c>
      <c r="B1198" s="1" t="n">
        <v>43741</v>
      </c>
      <c r="C1198" s="1" t="n">
        <v>45182</v>
      </c>
      <c r="D1198" t="inlineStr">
        <is>
          <t>SÖDERMANLANDS LÄN</t>
        </is>
      </c>
      <c r="E1198" t="inlineStr">
        <is>
          <t>KATRINEHOLM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54024-2019</t>
        </is>
      </c>
      <c r="B1199" s="1" t="n">
        <v>43742</v>
      </c>
      <c r="C1199" s="1" t="n">
        <v>45182</v>
      </c>
      <c r="D1199" t="inlineStr">
        <is>
          <t>SÖDERMANLANDS LÄN</t>
        </is>
      </c>
      <c r="E1199" t="inlineStr">
        <is>
          <t>STRÄNGNÄS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54017-2019</t>
        </is>
      </c>
      <c r="B1200" s="1" t="n">
        <v>43742</v>
      </c>
      <c r="C1200" s="1" t="n">
        <v>45182</v>
      </c>
      <c r="D1200" t="inlineStr">
        <is>
          <t>SÖDERMANLANDS LÄN</t>
        </is>
      </c>
      <c r="E1200" t="inlineStr">
        <is>
          <t>STRÄNGNÄS</t>
        </is>
      </c>
      <c r="G1200" t="n">
        <v>9.6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54028-2019</t>
        </is>
      </c>
      <c r="B1201" s="1" t="n">
        <v>43742</v>
      </c>
      <c r="C1201" s="1" t="n">
        <v>45182</v>
      </c>
      <c r="D1201" t="inlineStr">
        <is>
          <t>SÖDERMANLANDS LÄN</t>
        </is>
      </c>
      <c r="E1201" t="inlineStr">
        <is>
          <t>STRÄNGNÄS</t>
        </is>
      </c>
      <c r="G1201" t="n">
        <v>3.6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54305-2019</t>
        </is>
      </c>
      <c r="B1202" s="1" t="n">
        <v>43745</v>
      </c>
      <c r="C1202" s="1" t="n">
        <v>45182</v>
      </c>
      <c r="D1202" t="inlineStr">
        <is>
          <t>SÖDERMANLANDS LÄN</t>
        </is>
      </c>
      <c r="E1202" t="inlineStr">
        <is>
          <t>KATRINEHOLM</t>
        </is>
      </c>
      <c r="G1202" t="n">
        <v>9.6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52314-2019</t>
        </is>
      </c>
      <c r="B1203" s="1" t="n">
        <v>43745</v>
      </c>
      <c r="C1203" s="1" t="n">
        <v>45182</v>
      </c>
      <c r="D1203" t="inlineStr">
        <is>
          <t>SÖDERMANLANDS LÄN</t>
        </is>
      </c>
      <c r="E1203" t="inlineStr">
        <is>
          <t>VINGÅKER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52465-2019</t>
        </is>
      </c>
      <c r="B1204" s="1" t="n">
        <v>43745</v>
      </c>
      <c r="C1204" s="1" t="n">
        <v>45182</v>
      </c>
      <c r="D1204" t="inlineStr">
        <is>
          <t>SÖDERMANLANDS LÄN</t>
        </is>
      </c>
      <c r="E1204" t="inlineStr">
        <is>
          <t>TROSA</t>
        </is>
      </c>
      <c r="G1204" t="n">
        <v>2.2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54175-2019</t>
        </is>
      </c>
      <c r="B1205" s="1" t="n">
        <v>43745</v>
      </c>
      <c r="C1205" s="1" t="n">
        <v>45182</v>
      </c>
      <c r="D1205" t="inlineStr">
        <is>
          <t>SÖDERMANLANDS LÄN</t>
        </is>
      </c>
      <c r="E1205" t="inlineStr">
        <is>
          <t>FLEN</t>
        </is>
      </c>
      <c r="G1205" t="n">
        <v>3.9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54310-2019</t>
        </is>
      </c>
      <c r="B1206" s="1" t="n">
        <v>43745</v>
      </c>
      <c r="C1206" s="1" t="n">
        <v>45182</v>
      </c>
      <c r="D1206" t="inlineStr">
        <is>
          <t>SÖDERMANLANDS LÄN</t>
        </is>
      </c>
      <c r="E1206" t="inlineStr">
        <is>
          <t>KATRINEHOLM</t>
        </is>
      </c>
      <c r="F1206" t="inlineStr">
        <is>
          <t>Övriga Aktiebolag</t>
        </is>
      </c>
      <c r="G1206" t="n">
        <v>3.4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52550-2019</t>
        </is>
      </c>
      <c r="B1207" s="1" t="n">
        <v>43745</v>
      </c>
      <c r="C1207" s="1" t="n">
        <v>45182</v>
      </c>
      <c r="D1207" t="inlineStr">
        <is>
          <t>SÖDERMANLANDS LÄN</t>
        </is>
      </c>
      <c r="E1207" t="inlineStr">
        <is>
          <t>VINGÅKER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54321-2019</t>
        </is>
      </c>
      <c r="B1208" s="1" t="n">
        <v>43745</v>
      </c>
      <c r="C1208" s="1" t="n">
        <v>45182</v>
      </c>
      <c r="D1208" t="inlineStr">
        <is>
          <t>SÖDERMANLANDS LÄN</t>
        </is>
      </c>
      <c r="E1208" t="inlineStr">
        <is>
          <t>KATRINEHOLM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52676-2019</t>
        </is>
      </c>
      <c r="B1209" s="1" t="n">
        <v>43746</v>
      </c>
      <c r="C1209" s="1" t="n">
        <v>45182</v>
      </c>
      <c r="D1209" t="inlineStr">
        <is>
          <t>SÖDERMANLANDS LÄN</t>
        </is>
      </c>
      <c r="E1209" t="inlineStr">
        <is>
          <t>NYKÖPING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52717-2019</t>
        </is>
      </c>
      <c r="B1210" s="1" t="n">
        <v>43746</v>
      </c>
      <c r="C1210" s="1" t="n">
        <v>45182</v>
      </c>
      <c r="D1210" t="inlineStr">
        <is>
          <t>SÖDERMANLANDS LÄN</t>
        </is>
      </c>
      <c r="E1210" t="inlineStr">
        <is>
          <t>ESKILSTUNA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52871-2019</t>
        </is>
      </c>
      <c r="B1211" s="1" t="n">
        <v>43746</v>
      </c>
      <c r="C1211" s="1" t="n">
        <v>45182</v>
      </c>
      <c r="D1211" t="inlineStr">
        <is>
          <t>SÖDERMANLANDS LÄN</t>
        </is>
      </c>
      <c r="E1211" t="inlineStr">
        <is>
          <t>FLEN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52720-2019</t>
        </is>
      </c>
      <c r="B1212" s="1" t="n">
        <v>43746</v>
      </c>
      <c r="C1212" s="1" t="n">
        <v>45182</v>
      </c>
      <c r="D1212" t="inlineStr">
        <is>
          <t>SÖDERMANLANDS LÄN</t>
        </is>
      </c>
      <c r="E1212" t="inlineStr">
        <is>
          <t>ESKILSTUNA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54412-2019</t>
        </is>
      </c>
      <c r="B1213" s="1" t="n">
        <v>43747</v>
      </c>
      <c r="C1213" s="1" t="n">
        <v>45182</v>
      </c>
      <c r="D1213" t="inlineStr">
        <is>
          <t>SÖDERMANLANDS LÄN</t>
        </is>
      </c>
      <c r="E1213" t="inlineStr">
        <is>
          <t>FLEN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53145-2019</t>
        </is>
      </c>
      <c r="B1214" s="1" t="n">
        <v>43747</v>
      </c>
      <c r="C1214" s="1" t="n">
        <v>45182</v>
      </c>
      <c r="D1214" t="inlineStr">
        <is>
          <t>SÖDERMANLANDS LÄN</t>
        </is>
      </c>
      <c r="E1214" t="inlineStr">
        <is>
          <t>VINGÅKER</t>
        </is>
      </c>
      <c r="G1214" t="n">
        <v>8.1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53762-2019</t>
        </is>
      </c>
      <c r="B1215" s="1" t="n">
        <v>43750</v>
      </c>
      <c r="C1215" s="1" t="n">
        <v>45182</v>
      </c>
      <c r="D1215" t="inlineStr">
        <is>
          <t>SÖDERMANLANDS LÄN</t>
        </is>
      </c>
      <c r="E1215" t="inlineStr">
        <is>
          <t>KATRINEHOLM</t>
        </is>
      </c>
      <c r="G1215" t="n">
        <v>2.5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53786-2019</t>
        </is>
      </c>
      <c r="B1216" s="1" t="n">
        <v>43751</v>
      </c>
      <c r="C1216" s="1" t="n">
        <v>45182</v>
      </c>
      <c r="D1216" t="inlineStr">
        <is>
          <t>SÖDERMANLANDS LÄN</t>
        </is>
      </c>
      <c r="E1216" t="inlineStr">
        <is>
          <t>NYKÖPING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53933-2019</t>
        </is>
      </c>
      <c r="B1217" s="1" t="n">
        <v>43752</v>
      </c>
      <c r="C1217" s="1" t="n">
        <v>45182</v>
      </c>
      <c r="D1217" t="inlineStr">
        <is>
          <t>SÖDERMANLANDS LÄN</t>
        </is>
      </c>
      <c r="E1217" t="inlineStr">
        <is>
          <t>GNESTA</t>
        </is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53876-2019</t>
        </is>
      </c>
      <c r="B1218" s="1" t="n">
        <v>43752</v>
      </c>
      <c r="C1218" s="1" t="n">
        <v>45182</v>
      </c>
      <c r="D1218" t="inlineStr">
        <is>
          <t>SÖDERMANLANDS LÄN</t>
        </is>
      </c>
      <c r="E1218" t="inlineStr">
        <is>
          <t>ESKILSTUNA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55088-2019</t>
        </is>
      </c>
      <c r="B1219" s="1" t="n">
        <v>43752</v>
      </c>
      <c r="C1219" s="1" t="n">
        <v>45182</v>
      </c>
      <c r="D1219" t="inlineStr">
        <is>
          <t>SÖDERMANLANDS LÄN</t>
        </is>
      </c>
      <c r="E1219" t="inlineStr">
        <is>
          <t>FLEN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55122-2019</t>
        </is>
      </c>
      <c r="B1220" s="1" t="n">
        <v>43752</v>
      </c>
      <c r="C1220" s="1" t="n">
        <v>45182</v>
      </c>
      <c r="D1220" t="inlineStr">
        <is>
          <t>SÖDERMANLANDS LÄN</t>
        </is>
      </c>
      <c r="E1220" t="inlineStr">
        <is>
          <t>FLEN</t>
        </is>
      </c>
      <c r="F1220" t="inlineStr">
        <is>
          <t>Övriga statliga verk och myndigheter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53945-2019</t>
        </is>
      </c>
      <c r="B1221" s="1" t="n">
        <v>43752</v>
      </c>
      <c r="C1221" s="1" t="n">
        <v>45182</v>
      </c>
      <c r="D1221" t="inlineStr">
        <is>
          <t>SÖDERMANLANDS LÄN</t>
        </is>
      </c>
      <c r="E1221" t="inlineStr">
        <is>
          <t>GNESTA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54208-2019</t>
        </is>
      </c>
      <c r="B1222" s="1" t="n">
        <v>43753</v>
      </c>
      <c r="C1222" s="1" t="n">
        <v>45182</v>
      </c>
      <c r="D1222" t="inlineStr">
        <is>
          <t>SÖDERMANLANDS LÄN</t>
        </is>
      </c>
      <c r="E1222" t="inlineStr">
        <is>
          <t>NYKÖPING</t>
        </is>
      </c>
      <c r="F1222" t="inlineStr">
        <is>
          <t>Sveaskog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54248-2019</t>
        </is>
      </c>
      <c r="B1223" s="1" t="n">
        <v>43753</v>
      </c>
      <c r="C1223" s="1" t="n">
        <v>45182</v>
      </c>
      <c r="D1223" t="inlineStr">
        <is>
          <t>SÖDERMANLANDS LÄN</t>
        </is>
      </c>
      <c r="E1223" t="inlineStr">
        <is>
          <t>KATRINEHOLM</t>
        </is>
      </c>
      <c r="G1223" t="n">
        <v>9.800000000000001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54307-2019</t>
        </is>
      </c>
      <c r="B1224" s="1" t="n">
        <v>43753</v>
      </c>
      <c r="C1224" s="1" t="n">
        <v>45182</v>
      </c>
      <c r="D1224" t="inlineStr">
        <is>
          <t>SÖDERMANLANDS LÄN</t>
        </is>
      </c>
      <c r="E1224" t="inlineStr">
        <is>
          <t>FLEN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55232-2019</t>
        </is>
      </c>
      <c r="B1225" s="1" t="n">
        <v>43753</v>
      </c>
      <c r="C1225" s="1" t="n">
        <v>45182</v>
      </c>
      <c r="D1225" t="inlineStr">
        <is>
          <t>SÖDERMANLANDS LÄN</t>
        </is>
      </c>
      <c r="E1225" t="inlineStr">
        <is>
          <t>KATRINEHOLM</t>
        </is>
      </c>
      <c r="G1225" t="n">
        <v>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54244-2019</t>
        </is>
      </c>
      <c r="B1226" s="1" t="n">
        <v>43753</v>
      </c>
      <c r="C1226" s="1" t="n">
        <v>45182</v>
      </c>
      <c r="D1226" t="inlineStr">
        <is>
          <t>SÖDERMANLANDS LÄN</t>
        </is>
      </c>
      <c r="E1226" t="inlineStr">
        <is>
          <t>NYKÖPING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54263-2019</t>
        </is>
      </c>
      <c r="B1227" s="1" t="n">
        <v>43753</v>
      </c>
      <c r="C1227" s="1" t="n">
        <v>45182</v>
      </c>
      <c r="D1227" t="inlineStr">
        <is>
          <t>SÖDERMANLANDS LÄN</t>
        </is>
      </c>
      <c r="E1227" t="inlineStr">
        <is>
          <t>KATRINEHOLM</t>
        </is>
      </c>
      <c r="G1227" t="n">
        <v>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54648-2019</t>
        </is>
      </c>
      <c r="B1228" s="1" t="n">
        <v>43754</v>
      </c>
      <c r="C1228" s="1" t="n">
        <v>45182</v>
      </c>
      <c r="D1228" t="inlineStr">
        <is>
          <t>SÖDERMANLANDS LÄN</t>
        </is>
      </c>
      <c r="E1228" t="inlineStr">
        <is>
          <t>ESKILSTUNA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54686-2019</t>
        </is>
      </c>
      <c r="B1229" s="1" t="n">
        <v>43754</v>
      </c>
      <c r="C1229" s="1" t="n">
        <v>45182</v>
      </c>
      <c r="D1229" t="inlineStr">
        <is>
          <t>SÖDERMANLANDS LÄN</t>
        </is>
      </c>
      <c r="E1229" t="inlineStr">
        <is>
          <t>VINGÅKER</t>
        </is>
      </c>
      <c r="G1229" t="n">
        <v>11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54527-2019</t>
        </is>
      </c>
      <c r="B1230" s="1" t="n">
        <v>43754</v>
      </c>
      <c r="C1230" s="1" t="n">
        <v>45182</v>
      </c>
      <c r="D1230" t="inlineStr">
        <is>
          <t>SÖDERMANLANDS LÄN</t>
        </is>
      </c>
      <c r="E1230" t="inlineStr">
        <is>
          <t>ESKILSTUNA</t>
        </is>
      </c>
      <c r="F1230" t="inlineStr">
        <is>
          <t>Allmännings- och besparingsskogar</t>
        </is>
      </c>
      <c r="G1230" t="n">
        <v>5.7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54685-2019</t>
        </is>
      </c>
      <c r="B1231" s="1" t="n">
        <v>43754</v>
      </c>
      <c r="C1231" s="1" t="n">
        <v>45182</v>
      </c>
      <c r="D1231" t="inlineStr">
        <is>
          <t>SÖDERMANLANDS LÄN</t>
        </is>
      </c>
      <c r="E1231" t="inlineStr">
        <is>
          <t>VINGÅKER</t>
        </is>
      </c>
      <c r="G1231" t="n">
        <v>10.8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55333-2019</t>
        </is>
      </c>
      <c r="B1232" s="1" t="n">
        <v>43756</v>
      </c>
      <c r="C1232" s="1" t="n">
        <v>45182</v>
      </c>
      <c r="D1232" t="inlineStr">
        <is>
          <t>SÖDERMANLANDS LÄN</t>
        </is>
      </c>
      <c r="E1232" t="inlineStr">
        <is>
          <t>KATRINEHOLM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55346-2019</t>
        </is>
      </c>
      <c r="B1233" s="1" t="n">
        <v>43756</v>
      </c>
      <c r="C1233" s="1" t="n">
        <v>45182</v>
      </c>
      <c r="D1233" t="inlineStr">
        <is>
          <t>SÖDERMANLANDS LÄN</t>
        </is>
      </c>
      <c r="E1233" t="inlineStr">
        <is>
          <t>FLEN</t>
        </is>
      </c>
      <c r="G1233" t="n">
        <v>1.8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56435-2019</t>
        </is>
      </c>
      <c r="B1234" s="1" t="n">
        <v>43756</v>
      </c>
      <c r="C1234" s="1" t="n">
        <v>45182</v>
      </c>
      <c r="D1234" t="inlineStr">
        <is>
          <t>SÖDERMANLANDS LÄN</t>
        </is>
      </c>
      <c r="E1234" t="inlineStr">
        <is>
          <t>ESKILSTUNA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55421-2019</t>
        </is>
      </c>
      <c r="B1235" s="1" t="n">
        <v>43758</v>
      </c>
      <c r="C1235" s="1" t="n">
        <v>45182</v>
      </c>
      <c r="D1235" t="inlineStr">
        <is>
          <t>SÖDERMANLANDS LÄN</t>
        </is>
      </c>
      <c r="E1235" t="inlineStr">
        <is>
          <t>FLEN</t>
        </is>
      </c>
      <c r="G1235" t="n">
        <v>2.4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55417-2019</t>
        </is>
      </c>
      <c r="B1236" s="1" t="n">
        <v>43758</v>
      </c>
      <c r="C1236" s="1" t="n">
        <v>45182</v>
      </c>
      <c r="D1236" t="inlineStr">
        <is>
          <t>SÖDERMANLANDS LÄN</t>
        </is>
      </c>
      <c r="E1236" t="inlineStr">
        <is>
          <t>FLEN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55964-2019</t>
        </is>
      </c>
      <c r="B1237" s="1" t="n">
        <v>43759</v>
      </c>
      <c r="C1237" s="1" t="n">
        <v>45182</v>
      </c>
      <c r="D1237" t="inlineStr">
        <is>
          <t>SÖDERMANLANDS LÄN</t>
        </is>
      </c>
      <c r="E1237" t="inlineStr">
        <is>
          <t>VINGÅKER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55748-2019</t>
        </is>
      </c>
      <c r="B1238" s="1" t="n">
        <v>43759</v>
      </c>
      <c r="C1238" s="1" t="n">
        <v>45182</v>
      </c>
      <c r="D1238" t="inlineStr">
        <is>
          <t>SÖDERMANLANDS LÄN</t>
        </is>
      </c>
      <c r="E1238" t="inlineStr">
        <is>
          <t>VINGÅKER</t>
        </is>
      </c>
      <c r="G1238" t="n">
        <v>6.6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56260-2019</t>
        </is>
      </c>
      <c r="B1239" s="1" t="n">
        <v>43762</v>
      </c>
      <c r="C1239" s="1" t="n">
        <v>45182</v>
      </c>
      <c r="D1239" t="inlineStr">
        <is>
          <t>SÖDERMANLANDS LÄN</t>
        </is>
      </c>
      <c r="E1239" t="inlineStr">
        <is>
          <t>ESKILSTUNA</t>
        </is>
      </c>
      <c r="G1239" t="n">
        <v>8.6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57898-2019</t>
        </is>
      </c>
      <c r="B1240" s="1" t="n">
        <v>43762</v>
      </c>
      <c r="C1240" s="1" t="n">
        <v>45182</v>
      </c>
      <c r="D1240" t="inlineStr">
        <is>
          <t>SÖDERMANLANDS LÄN</t>
        </is>
      </c>
      <c r="E1240" t="inlineStr">
        <is>
          <t>FLEN</t>
        </is>
      </c>
      <c r="G1240" t="n">
        <v>1.8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56745-2019</t>
        </is>
      </c>
      <c r="B1241" s="1" t="n">
        <v>43763</v>
      </c>
      <c r="C1241" s="1" t="n">
        <v>45182</v>
      </c>
      <c r="D1241" t="inlineStr">
        <is>
          <t>SÖDERMANLANDS LÄN</t>
        </is>
      </c>
      <c r="E1241" t="inlineStr">
        <is>
          <t>ESKILSTUNA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56759-2019</t>
        </is>
      </c>
      <c r="B1242" s="1" t="n">
        <v>43763</v>
      </c>
      <c r="C1242" s="1" t="n">
        <v>45182</v>
      </c>
      <c r="D1242" t="inlineStr">
        <is>
          <t>SÖDERMANLANDS LÄN</t>
        </is>
      </c>
      <c r="E1242" t="inlineStr">
        <is>
          <t>ESKILSTUNA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56658-2019</t>
        </is>
      </c>
      <c r="B1243" s="1" t="n">
        <v>43763</v>
      </c>
      <c r="C1243" s="1" t="n">
        <v>45182</v>
      </c>
      <c r="D1243" t="inlineStr">
        <is>
          <t>SÖDERMANLANDS LÄN</t>
        </is>
      </c>
      <c r="E1243" t="inlineStr">
        <is>
          <t>ESKILSTUNA</t>
        </is>
      </c>
      <c r="F1243" t="inlineStr">
        <is>
          <t>Allmännings- och besparingsskogar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56842-2019</t>
        </is>
      </c>
      <c r="B1244" s="1" t="n">
        <v>43765</v>
      </c>
      <c r="C1244" s="1" t="n">
        <v>45182</v>
      </c>
      <c r="D1244" t="inlineStr">
        <is>
          <t>SÖDERMANLANDS LÄN</t>
        </is>
      </c>
      <c r="E1244" t="inlineStr">
        <is>
          <t>NYKÖPING</t>
        </is>
      </c>
      <c r="G1244" t="n">
        <v>10.8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56843-2019</t>
        </is>
      </c>
      <c r="B1245" s="1" t="n">
        <v>43765</v>
      </c>
      <c r="C1245" s="1" t="n">
        <v>45182</v>
      </c>
      <c r="D1245" t="inlineStr">
        <is>
          <t>SÖDERMANLANDS LÄN</t>
        </is>
      </c>
      <c r="E1245" t="inlineStr">
        <is>
          <t>NYKÖPING</t>
        </is>
      </c>
      <c r="G1245" t="n">
        <v>6.1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57010-2019</t>
        </is>
      </c>
      <c r="B1246" s="1" t="n">
        <v>43766</v>
      </c>
      <c r="C1246" s="1" t="n">
        <v>45182</v>
      </c>
      <c r="D1246" t="inlineStr">
        <is>
          <t>SÖDERMANLANDS LÄN</t>
        </is>
      </c>
      <c r="E1246" t="inlineStr">
        <is>
          <t>VINGÅKER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58108-2019</t>
        </is>
      </c>
      <c r="B1247" s="1" t="n">
        <v>43766</v>
      </c>
      <c r="C1247" s="1" t="n">
        <v>45182</v>
      </c>
      <c r="D1247" t="inlineStr">
        <is>
          <t>SÖDERMANLANDS LÄN</t>
        </is>
      </c>
      <c r="E1247" t="inlineStr">
        <is>
          <t>NYKÖPING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58109-2019</t>
        </is>
      </c>
      <c r="B1248" s="1" t="n">
        <v>43766</v>
      </c>
      <c r="C1248" s="1" t="n">
        <v>45182</v>
      </c>
      <c r="D1248" t="inlineStr">
        <is>
          <t>SÖDERMANLANDS LÄN</t>
        </is>
      </c>
      <c r="E1248" t="inlineStr">
        <is>
          <t>NYKÖPING</t>
        </is>
      </c>
      <c r="G1248" t="n">
        <v>6.9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57407-2019</t>
        </is>
      </c>
      <c r="B1249" s="1" t="n">
        <v>43767</v>
      </c>
      <c r="C1249" s="1" t="n">
        <v>45182</v>
      </c>
      <c r="D1249" t="inlineStr">
        <is>
          <t>SÖDERMANLANDS LÄN</t>
        </is>
      </c>
      <c r="E1249" t="inlineStr">
        <is>
          <t>NYKÖPING</t>
        </is>
      </c>
      <c r="F1249" t="inlineStr">
        <is>
          <t>Sveaskog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57286-2019</t>
        </is>
      </c>
      <c r="B1250" s="1" t="n">
        <v>43767</v>
      </c>
      <c r="C1250" s="1" t="n">
        <v>45182</v>
      </c>
      <c r="D1250" t="inlineStr">
        <is>
          <t>SÖDERMANLANDS LÄN</t>
        </is>
      </c>
      <c r="E1250" t="inlineStr">
        <is>
          <t>VINGÅKER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57793-2019</t>
        </is>
      </c>
      <c r="B1251" s="1" t="n">
        <v>43768</v>
      </c>
      <c r="C1251" s="1" t="n">
        <v>45182</v>
      </c>
      <c r="D1251" t="inlineStr">
        <is>
          <t>SÖDERMANLANDS LÄN</t>
        </is>
      </c>
      <c r="E1251" t="inlineStr">
        <is>
          <t>KATRINEHOLM</t>
        </is>
      </c>
      <c r="G1251" t="n">
        <v>4.5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59039-2019</t>
        </is>
      </c>
      <c r="B1252" s="1" t="n">
        <v>43768</v>
      </c>
      <c r="C1252" s="1" t="n">
        <v>45182</v>
      </c>
      <c r="D1252" t="inlineStr">
        <is>
          <t>SÖDERMANLANDS LÄN</t>
        </is>
      </c>
      <c r="E1252" t="inlineStr">
        <is>
          <t>KATRINEHOLM</t>
        </is>
      </c>
      <c r="G1252" t="n">
        <v>22.3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57787-2019</t>
        </is>
      </c>
      <c r="B1253" s="1" t="n">
        <v>43768</v>
      </c>
      <c r="C1253" s="1" t="n">
        <v>45182</v>
      </c>
      <c r="D1253" t="inlineStr">
        <is>
          <t>SÖDERMANLANDS LÄN</t>
        </is>
      </c>
      <c r="E1253" t="inlineStr">
        <is>
          <t>KATRINEHOLM</t>
        </is>
      </c>
      <c r="F1253" t="inlineStr">
        <is>
          <t>Holmen skog AB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57795-2019</t>
        </is>
      </c>
      <c r="B1254" s="1" t="n">
        <v>43768</v>
      </c>
      <c r="C1254" s="1" t="n">
        <v>45182</v>
      </c>
      <c r="D1254" t="inlineStr">
        <is>
          <t>SÖDERMANLANDS LÄN</t>
        </is>
      </c>
      <c r="E1254" t="inlineStr">
        <is>
          <t>ESKILSTUNA</t>
        </is>
      </c>
      <c r="F1254" t="inlineStr">
        <is>
          <t>Kyrkan</t>
        </is>
      </c>
      <c r="G1254" t="n">
        <v>2.2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57725-2019</t>
        </is>
      </c>
      <c r="B1255" s="1" t="n">
        <v>43768</v>
      </c>
      <c r="C1255" s="1" t="n">
        <v>45182</v>
      </c>
      <c r="D1255" t="inlineStr">
        <is>
          <t>SÖDERMANLANDS LÄN</t>
        </is>
      </c>
      <c r="E1255" t="inlineStr">
        <is>
          <t>GNESTA</t>
        </is>
      </c>
      <c r="G1255" t="n">
        <v>18.4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57800-2019</t>
        </is>
      </c>
      <c r="B1256" s="1" t="n">
        <v>43768</v>
      </c>
      <c r="C1256" s="1" t="n">
        <v>45182</v>
      </c>
      <c r="D1256" t="inlineStr">
        <is>
          <t>SÖDERMANLANDS LÄN</t>
        </is>
      </c>
      <c r="E1256" t="inlineStr">
        <is>
          <t>ESKILSTUNA</t>
        </is>
      </c>
      <c r="F1256" t="inlineStr">
        <is>
          <t>Kyrkan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57992-2019</t>
        </is>
      </c>
      <c r="B1257" s="1" t="n">
        <v>43769</v>
      </c>
      <c r="C1257" s="1" t="n">
        <v>45182</v>
      </c>
      <c r="D1257" t="inlineStr">
        <is>
          <t>SÖDERMANLANDS LÄN</t>
        </is>
      </c>
      <c r="E1257" t="inlineStr">
        <is>
          <t>ESKILSTUNA</t>
        </is>
      </c>
      <c r="G1257" t="n">
        <v>7.7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58159-2019</t>
        </is>
      </c>
      <c r="B1258" s="1" t="n">
        <v>43769</v>
      </c>
      <c r="C1258" s="1" t="n">
        <v>45182</v>
      </c>
      <c r="D1258" t="inlineStr">
        <is>
          <t>SÖDERMANLANDS LÄN</t>
        </is>
      </c>
      <c r="E1258" t="inlineStr">
        <is>
          <t>VINGÅKER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58938-2019</t>
        </is>
      </c>
      <c r="B1259" s="1" t="n">
        <v>43769</v>
      </c>
      <c r="C1259" s="1" t="n">
        <v>45182</v>
      </c>
      <c r="D1259" t="inlineStr">
        <is>
          <t>SÖDERMANLANDS LÄN</t>
        </is>
      </c>
      <c r="E1259" t="inlineStr">
        <is>
          <t>KATRINEHOLM</t>
        </is>
      </c>
      <c r="G1259" t="n">
        <v>0.7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58909-2019</t>
        </is>
      </c>
      <c r="B1260" s="1" t="n">
        <v>43769</v>
      </c>
      <c r="C1260" s="1" t="n">
        <v>45182</v>
      </c>
      <c r="D1260" t="inlineStr">
        <is>
          <t>SÖDERMANLANDS LÄN</t>
        </is>
      </c>
      <c r="E1260" t="inlineStr">
        <is>
          <t>FLEN</t>
        </is>
      </c>
      <c r="G1260" t="n">
        <v>11.2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58378-2019</t>
        </is>
      </c>
      <c r="B1261" s="1" t="n">
        <v>43771</v>
      </c>
      <c r="C1261" s="1" t="n">
        <v>45182</v>
      </c>
      <c r="D1261" t="inlineStr">
        <is>
          <t>SÖDERMANLANDS LÄN</t>
        </is>
      </c>
      <c r="E1261" t="inlineStr">
        <is>
          <t>ESKILSTUNA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59014-2019</t>
        </is>
      </c>
      <c r="B1262" s="1" t="n">
        <v>43774</v>
      </c>
      <c r="C1262" s="1" t="n">
        <v>45182</v>
      </c>
      <c r="D1262" t="inlineStr">
        <is>
          <t>SÖDERMANLANDS LÄN</t>
        </is>
      </c>
      <c r="E1262" t="inlineStr">
        <is>
          <t>FLEN</t>
        </is>
      </c>
      <c r="F1262" t="inlineStr">
        <is>
          <t>Kommuner</t>
        </is>
      </c>
      <c r="G1262" t="n">
        <v>4.4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59220-2019</t>
        </is>
      </c>
      <c r="B1263" s="1" t="n">
        <v>43775</v>
      </c>
      <c r="C1263" s="1" t="n">
        <v>45182</v>
      </c>
      <c r="D1263" t="inlineStr">
        <is>
          <t>SÖDERMANLANDS LÄN</t>
        </is>
      </c>
      <c r="E1263" t="inlineStr">
        <is>
          <t>STRÄNGNÄS</t>
        </is>
      </c>
      <c r="G1263" t="n">
        <v>15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59224-2019</t>
        </is>
      </c>
      <c r="B1264" s="1" t="n">
        <v>43775</v>
      </c>
      <c r="C1264" s="1" t="n">
        <v>45182</v>
      </c>
      <c r="D1264" t="inlineStr">
        <is>
          <t>SÖDERMANLANDS LÄN</t>
        </is>
      </c>
      <c r="E1264" t="inlineStr">
        <is>
          <t>GNESTA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59446-2019</t>
        </is>
      </c>
      <c r="B1265" s="1" t="n">
        <v>43776</v>
      </c>
      <c r="C1265" s="1" t="n">
        <v>45182</v>
      </c>
      <c r="D1265" t="inlineStr">
        <is>
          <t>SÖDERMANLANDS LÄN</t>
        </is>
      </c>
      <c r="E1265" t="inlineStr">
        <is>
          <t>FLEN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59529-2019</t>
        </is>
      </c>
      <c r="B1266" s="1" t="n">
        <v>43776</v>
      </c>
      <c r="C1266" s="1" t="n">
        <v>45182</v>
      </c>
      <c r="D1266" t="inlineStr">
        <is>
          <t>SÖDERMANLANDS LÄN</t>
        </is>
      </c>
      <c r="E1266" t="inlineStr">
        <is>
          <t>ESKILSTUNA</t>
        </is>
      </c>
      <c r="G1266" t="n">
        <v>7.4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59750-2019</t>
        </is>
      </c>
      <c r="B1267" s="1" t="n">
        <v>43776</v>
      </c>
      <c r="C1267" s="1" t="n">
        <v>45182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59448-2019</t>
        </is>
      </c>
      <c r="B1268" s="1" t="n">
        <v>43776</v>
      </c>
      <c r="C1268" s="1" t="n">
        <v>45182</v>
      </c>
      <c r="D1268" t="inlineStr">
        <is>
          <t>SÖDERMANLANDS LÄN</t>
        </is>
      </c>
      <c r="E1268" t="inlineStr">
        <is>
          <t>FLEN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59765-2019</t>
        </is>
      </c>
      <c r="B1269" s="1" t="n">
        <v>43776</v>
      </c>
      <c r="C1269" s="1" t="n">
        <v>45182</v>
      </c>
      <c r="D1269" t="inlineStr">
        <is>
          <t>SÖDERMANLANDS LÄN</t>
        </is>
      </c>
      <c r="E1269" t="inlineStr">
        <is>
          <t>VINGÅKER</t>
        </is>
      </c>
      <c r="G1269" t="n">
        <v>2.7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59454-2019</t>
        </is>
      </c>
      <c r="B1270" s="1" t="n">
        <v>43776</v>
      </c>
      <c r="C1270" s="1" t="n">
        <v>45182</v>
      </c>
      <c r="D1270" t="inlineStr">
        <is>
          <t>SÖDERMANLANDS LÄN</t>
        </is>
      </c>
      <c r="E1270" t="inlineStr">
        <is>
          <t>FLEN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59547-2019</t>
        </is>
      </c>
      <c r="B1271" s="1" t="n">
        <v>43776</v>
      </c>
      <c r="C1271" s="1" t="n">
        <v>45182</v>
      </c>
      <c r="D1271" t="inlineStr">
        <is>
          <t>SÖDERMANLANDS LÄN</t>
        </is>
      </c>
      <c r="E1271" t="inlineStr">
        <is>
          <t>ESKILSTUNA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59767-2019</t>
        </is>
      </c>
      <c r="B1272" s="1" t="n">
        <v>43776</v>
      </c>
      <c r="C1272" s="1" t="n">
        <v>45182</v>
      </c>
      <c r="D1272" t="inlineStr">
        <is>
          <t>SÖDERMANLANDS LÄN</t>
        </is>
      </c>
      <c r="E1272" t="inlineStr">
        <is>
          <t>VINGÅKER</t>
        </is>
      </c>
      <c r="G1272" t="n">
        <v>2.6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59981-2019</t>
        </is>
      </c>
      <c r="B1273" s="1" t="n">
        <v>43777</v>
      </c>
      <c r="C1273" s="1" t="n">
        <v>45182</v>
      </c>
      <c r="D1273" t="inlineStr">
        <is>
          <t>SÖDERMANLANDS LÄN</t>
        </is>
      </c>
      <c r="E1273" t="inlineStr">
        <is>
          <t>KATRINEHOLM</t>
        </is>
      </c>
      <c r="F1273" t="inlineStr">
        <is>
          <t>Kyrkan</t>
        </is>
      </c>
      <c r="G1273" t="n">
        <v>0.9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59905-2019</t>
        </is>
      </c>
      <c r="B1274" s="1" t="n">
        <v>43777</v>
      </c>
      <c r="C1274" s="1" t="n">
        <v>45182</v>
      </c>
      <c r="D1274" t="inlineStr">
        <is>
          <t>SÖDERMANLANDS LÄN</t>
        </is>
      </c>
      <c r="E1274" t="inlineStr">
        <is>
          <t>KATRINEHOLM</t>
        </is>
      </c>
      <c r="G1274" t="n">
        <v>4.7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60672-2019</t>
        </is>
      </c>
      <c r="B1275" s="1" t="n">
        <v>43777</v>
      </c>
      <c r="C1275" s="1" t="n">
        <v>45182</v>
      </c>
      <c r="D1275" t="inlineStr">
        <is>
          <t>SÖDERMANLANDS LÄN</t>
        </is>
      </c>
      <c r="E1275" t="inlineStr">
        <is>
          <t>KATRINEHOLM</t>
        </is>
      </c>
      <c r="G1275" t="n">
        <v>6.5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59913-2019</t>
        </is>
      </c>
      <c r="B1276" s="1" t="n">
        <v>43777</v>
      </c>
      <c r="C1276" s="1" t="n">
        <v>45182</v>
      </c>
      <c r="D1276" t="inlineStr">
        <is>
          <t>SÖDERMANLANDS LÄN</t>
        </is>
      </c>
      <c r="E1276" t="inlineStr">
        <is>
          <t>KATRINEHOLM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60136-2019</t>
        </is>
      </c>
      <c r="B1277" s="1" t="n">
        <v>43779</v>
      </c>
      <c r="C1277" s="1" t="n">
        <v>45182</v>
      </c>
      <c r="D1277" t="inlineStr">
        <is>
          <t>SÖDERMANLANDS LÄN</t>
        </is>
      </c>
      <c r="E1277" t="inlineStr">
        <is>
          <t>KATRINEHOLM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60408-2019</t>
        </is>
      </c>
      <c r="B1278" s="1" t="n">
        <v>43780</v>
      </c>
      <c r="C1278" s="1" t="n">
        <v>45182</v>
      </c>
      <c r="D1278" t="inlineStr">
        <is>
          <t>SÖDERMANLANDS LÄN</t>
        </is>
      </c>
      <c r="E1278" t="inlineStr">
        <is>
          <t>VINGÅKER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60431-2019</t>
        </is>
      </c>
      <c r="B1279" s="1" t="n">
        <v>43780</v>
      </c>
      <c r="C1279" s="1" t="n">
        <v>45182</v>
      </c>
      <c r="D1279" t="inlineStr">
        <is>
          <t>SÖDERMANLANDS LÄN</t>
        </is>
      </c>
      <c r="E1279" t="inlineStr">
        <is>
          <t>VINGÅKER</t>
        </is>
      </c>
      <c r="G1279" t="n">
        <v>14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60466-2019</t>
        </is>
      </c>
      <c r="B1280" s="1" t="n">
        <v>43780</v>
      </c>
      <c r="C1280" s="1" t="n">
        <v>45182</v>
      </c>
      <c r="D1280" t="inlineStr">
        <is>
          <t>SÖDERMANLANDS LÄN</t>
        </is>
      </c>
      <c r="E1280" t="inlineStr">
        <is>
          <t>STRÄNGNÄS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60675-2019</t>
        </is>
      </c>
      <c r="B1281" s="1" t="n">
        <v>43781</v>
      </c>
      <c r="C1281" s="1" t="n">
        <v>45182</v>
      </c>
      <c r="D1281" t="inlineStr">
        <is>
          <t>SÖDERMANLANDS LÄN</t>
        </is>
      </c>
      <c r="E1281" t="inlineStr">
        <is>
          <t>KATRINEHOLM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60860-2019</t>
        </is>
      </c>
      <c r="B1282" s="1" t="n">
        <v>43781</v>
      </c>
      <c r="C1282" s="1" t="n">
        <v>45182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17.5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60852-2019</t>
        </is>
      </c>
      <c r="B1283" s="1" t="n">
        <v>43781</v>
      </c>
      <c r="C1283" s="1" t="n">
        <v>45182</v>
      </c>
      <c r="D1283" t="inlineStr">
        <is>
          <t>SÖDERMANLANDS LÄN</t>
        </is>
      </c>
      <c r="E1283" t="inlineStr">
        <is>
          <t>ESKILSTUNA</t>
        </is>
      </c>
      <c r="F1283" t="inlineStr">
        <is>
          <t>Allmännings- och besparingsskogar</t>
        </is>
      </c>
      <c r="G1283" t="n">
        <v>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60731-2019</t>
        </is>
      </c>
      <c r="B1284" s="1" t="n">
        <v>43781</v>
      </c>
      <c r="C1284" s="1" t="n">
        <v>45182</v>
      </c>
      <c r="D1284" t="inlineStr">
        <is>
          <t>SÖDERMANLANDS LÄN</t>
        </is>
      </c>
      <c r="E1284" t="inlineStr">
        <is>
          <t>ESKILSTUNA</t>
        </is>
      </c>
      <c r="G1284" t="n">
        <v>4.6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61999-2019</t>
        </is>
      </c>
      <c r="B1285" s="1" t="n">
        <v>43781</v>
      </c>
      <c r="C1285" s="1" t="n">
        <v>45182</v>
      </c>
      <c r="D1285" t="inlineStr">
        <is>
          <t>SÖDERMANLANDS LÄN</t>
        </is>
      </c>
      <c r="E1285" t="inlineStr">
        <is>
          <t>KATRINEHOLM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61161-2019</t>
        </is>
      </c>
      <c r="B1286" s="1" t="n">
        <v>43782</v>
      </c>
      <c r="C1286" s="1" t="n">
        <v>45182</v>
      </c>
      <c r="D1286" t="inlineStr">
        <is>
          <t>SÖDERMANLANDS LÄN</t>
        </is>
      </c>
      <c r="E1286" t="inlineStr">
        <is>
          <t>KATRINEHOLM</t>
        </is>
      </c>
      <c r="F1286" t="inlineStr">
        <is>
          <t>Kyrkan</t>
        </is>
      </c>
      <c r="G1286" t="n">
        <v>2.7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61402-2019</t>
        </is>
      </c>
      <c r="B1287" s="1" t="n">
        <v>43783</v>
      </c>
      <c r="C1287" s="1" t="n">
        <v>45182</v>
      </c>
      <c r="D1287" t="inlineStr">
        <is>
          <t>SÖDERMANLANDS LÄN</t>
        </is>
      </c>
      <c r="E1287" t="inlineStr">
        <is>
          <t>STRÄNGNÄS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61432-2019</t>
        </is>
      </c>
      <c r="B1288" s="1" t="n">
        <v>43783</v>
      </c>
      <c r="C1288" s="1" t="n">
        <v>45182</v>
      </c>
      <c r="D1288" t="inlineStr">
        <is>
          <t>SÖDERMANLANDS LÄN</t>
        </is>
      </c>
      <c r="E1288" t="inlineStr">
        <is>
          <t>STRÄNGNÄS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61653-2019</t>
        </is>
      </c>
      <c r="B1289" s="1" t="n">
        <v>43784</v>
      </c>
      <c r="C1289" s="1" t="n">
        <v>45182</v>
      </c>
      <c r="D1289" t="inlineStr">
        <is>
          <t>SÖDERMANLANDS LÄN</t>
        </is>
      </c>
      <c r="E1289" t="inlineStr">
        <is>
          <t>ESKILSTUNA</t>
        </is>
      </c>
      <c r="G1289" t="n">
        <v>5.4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61713-2019</t>
        </is>
      </c>
      <c r="B1290" s="1" t="n">
        <v>43784</v>
      </c>
      <c r="C1290" s="1" t="n">
        <v>45182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Holmen skog AB</t>
        </is>
      </c>
      <c r="G1290" t="n">
        <v>0.3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61867-2019</t>
        </is>
      </c>
      <c r="B1291" s="1" t="n">
        <v>43784</v>
      </c>
      <c r="C1291" s="1" t="n">
        <v>45182</v>
      </c>
      <c r="D1291" t="inlineStr">
        <is>
          <t>SÖDERMANLANDS LÄN</t>
        </is>
      </c>
      <c r="E1291" t="inlineStr">
        <is>
          <t>KATRINEHOLM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62954-2019</t>
        </is>
      </c>
      <c r="B1292" s="1" t="n">
        <v>43784</v>
      </c>
      <c r="C1292" s="1" t="n">
        <v>45182</v>
      </c>
      <c r="D1292" t="inlineStr">
        <is>
          <t>SÖDERMANLANDS LÄN</t>
        </is>
      </c>
      <c r="E1292" t="inlineStr">
        <is>
          <t>GNESTA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61821-2019</t>
        </is>
      </c>
      <c r="B1293" s="1" t="n">
        <v>43786</v>
      </c>
      <c r="C1293" s="1" t="n">
        <v>45182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2.7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61822-2019</t>
        </is>
      </c>
      <c r="B1294" s="1" t="n">
        <v>43786</v>
      </c>
      <c r="C1294" s="1" t="n">
        <v>45182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61843-2019</t>
        </is>
      </c>
      <c r="B1295" s="1" t="n">
        <v>43786</v>
      </c>
      <c r="C1295" s="1" t="n">
        <v>45182</v>
      </c>
      <c r="D1295" t="inlineStr">
        <is>
          <t>SÖDERMANLANDS LÄN</t>
        </is>
      </c>
      <c r="E1295" t="inlineStr">
        <is>
          <t>NYKÖPING</t>
        </is>
      </c>
      <c r="F1295" t="inlineStr">
        <is>
          <t>Övriga Aktiebolag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61889-2019</t>
        </is>
      </c>
      <c r="B1296" s="1" t="n">
        <v>43787</v>
      </c>
      <c r="C1296" s="1" t="n">
        <v>45182</v>
      </c>
      <c r="D1296" t="inlineStr">
        <is>
          <t>SÖDERMANLANDS LÄN</t>
        </is>
      </c>
      <c r="E1296" t="inlineStr">
        <is>
          <t>FLEN</t>
        </is>
      </c>
      <c r="F1296" t="inlineStr">
        <is>
          <t>Holmen skog AB</t>
        </is>
      </c>
      <c r="G1296" t="n">
        <v>0.8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61863-2019</t>
        </is>
      </c>
      <c r="B1297" s="1" t="n">
        <v>43787</v>
      </c>
      <c r="C1297" s="1" t="n">
        <v>45182</v>
      </c>
      <c r="D1297" t="inlineStr">
        <is>
          <t>SÖDERMANLANDS LÄN</t>
        </is>
      </c>
      <c r="E1297" t="inlineStr">
        <is>
          <t>ESKILSTUNA</t>
        </is>
      </c>
      <c r="G1297" t="n">
        <v>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61876-2019</t>
        </is>
      </c>
      <c r="B1298" s="1" t="n">
        <v>43787</v>
      </c>
      <c r="C1298" s="1" t="n">
        <v>45182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Kommuner</t>
        </is>
      </c>
      <c r="G1298" t="n">
        <v>5.6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61980-2019</t>
        </is>
      </c>
      <c r="B1299" s="1" t="n">
        <v>43787</v>
      </c>
      <c r="C1299" s="1" t="n">
        <v>45182</v>
      </c>
      <c r="D1299" t="inlineStr">
        <is>
          <t>SÖDERMANLANDS LÄN</t>
        </is>
      </c>
      <c r="E1299" t="inlineStr">
        <is>
          <t>ESKILSTUNA</t>
        </is>
      </c>
      <c r="G1299" t="n">
        <v>8.300000000000001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62161-2019</t>
        </is>
      </c>
      <c r="B1300" s="1" t="n">
        <v>43787</v>
      </c>
      <c r="C1300" s="1" t="n">
        <v>45182</v>
      </c>
      <c r="D1300" t="inlineStr">
        <is>
          <t>SÖDERMANLANDS LÄN</t>
        </is>
      </c>
      <c r="E1300" t="inlineStr">
        <is>
          <t>STRÄNGNÄS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62271-2019</t>
        </is>
      </c>
      <c r="B1301" s="1" t="n">
        <v>43788</v>
      </c>
      <c r="C1301" s="1" t="n">
        <v>45182</v>
      </c>
      <c r="D1301" t="inlineStr">
        <is>
          <t>SÖDERMANLANDS LÄN</t>
        </is>
      </c>
      <c r="E1301" t="inlineStr">
        <is>
          <t>ESKILSTUNA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62315-2019</t>
        </is>
      </c>
      <c r="B1302" s="1" t="n">
        <v>43788</v>
      </c>
      <c r="C1302" s="1" t="n">
        <v>45182</v>
      </c>
      <c r="D1302" t="inlineStr">
        <is>
          <t>SÖDERMANLANDS LÄN</t>
        </is>
      </c>
      <c r="E1302" t="inlineStr">
        <is>
          <t>ESKILSTUNA</t>
        </is>
      </c>
      <c r="G1302" t="n">
        <v>2.8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62324-2019</t>
        </is>
      </c>
      <c r="B1303" s="1" t="n">
        <v>43788</v>
      </c>
      <c r="C1303" s="1" t="n">
        <v>45182</v>
      </c>
      <c r="D1303" t="inlineStr">
        <is>
          <t>SÖDERMANLANDS LÄN</t>
        </is>
      </c>
      <c r="E1303" t="inlineStr">
        <is>
          <t>NYKÖPING</t>
        </is>
      </c>
      <c r="G1303" t="n">
        <v>6.4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62469-2019</t>
        </is>
      </c>
      <c r="B1304" s="1" t="n">
        <v>43788</v>
      </c>
      <c r="C1304" s="1" t="n">
        <v>45182</v>
      </c>
      <c r="D1304" t="inlineStr">
        <is>
          <t>SÖDERMANLANDS LÄN</t>
        </is>
      </c>
      <c r="E1304" t="inlineStr">
        <is>
          <t>ESKILSTUNA</t>
        </is>
      </c>
      <c r="G1304" t="n">
        <v>4.2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62257-2019</t>
        </is>
      </c>
      <c r="B1305" s="1" t="n">
        <v>43788</v>
      </c>
      <c r="C1305" s="1" t="n">
        <v>45182</v>
      </c>
      <c r="D1305" t="inlineStr">
        <is>
          <t>SÖDERMANLANDS LÄN</t>
        </is>
      </c>
      <c r="E1305" t="inlineStr">
        <is>
          <t>ESKILSTUNA</t>
        </is>
      </c>
      <c r="G1305" t="n">
        <v>6.3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62272-2019</t>
        </is>
      </c>
      <c r="B1306" s="1" t="n">
        <v>43788</v>
      </c>
      <c r="C1306" s="1" t="n">
        <v>45182</v>
      </c>
      <c r="D1306" t="inlineStr">
        <is>
          <t>SÖDERMANLANDS LÄN</t>
        </is>
      </c>
      <c r="E1306" t="inlineStr">
        <is>
          <t>NYKÖPING</t>
        </is>
      </c>
      <c r="G1306" t="n">
        <v>2.7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62510-2019</t>
        </is>
      </c>
      <c r="B1307" s="1" t="n">
        <v>43788</v>
      </c>
      <c r="C1307" s="1" t="n">
        <v>45182</v>
      </c>
      <c r="D1307" t="inlineStr">
        <is>
          <t>SÖDERMANLANDS LÄN</t>
        </is>
      </c>
      <c r="E1307" t="inlineStr">
        <is>
          <t>ESKILSTUNA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62467-2019</t>
        </is>
      </c>
      <c r="B1308" s="1" t="n">
        <v>43788</v>
      </c>
      <c r="C1308" s="1" t="n">
        <v>45182</v>
      </c>
      <c r="D1308" t="inlineStr">
        <is>
          <t>SÖDERMANLANDS LÄN</t>
        </is>
      </c>
      <c r="E1308" t="inlineStr">
        <is>
          <t>ESKILSTUNA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62471-2019</t>
        </is>
      </c>
      <c r="B1309" s="1" t="n">
        <v>43788</v>
      </c>
      <c r="C1309" s="1" t="n">
        <v>45182</v>
      </c>
      <c r="D1309" t="inlineStr">
        <is>
          <t>SÖDERMANLANDS LÄN</t>
        </is>
      </c>
      <c r="E1309" t="inlineStr">
        <is>
          <t>ESKILSTUNA</t>
        </is>
      </c>
      <c r="G1309" t="n">
        <v>11.7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62566-2019</t>
        </is>
      </c>
      <c r="B1310" s="1" t="n">
        <v>43789</v>
      </c>
      <c r="C1310" s="1" t="n">
        <v>45182</v>
      </c>
      <c r="D1310" t="inlineStr">
        <is>
          <t>SÖDERMANLANDS LÄN</t>
        </is>
      </c>
      <c r="E1310" t="inlineStr">
        <is>
          <t>STRÄNGNÄS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62676-2019</t>
        </is>
      </c>
      <c r="B1311" s="1" t="n">
        <v>43789</v>
      </c>
      <c r="C1311" s="1" t="n">
        <v>45182</v>
      </c>
      <c r="D1311" t="inlineStr">
        <is>
          <t>SÖDERMANLANDS LÄN</t>
        </is>
      </c>
      <c r="E1311" t="inlineStr">
        <is>
          <t>ESKILSTUNA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62977-2019</t>
        </is>
      </c>
      <c r="B1312" s="1" t="n">
        <v>43790</v>
      </c>
      <c r="C1312" s="1" t="n">
        <v>45182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62982-2019</t>
        </is>
      </c>
      <c r="B1313" s="1" t="n">
        <v>43790</v>
      </c>
      <c r="C1313" s="1" t="n">
        <v>45182</v>
      </c>
      <c r="D1313" t="inlineStr">
        <is>
          <t>SÖDERMANLANDS LÄN</t>
        </is>
      </c>
      <c r="E1313" t="inlineStr">
        <is>
          <t>ESKILSTUNA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62874-2019</t>
        </is>
      </c>
      <c r="B1314" s="1" t="n">
        <v>43790</v>
      </c>
      <c r="C1314" s="1" t="n">
        <v>45182</v>
      </c>
      <c r="D1314" t="inlineStr">
        <is>
          <t>SÖDERMANLANDS LÄN</t>
        </is>
      </c>
      <c r="E1314" t="inlineStr">
        <is>
          <t>STRÄNGNÄS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62962-2019</t>
        </is>
      </c>
      <c r="B1315" s="1" t="n">
        <v>43790</v>
      </c>
      <c r="C1315" s="1" t="n">
        <v>45182</v>
      </c>
      <c r="D1315" t="inlineStr">
        <is>
          <t>SÖDERMANLANDS LÄN</t>
        </is>
      </c>
      <c r="E1315" t="inlineStr">
        <is>
          <t>GNESTA</t>
        </is>
      </c>
      <c r="G1315" t="n">
        <v>0.5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63732-2019</t>
        </is>
      </c>
      <c r="B1316" s="1" t="n">
        <v>43790</v>
      </c>
      <c r="C1316" s="1" t="n">
        <v>45182</v>
      </c>
      <c r="D1316" t="inlineStr">
        <is>
          <t>SÖDERMANLANDS LÄN</t>
        </is>
      </c>
      <c r="E1316" t="inlineStr">
        <is>
          <t>TROSA</t>
        </is>
      </c>
      <c r="G1316" t="n">
        <v>0.7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62995-2019</t>
        </is>
      </c>
      <c r="B1317" s="1" t="n">
        <v>43790</v>
      </c>
      <c r="C1317" s="1" t="n">
        <v>45182</v>
      </c>
      <c r="D1317" t="inlineStr">
        <is>
          <t>SÖDERMANLANDS LÄN</t>
        </is>
      </c>
      <c r="E1317" t="inlineStr">
        <is>
          <t>ESKILSTUNA</t>
        </is>
      </c>
      <c r="G1317" t="n">
        <v>6.7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63001-2019</t>
        </is>
      </c>
      <c r="B1318" s="1" t="n">
        <v>43790</v>
      </c>
      <c r="C1318" s="1" t="n">
        <v>45182</v>
      </c>
      <c r="D1318" t="inlineStr">
        <is>
          <t>SÖDERMANLANDS LÄN</t>
        </is>
      </c>
      <c r="E1318" t="inlineStr">
        <is>
          <t>ESKILSTUNA</t>
        </is>
      </c>
      <c r="G1318" t="n">
        <v>4.1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63058-2019</t>
        </is>
      </c>
      <c r="B1319" s="1" t="n">
        <v>43791</v>
      </c>
      <c r="C1319" s="1" t="n">
        <v>45182</v>
      </c>
      <c r="D1319" t="inlineStr">
        <is>
          <t>SÖDERMANLANDS LÄN</t>
        </is>
      </c>
      <c r="E1319" t="inlineStr">
        <is>
          <t>STRÄNGNÄS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63120-2019</t>
        </is>
      </c>
      <c r="B1320" s="1" t="n">
        <v>43791</v>
      </c>
      <c r="C1320" s="1" t="n">
        <v>45182</v>
      </c>
      <c r="D1320" t="inlineStr">
        <is>
          <t>SÖDERMANLANDS LÄN</t>
        </is>
      </c>
      <c r="E1320" t="inlineStr">
        <is>
          <t>ESKILSTUNA</t>
        </is>
      </c>
      <c r="G1320" t="n">
        <v>8.699999999999999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64364-2019</t>
        </is>
      </c>
      <c r="B1321" s="1" t="n">
        <v>43793</v>
      </c>
      <c r="C1321" s="1" t="n">
        <v>45182</v>
      </c>
      <c r="D1321" t="inlineStr">
        <is>
          <t>SÖDERMANLANDS LÄN</t>
        </is>
      </c>
      <c r="E1321" t="inlineStr">
        <is>
          <t>KATRINEHOLM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64409-2019</t>
        </is>
      </c>
      <c r="B1322" s="1" t="n">
        <v>43793</v>
      </c>
      <c r="C1322" s="1" t="n">
        <v>45182</v>
      </c>
      <c r="D1322" t="inlineStr">
        <is>
          <t>SÖDERMANLANDS LÄN</t>
        </is>
      </c>
      <c r="E1322" t="inlineStr">
        <is>
          <t>KATRINEHOLM</t>
        </is>
      </c>
      <c r="G1322" t="n">
        <v>15.8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63343-2019</t>
        </is>
      </c>
      <c r="B1323" s="1" t="n">
        <v>43794</v>
      </c>
      <c r="C1323" s="1" t="n">
        <v>45182</v>
      </c>
      <c r="D1323" t="inlineStr">
        <is>
          <t>SÖDERMANLANDS LÄN</t>
        </is>
      </c>
      <c r="E1323" t="inlineStr">
        <is>
          <t>TROSA</t>
        </is>
      </c>
      <c r="F1323" t="inlineStr">
        <is>
          <t>Holmen skog AB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63541-2019</t>
        </is>
      </c>
      <c r="B1324" s="1" t="n">
        <v>43794</v>
      </c>
      <c r="C1324" s="1" t="n">
        <v>45182</v>
      </c>
      <c r="D1324" t="inlineStr">
        <is>
          <t>SÖDERMANLANDS LÄN</t>
        </is>
      </c>
      <c r="E1324" t="inlineStr">
        <is>
          <t>VINGÅKER</t>
        </is>
      </c>
      <c r="G1324" t="n">
        <v>6.5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63377-2019</t>
        </is>
      </c>
      <c r="B1325" s="1" t="n">
        <v>43794</v>
      </c>
      <c r="C1325" s="1" t="n">
        <v>45182</v>
      </c>
      <c r="D1325" t="inlineStr">
        <is>
          <t>SÖDERMANLANDS LÄN</t>
        </is>
      </c>
      <c r="E1325" t="inlineStr">
        <is>
          <t>VINGÅKER</t>
        </is>
      </c>
      <c r="G1325" t="n">
        <v>3.9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64580-2019</t>
        </is>
      </c>
      <c r="B1326" s="1" t="n">
        <v>43794</v>
      </c>
      <c r="C1326" s="1" t="n">
        <v>45182</v>
      </c>
      <c r="D1326" t="inlineStr">
        <is>
          <t>SÖDERMANLANDS LÄN</t>
        </is>
      </c>
      <c r="E1326" t="inlineStr">
        <is>
          <t>FLEN</t>
        </is>
      </c>
      <c r="F1326" t="inlineStr">
        <is>
          <t>Övriga statliga verk och myndigheter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63275-2019</t>
        </is>
      </c>
      <c r="B1327" s="1" t="n">
        <v>43794</v>
      </c>
      <c r="C1327" s="1" t="n">
        <v>45182</v>
      </c>
      <c r="D1327" t="inlineStr">
        <is>
          <t>SÖDERMANLANDS LÄN</t>
        </is>
      </c>
      <c r="E1327" t="inlineStr">
        <is>
          <t>KATRINEHOLM</t>
        </is>
      </c>
      <c r="G1327" t="n">
        <v>13.2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63758-2019</t>
        </is>
      </c>
      <c r="B1328" s="1" t="n">
        <v>43795</v>
      </c>
      <c r="C1328" s="1" t="n">
        <v>45182</v>
      </c>
      <c r="D1328" t="inlineStr">
        <is>
          <t>SÖDERMANLANDS LÄN</t>
        </is>
      </c>
      <c r="E1328" t="inlineStr">
        <is>
          <t>FLEN</t>
        </is>
      </c>
      <c r="F1328" t="inlineStr">
        <is>
          <t>Kyrkan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63822-2019</t>
        </is>
      </c>
      <c r="B1329" s="1" t="n">
        <v>43795</v>
      </c>
      <c r="C1329" s="1" t="n">
        <v>45182</v>
      </c>
      <c r="D1329" t="inlineStr">
        <is>
          <t>SÖDERMANLANDS LÄN</t>
        </is>
      </c>
      <c r="E1329" t="inlineStr">
        <is>
          <t>NYKÖPING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63580-2019</t>
        </is>
      </c>
      <c r="B1330" s="1" t="n">
        <v>43795</v>
      </c>
      <c r="C1330" s="1" t="n">
        <v>45182</v>
      </c>
      <c r="D1330" t="inlineStr">
        <is>
          <t>SÖDERMANLANDS LÄN</t>
        </is>
      </c>
      <c r="E1330" t="inlineStr">
        <is>
          <t>ESKILSTUNA</t>
        </is>
      </c>
      <c r="F1330" t="inlineStr">
        <is>
          <t>Allmännings- och besparingsskogar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63712-2019</t>
        </is>
      </c>
      <c r="B1331" s="1" t="n">
        <v>43795</v>
      </c>
      <c r="C1331" s="1" t="n">
        <v>45182</v>
      </c>
      <c r="D1331" t="inlineStr">
        <is>
          <t>SÖDERMANLANDS LÄN</t>
        </is>
      </c>
      <c r="E1331" t="inlineStr">
        <is>
          <t>KATRINEHOLM</t>
        </is>
      </c>
      <c r="G1331" t="n">
        <v>6.6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63566-2019</t>
        </is>
      </c>
      <c r="B1332" s="1" t="n">
        <v>43795</v>
      </c>
      <c r="C1332" s="1" t="n">
        <v>45182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63586-2019</t>
        </is>
      </c>
      <c r="B1333" s="1" t="n">
        <v>43795</v>
      </c>
      <c r="C1333" s="1" t="n">
        <v>45182</v>
      </c>
      <c r="D1333" t="inlineStr">
        <is>
          <t>SÖDERMANLANDS LÄN</t>
        </is>
      </c>
      <c r="E1333" t="inlineStr">
        <is>
          <t>ESKILSTUNA</t>
        </is>
      </c>
      <c r="F1333" t="inlineStr">
        <is>
          <t>Allmännings- och besparingsskogar</t>
        </is>
      </c>
      <c r="G1333" t="n">
        <v>9.199999999999999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64167-2019</t>
        </is>
      </c>
      <c r="B1334" s="1" t="n">
        <v>43797</v>
      </c>
      <c r="C1334" s="1" t="n">
        <v>45182</v>
      </c>
      <c r="D1334" t="inlineStr">
        <is>
          <t>SÖDERMANLANDS LÄN</t>
        </is>
      </c>
      <c r="E1334" t="inlineStr">
        <is>
          <t>STRÄNGNÄS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64222-2019</t>
        </is>
      </c>
      <c r="B1335" s="1" t="n">
        <v>43797</v>
      </c>
      <c r="C1335" s="1" t="n">
        <v>45182</v>
      </c>
      <c r="D1335" t="inlineStr">
        <is>
          <t>SÖDERMANLANDS LÄN</t>
        </is>
      </c>
      <c r="E1335" t="inlineStr">
        <is>
          <t>ESKILSTUNA</t>
        </is>
      </c>
      <c r="G1335" t="n">
        <v>2.4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65370-2019</t>
        </is>
      </c>
      <c r="B1336" s="1" t="n">
        <v>43797</v>
      </c>
      <c r="C1336" s="1" t="n">
        <v>45182</v>
      </c>
      <c r="D1336" t="inlineStr">
        <is>
          <t>SÖDERMANLANDS LÄN</t>
        </is>
      </c>
      <c r="E1336" t="inlineStr">
        <is>
          <t>TROSA</t>
        </is>
      </c>
      <c r="G1336" t="n">
        <v>52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64576-2019</t>
        </is>
      </c>
      <c r="B1337" s="1" t="n">
        <v>43798</v>
      </c>
      <c r="C1337" s="1" t="n">
        <v>45182</v>
      </c>
      <c r="D1337" t="inlineStr">
        <is>
          <t>SÖDERMANLANDS LÄN</t>
        </is>
      </c>
      <c r="E1337" t="inlineStr">
        <is>
          <t>FLEN</t>
        </is>
      </c>
      <c r="F1337" t="inlineStr">
        <is>
          <t>Holmen skog AB</t>
        </is>
      </c>
      <c r="G1337" t="n">
        <v>0.9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64711-2019</t>
        </is>
      </c>
      <c r="B1338" s="1" t="n">
        <v>43798</v>
      </c>
      <c r="C1338" s="1" t="n">
        <v>45182</v>
      </c>
      <c r="D1338" t="inlineStr">
        <is>
          <t>SÖDERMANLANDS LÄN</t>
        </is>
      </c>
      <c r="E1338" t="inlineStr">
        <is>
          <t>KATRINEHOLM</t>
        </is>
      </c>
      <c r="F1338" t="inlineStr">
        <is>
          <t>Holmen skog AB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64594-2019</t>
        </is>
      </c>
      <c r="B1339" s="1" t="n">
        <v>43798</v>
      </c>
      <c r="C1339" s="1" t="n">
        <v>45182</v>
      </c>
      <c r="D1339" t="inlineStr">
        <is>
          <t>SÖDERMANLANDS LÄN</t>
        </is>
      </c>
      <c r="E1339" t="inlineStr">
        <is>
          <t>NYKÖPING</t>
        </is>
      </c>
      <c r="F1339" t="inlineStr">
        <is>
          <t>Kommuner</t>
        </is>
      </c>
      <c r="G1339" t="n">
        <v>2.6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64737-2019</t>
        </is>
      </c>
      <c r="B1340" s="1" t="n">
        <v>43800</v>
      </c>
      <c r="C1340" s="1" t="n">
        <v>45182</v>
      </c>
      <c r="D1340" t="inlineStr">
        <is>
          <t>SÖDERMANLANDS LÄN</t>
        </is>
      </c>
      <c r="E1340" t="inlineStr">
        <is>
          <t>NYKÖPING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64977-2019</t>
        </is>
      </c>
      <c r="B1341" s="1" t="n">
        <v>43801</v>
      </c>
      <c r="C1341" s="1" t="n">
        <v>45182</v>
      </c>
      <c r="D1341" t="inlineStr">
        <is>
          <t>SÖDERMANLANDS LÄN</t>
        </is>
      </c>
      <c r="E1341" t="inlineStr">
        <is>
          <t>NYKÖPING</t>
        </is>
      </c>
      <c r="F1341" t="inlineStr">
        <is>
          <t>Sveaskog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64795-2019</t>
        </is>
      </c>
      <c r="B1342" s="1" t="n">
        <v>43801</v>
      </c>
      <c r="C1342" s="1" t="n">
        <v>45182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65301-2019</t>
        </is>
      </c>
      <c r="B1343" s="1" t="n">
        <v>43802</v>
      </c>
      <c r="C1343" s="1" t="n">
        <v>45182</v>
      </c>
      <c r="D1343" t="inlineStr">
        <is>
          <t>SÖDERMANLANDS LÄN</t>
        </is>
      </c>
      <c r="E1343" t="inlineStr">
        <is>
          <t>KATRINEHOLM</t>
        </is>
      </c>
      <c r="G1343" t="n">
        <v>9.6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65305-2019</t>
        </is>
      </c>
      <c r="B1344" s="1" t="n">
        <v>43802</v>
      </c>
      <c r="C1344" s="1" t="n">
        <v>45182</v>
      </c>
      <c r="D1344" t="inlineStr">
        <is>
          <t>SÖDERMANLANDS LÄN</t>
        </is>
      </c>
      <c r="E1344" t="inlineStr">
        <is>
          <t>KATRINEHOLM</t>
        </is>
      </c>
      <c r="G1344" t="n">
        <v>3.2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65307-2019</t>
        </is>
      </c>
      <c r="B1345" s="1" t="n">
        <v>43802</v>
      </c>
      <c r="C1345" s="1" t="n">
        <v>45182</v>
      </c>
      <c r="D1345" t="inlineStr">
        <is>
          <t>SÖDERMANLANDS LÄN</t>
        </is>
      </c>
      <c r="E1345" t="inlineStr">
        <is>
          <t>KATRINEHOLM</t>
        </is>
      </c>
      <c r="G1345" t="n">
        <v>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65346-2019</t>
        </is>
      </c>
      <c r="B1346" s="1" t="n">
        <v>43803</v>
      </c>
      <c r="C1346" s="1" t="n">
        <v>45182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65575-2019</t>
        </is>
      </c>
      <c r="B1347" s="1" t="n">
        <v>43803</v>
      </c>
      <c r="C1347" s="1" t="n">
        <v>45182</v>
      </c>
      <c r="D1347" t="inlineStr">
        <is>
          <t>SÖDERMANLANDS LÄN</t>
        </is>
      </c>
      <c r="E1347" t="inlineStr">
        <is>
          <t>GNESTA</t>
        </is>
      </c>
      <c r="G1347" t="n">
        <v>4.1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65747-2019</t>
        </is>
      </c>
      <c r="B1348" s="1" t="n">
        <v>43804</v>
      </c>
      <c r="C1348" s="1" t="n">
        <v>45182</v>
      </c>
      <c r="D1348" t="inlineStr">
        <is>
          <t>SÖDERMANLANDS LÄN</t>
        </is>
      </c>
      <c r="E1348" t="inlineStr">
        <is>
          <t>ESKILSTUNA</t>
        </is>
      </c>
      <c r="G1348" t="n">
        <v>7.7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65773-2019</t>
        </is>
      </c>
      <c r="B1349" s="1" t="n">
        <v>43804</v>
      </c>
      <c r="C1349" s="1" t="n">
        <v>45182</v>
      </c>
      <c r="D1349" t="inlineStr">
        <is>
          <t>SÖDERMANLANDS LÄN</t>
        </is>
      </c>
      <c r="E1349" t="inlineStr">
        <is>
          <t>NYKÖPING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66876-2019</t>
        </is>
      </c>
      <c r="B1350" s="1" t="n">
        <v>43804</v>
      </c>
      <c r="C1350" s="1" t="n">
        <v>45182</v>
      </c>
      <c r="D1350" t="inlineStr">
        <is>
          <t>SÖDERMANLANDS LÄN</t>
        </is>
      </c>
      <c r="E1350" t="inlineStr">
        <is>
          <t>ESKILSTUNA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65766-2019</t>
        </is>
      </c>
      <c r="B1351" s="1" t="n">
        <v>43804</v>
      </c>
      <c r="C1351" s="1" t="n">
        <v>45182</v>
      </c>
      <c r="D1351" t="inlineStr">
        <is>
          <t>SÖDERMANLANDS LÄN</t>
        </is>
      </c>
      <c r="E1351" t="inlineStr">
        <is>
          <t>ESKILSTUNA</t>
        </is>
      </c>
      <c r="F1351" t="inlineStr">
        <is>
          <t>Kyrkan</t>
        </is>
      </c>
      <c r="G1351" t="n">
        <v>14.9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67164-2019</t>
        </is>
      </c>
      <c r="B1352" s="1" t="n">
        <v>43804</v>
      </c>
      <c r="C1352" s="1" t="n">
        <v>45182</v>
      </c>
      <c r="D1352" t="inlineStr">
        <is>
          <t>SÖDERMANLANDS LÄN</t>
        </is>
      </c>
      <c r="E1352" t="inlineStr">
        <is>
          <t>ESKILSTUNA</t>
        </is>
      </c>
      <c r="G1352" t="n">
        <v>5.6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65588-2019</t>
        </is>
      </c>
      <c r="B1353" s="1" t="n">
        <v>43804</v>
      </c>
      <c r="C1353" s="1" t="n">
        <v>45182</v>
      </c>
      <c r="D1353" t="inlineStr">
        <is>
          <t>SÖDERMANLANDS LÄN</t>
        </is>
      </c>
      <c r="E1353" t="inlineStr">
        <is>
          <t>NYKÖPING</t>
        </is>
      </c>
      <c r="F1353" t="inlineStr">
        <is>
          <t>Holmen skog AB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65657-2019</t>
        </is>
      </c>
      <c r="B1354" s="1" t="n">
        <v>43804</v>
      </c>
      <c r="C1354" s="1" t="n">
        <v>45182</v>
      </c>
      <c r="D1354" t="inlineStr">
        <is>
          <t>SÖDERMANLANDS LÄN</t>
        </is>
      </c>
      <c r="E1354" t="inlineStr">
        <is>
          <t>ESKILSTUNA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66901-2019</t>
        </is>
      </c>
      <c r="B1355" s="1" t="n">
        <v>43805</v>
      </c>
      <c r="C1355" s="1" t="n">
        <v>45182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65961-2019</t>
        </is>
      </c>
      <c r="B1356" s="1" t="n">
        <v>43805</v>
      </c>
      <c r="C1356" s="1" t="n">
        <v>45182</v>
      </c>
      <c r="D1356" t="inlineStr">
        <is>
          <t>SÖDERMANLANDS LÄN</t>
        </is>
      </c>
      <c r="E1356" t="inlineStr">
        <is>
          <t>ESKILSTUNA</t>
        </is>
      </c>
      <c r="G1356" t="n">
        <v>2.6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65978-2019</t>
        </is>
      </c>
      <c r="B1357" s="1" t="n">
        <v>43805</v>
      </c>
      <c r="C1357" s="1" t="n">
        <v>45182</v>
      </c>
      <c r="D1357" t="inlineStr">
        <is>
          <t>SÖDERMANLANDS LÄN</t>
        </is>
      </c>
      <c r="E1357" t="inlineStr">
        <is>
          <t>NYKÖPING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65952-2019</t>
        </is>
      </c>
      <c r="B1358" s="1" t="n">
        <v>43805</v>
      </c>
      <c r="C1358" s="1" t="n">
        <v>45182</v>
      </c>
      <c r="D1358" t="inlineStr">
        <is>
          <t>SÖDERMANLANDS LÄN</t>
        </is>
      </c>
      <c r="E1358" t="inlineStr">
        <is>
          <t>NYKÖPING</t>
        </is>
      </c>
      <c r="G1358" t="n">
        <v>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67307-2019</t>
        </is>
      </c>
      <c r="B1359" s="1" t="n">
        <v>43808</v>
      </c>
      <c r="C1359" s="1" t="n">
        <v>45182</v>
      </c>
      <c r="D1359" t="inlineStr">
        <is>
          <t>SÖDERMANLANDS LÄN</t>
        </is>
      </c>
      <c r="E1359" t="inlineStr">
        <is>
          <t>ESKILSTUNA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66226-2019</t>
        </is>
      </c>
      <c r="B1360" s="1" t="n">
        <v>43808</v>
      </c>
      <c r="C1360" s="1" t="n">
        <v>45182</v>
      </c>
      <c r="D1360" t="inlineStr">
        <is>
          <t>SÖDERMANLANDS LÄN</t>
        </is>
      </c>
      <c r="E1360" t="inlineStr">
        <is>
          <t>NYKÖPING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66360-2019</t>
        </is>
      </c>
      <c r="B1361" s="1" t="n">
        <v>43808</v>
      </c>
      <c r="C1361" s="1" t="n">
        <v>45182</v>
      </c>
      <c r="D1361" t="inlineStr">
        <is>
          <t>SÖDERMANLANDS LÄN</t>
        </is>
      </c>
      <c r="E1361" t="inlineStr">
        <is>
          <t>ESKILSTUNA</t>
        </is>
      </c>
      <c r="G1361" t="n">
        <v>6.9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67320-2019</t>
        </is>
      </c>
      <c r="B1362" s="1" t="n">
        <v>43808</v>
      </c>
      <c r="C1362" s="1" t="n">
        <v>45182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66285-2019</t>
        </is>
      </c>
      <c r="B1363" s="1" t="n">
        <v>43808</v>
      </c>
      <c r="C1363" s="1" t="n">
        <v>45182</v>
      </c>
      <c r="D1363" t="inlineStr">
        <is>
          <t>SÖDERMANLANDS LÄN</t>
        </is>
      </c>
      <c r="E1363" t="inlineStr">
        <is>
          <t>ESKILSTUNA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66363-2019</t>
        </is>
      </c>
      <c r="B1364" s="1" t="n">
        <v>43808</v>
      </c>
      <c r="C1364" s="1" t="n">
        <v>45182</v>
      </c>
      <c r="D1364" t="inlineStr">
        <is>
          <t>SÖDERMANLANDS LÄN</t>
        </is>
      </c>
      <c r="E1364" t="inlineStr">
        <is>
          <t>ESKILSTUNA</t>
        </is>
      </c>
      <c r="G1364" t="n">
        <v>8.1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66636-2019</t>
        </is>
      </c>
      <c r="B1365" s="1" t="n">
        <v>43809</v>
      </c>
      <c r="C1365" s="1" t="n">
        <v>45182</v>
      </c>
      <c r="D1365" t="inlineStr">
        <is>
          <t>SÖDERMANLANDS LÄN</t>
        </is>
      </c>
      <c r="E1365" t="inlineStr">
        <is>
          <t>NYKÖPING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66407-2019</t>
        </is>
      </c>
      <c r="B1366" s="1" t="n">
        <v>43809</v>
      </c>
      <c r="C1366" s="1" t="n">
        <v>45182</v>
      </c>
      <c r="D1366" t="inlineStr">
        <is>
          <t>SÖDERMANLANDS LÄN</t>
        </is>
      </c>
      <c r="E1366" t="inlineStr">
        <is>
          <t>KATRINEHOLM</t>
        </is>
      </c>
      <c r="F1366" t="inlineStr">
        <is>
          <t>Övriga Aktiebolag</t>
        </is>
      </c>
      <c r="G1366" t="n">
        <v>3.9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66587-2019</t>
        </is>
      </c>
      <c r="B1367" s="1" t="n">
        <v>43809</v>
      </c>
      <c r="C1367" s="1" t="n">
        <v>45182</v>
      </c>
      <c r="D1367" t="inlineStr">
        <is>
          <t>SÖDERMANLANDS LÄN</t>
        </is>
      </c>
      <c r="E1367" t="inlineStr">
        <is>
          <t>NYKÖPING</t>
        </is>
      </c>
      <c r="G1367" t="n">
        <v>3.4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66647-2019</t>
        </is>
      </c>
      <c r="B1368" s="1" t="n">
        <v>43809</v>
      </c>
      <c r="C1368" s="1" t="n">
        <v>45182</v>
      </c>
      <c r="D1368" t="inlineStr">
        <is>
          <t>SÖDERMANLANDS LÄN</t>
        </is>
      </c>
      <c r="E1368" t="inlineStr">
        <is>
          <t>TROSA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66686-2019</t>
        </is>
      </c>
      <c r="B1369" s="1" t="n">
        <v>43809</v>
      </c>
      <c r="C1369" s="1" t="n">
        <v>45182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7.7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66676-2019</t>
        </is>
      </c>
      <c r="B1370" s="1" t="n">
        <v>43809</v>
      </c>
      <c r="C1370" s="1" t="n">
        <v>45182</v>
      </c>
      <c r="D1370" t="inlineStr">
        <is>
          <t>SÖDERMANLANDS LÄN</t>
        </is>
      </c>
      <c r="E1370" t="inlineStr">
        <is>
          <t>NYKÖPING</t>
        </is>
      </c>
      <c r="F1370" t="inlineStr">
        <is>
          <t>Holmen skog AB</t>
        </is>
      </c>
      <c r="G1370" t="n">
        <v>2.6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67661-2019</t>
        </is>
      </c>
      <c r="B1371" s="1" t="n">
        <v>43809</v>
      </c>
      <c r="C1371" s="1" t="n">
        <v>45182</v>
      </c>
      <c r="D1371" t="inlineStr">
        <is>
          <t>SÖDERMANLANDS LÄN</t>
        </is>
      </c>
      <c r="E1371" t="inlineStr">
        <is>
          <t>STRÄNGNÄS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66790-2019</t>
        </is>
      </c>
      <c r="B1372" s="1" t="n">
        <v>43810</v>
      </c>
      <c r="C1372" s="1" t="n">
        <v>45182</v>
      </c>
      <c r="D1372" t="inlineStr">
        <is>
          <t>SÖDERMANLANDS LÄN</t>
        </is>
      </c>
      <c r="E1372" t="inlineStr">
        <is>
          <t>NYKÖPING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66821-2019</t>
        </is>
      </c>
      <c r="B1373" s="1" t="n">
        <v>43810</v>
      </c>
      <c r="C1373" s="1" t="n">
        <v>45182</v>
      </c>
      <c r="D1373" t="inlineStr">
        <is>
          <t>SÖDERMANLANDS LÄN</t>
        </is>
      </c>
      <c r="E1373" t="inlineStr">
        <is>
          <t>KATRINEHOLM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66826-2019</t>
        </is>
      </c>
      <c r="B1374" s="1" t="n">
        <v>43810</v>
      </c>
      <c r="C1374" s="1" t="n">
        <v>45182</v>
      </c>
      <c r="D1374" t="inlineStr">
        <is>
          <t>SÖDERMANLANDS LÄN</t>
        </is>
      </c>
      <c r="E1374" t="inlineStr">
        <is>
          <t>KATRINEHOLM</t>
        </is>
      </c>
      <c r="G1374" t="n">
        <v>2.1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66879-2019</t>
        </is>
      </c>
      <c r="B1375" s="1" t="n">
        <v>43810</v>
      </c>
      <c r="C1375" s="1" t="n">
        <v>45182</v>
      </c>
      <c r="D1375" t="inlineStr">
        <is>
          <t>SÖDERMANLANDS LÄN</t>
        </is>
      </c>
      <c r="E1375" t="inlineStr">
        <is>
          <t>KATRINEHOLM</t>
        </is>
      </c>
      <c r="G1375" t="n">
        <v>4.2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66860-2019</t>
        </is>
      </c>
      <c r="B1376" s="1" t="n">
        <v>43810</v>
      </c>
      <c r="C1376" s="1" t="n">
        <v>45182</v>
      </c>
      <c r="D1376" t="inlineStr">
        <is>
          <t>SÖDERMANLANDS LÄN</t>
        </is>
      </c>
      <c r="E1376" t="inlineStr">
        <is>
          <t>KATRINEHOLM</t>
        </is>
      </c>
      <c r="G1376" t="n">
        <v>1.4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67393-2019</t>
        </is>
      </c>
      <c r="B1377" s="1" t="n">
        <v>43811</v>
      </c>
      <c r="C1377" s="1" t="n">
        <v>45182</v>
      </c>
      <c r="D1377" t="inlineStr">
        <is>
          <t>SÖDERMANLANDS LÄN</t>
        </is>
      </c>
      <c r="E1377" t="inlineStr">
        <is>
          <t>NYKÖPING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68491-2019</t>
        </is>
      </c>
      <c r="B1378" s="1" t="n">
        <v>43811</v>
      </c>
      <c r="C1378" s="1" t="n">
        <v>45182</v>
      </c>
      <c r="D1378" t="inlineStr">
        <is>
          <t>SÖDERMANLANDS LÄN</t>
        </is>
      </c>
      <c r="E1378" t="inlineStr">
        <is>
          <t>FLEN</t>
        </is>
      </c>
      <c r="F1378" t="inlineStr">
        <is>
          <t>Övriga statliga verk och myndigheter</t>
        </is>
      </c>
      <c r="G1378" t="n">
        <v>6.6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68476-2019</t>
        </is>
      </c>
      <c r="B1379" s="1" t="n">
        <v>43811</v>
      </c>
      <c r="C1379" s="1" t="n">
        <v>45182</v>
      </c>
      <c r="D1379" t="inlineStr">
        <is>
          <t>SÖDERMANLANDS LÄN</t>
        </is>
      </c>
      <c r="E1379" t="inlineStr">
        <is>
          <t>FLEN</t>
        </is>
      </c>
      <c r="G1379" t="n">
        <v>1.7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67405-2019</t>
        </is>
      </c>
      <c r="B1380" s="1" t="n">
        <v>43811</v>
      </c>
      <c r="C1380" s="1" t="n">
        <v>45182</v>
      </c>
      <c r="D1380" t="inlineStr">
        <is>
          <t>SÖDERMANLANDS LÄN</t>
        </is>
      </c>
      <c r="E1380" t="inlineStr">
        <is>
          <t>NYKÖPING</t>
        </is>
      </c>
      <c r="G1380" t="n">
        <v>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68481-2019</t>
        </is>
      </c>
      <c r="B1381" s="1" t="n">
        <v>43811</v>
      </c>
      <c r="C1381" s="1" t="n">
        <v>45182</v>
      </c>
      <c r="D1381" t="inlineStr">
        <is>
          <t>SÖDERMANLANDS LÄN</t>
        </is>
      </c>
      <c r="E1381" t="inlineStr">
        <is>
          <t>FLEN</t>
        </is>
      </c>
      <c r="F1381" t="inlineStr">
        <is>
          <t>Övriga statliga verk och myndigheter</t>
        </is>
      </c>
      <c r="G1381" t="n">
        <v>4.5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67306-2019</t>
        </is>
      </c>
      <c r="B1382" s="1" t="n">
        <v>43812</v>
      </c>
      <c r="C1382" s="1" t="n">
        <v>45182</v>
      </c>
      <c r="D1382" t="inlineStr">
        <is>
          <t>SÖDERMANLANDS LÄN</t>
        </is>
      </c>
      <c r="E1382" t="inlineStr">
        <is>
          <t>ESKILSTUNA</t>
        </is>
      </c>
      <c r="G1382" t="n">
        <v>2.3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67340-2019</t>
        </is>
      </c>
      <c r="B1383" s="1" t="n">
        <v>43812</v>
      </c>
      <c r="C1383" s="1" t="n">
        <v>45182</v>
      </c>
      <c r="D1383" t="inlineStr">
        <is>
          <t>SÖDERMANLANDS LÄN</t>
        </is>
      </c>
      <c r="E1383" t="inlineStr">
        <is>
          <t>VINGÅKER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67401-2019</t>
        </is>
      </c>
      <c r="B1384" s="1" t="n">
        <v>43812</v>
      </c>
      <c r="C1384" s="1" t="n">
        <v>45182</v>
      </c>
      <c r="D1384" t="inlineStr">
        <is>
          <t>SÖDERMANLANDS LÄN</t>
        </is>
      </c>
      <c r="E1384" t="inlineStr">
        <is>
          <t>STRÄNGNÄS</t>
        </is>
      </c>
      <c r="F1384" t="inlineStr">
        <is>
          <t>Övriga Aktiebolag</t>
        </is>
      </c>
      <c r="G1384" t="n">
        <v>2.6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67321-2019</t>
        </is>
      </c>
      <c r="B1385" s="1" t="n">
        <v>43812</v>
      </c>
      <c r="C1385" s="1" t="n">
        <v>45182</v>
      </c>
      <c r="D1385" t="inlineStr">
        <is>
          <t>SÖDERMANLANDS LÄN</t>
        </is>
      </c>
      <c r="E1385" t="inlineStr">
        <is>
          <t>ESKILSTUNA</t>
        </is>
      </c>
      <c r="G1385" t="n">
        <v>13.7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67270-2019</t>
        </is>
      </c>
      <c r="B1386" s="1" t="n">
        <v>43812</v>
      </c>
      <c r="C1386" s="1" t="n">
        <v>45182</v>
      </c>
      <c r="D1386" t="inlineStr">
        <is>
          <t>SÖDERMANLANDS LÄN</t>
        </is>
      </c>
      <c r="E1386" t="inlineStr">
        <is>
          <t>KATRINEHOLM</t>
        </is>
      </c>
      <c r="F1386" t="inlineStr">
        <is>
          <t>Kyrkan</t>
        </is>
      </c>
      <c r="G1386" t="n">
        <v>2.1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67327-2019</t>
        </is>
      </c>
      <c r="B1387" s="1" t="n">
        <v>43812</v>
      </c>
      <c r="C1387" s="1" t="n">
        <v>45182</v>
      </c>
      <c r="D1387" t="inlineStr">
        <is>
          <t>SÖDERMANLANDS LÄN</t>
        </is>
      </c>
      <c r="E1387" t="inlineStr">
        <is>
          <t>ESKILSTUNA</t>
        </is>
      </c>
      <c r="G1387" t="n">
        <v>14.1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67311-2019</t>
        </is>
      </c>
      <c r="B1388" s="1" t="n">
        <v>43812</v>
      </c>
      <c r="C1388" s="1" t="n">
        <v>45182</v>
      </c>
      <c r="D1388" t="inlineStr">
        <is>
          <t>SÖDERMANLANDS LÄN</t>
        </is>
      </c>
      <c r="E1388" t="inlineStr">
        <is>
          <t>ESKILSTUNA</t>
        </is>
      </c>
      <c r="G1388" t="n">
        <v>0.3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67955-2019</t>
        </is>
      </c>
      <c r="B1389" s="1" t="n">
        <v>43816</v>
      </c>
      <c r="C1389" s="1" t="n">
        <v>45182</v>
      </c>
      <c r="D1389" t="inlineStr">
        <is>
          <t>SÖDERMANLANDS LÄN</t>
        </is>
      </c>
      <c r="E1389" t="inlineStr">
        <is>
          <t>ESKILSTUNA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769-2020</t>
        </is>
      </c>
      <c r="B1390" s="1" t="n">
        <v>43817</v>
      </c>
      <c r="C1390" s="1" t="n">
        <v>45182</v>
      </c>
      <c r="D1390" t="inlineStr">
        <is>
          <t>SÖDERMANLANDS LÄN</t>
        </is>
      </c>
      <c r="E1390" t="inlineStr">
        <is>
          <t>VINGÅKER</t>
        </is>
      </c>
      <c r="G1390" t="n">
        <v>1.7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859-2020</t>
        </is>
      </c>
      <c r="B1391" s="1" t="n">
        <v>43818</v>
      </c>
      <c r="C1391" s="1" t="n">
        <v>45182</v>
      </c>
      <c r="D1391" t="inlineStr">
        <is>
          <t>SÖDERMANLANDS LÄN</t>
        </is>
      </c>
      <c r="E1391" t="inlineStr">
        <is>
          <t>NYKÖPING</t>
        </is>
      </c>
      <c r="G1391" t="n">
        <v>5.9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68651-2019</t>
        </is>
      </c>
      <c r="B1392" s="1" t="n">
        <v>43819</v>
      </c>
      <c r="C1392" s="1" t="n">
        <v>45182</v>
      </c>
      <c r="D1392" t="inlineStr">
        <is>
          <t>SÖDERMANLANDS LÄN</t>
        </is>
      </c>
      <c r="E1392" t="inlineStr">
        <is>
          <t>NYKÖPING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1367-2020</t>
        </is>
      </c>
      <c r="B1393" s="1" t="n">
        <v>43822</v>
      </c>
      <c r="C1393" s="1" t="n">
        <v>45182</v>
      </c>
      <c r="D1393" t="inlineStr">
        <is>
          <t>SÖDERMANLANDS LÄN</t>
        </is>
      </c>
      <c r="E1393" t="inlineStr">
        <is>
          <t>KATRINEHOLM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68976-2019</t>
        </is>
      </c>
      <c r="B1394" s="1" t="n">
        <v>43823</v>
      </c>
      <c r="C1394" s="1" t="n">
        <v>45182</v>
      </c>
      <c r="D1394" t="inlineStr">
        <is>
          <t>SÖDERMANLANDS LÄN</t>
        </is>
      </c>
      <c r="E1394" t="inlineStr">
        <is>
          <t>FLEN</t>
        </is>
      </c>
      <c r="G1394" t="n">
        <v>2.8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82-2020</t>
        </is>
      </c>
      <c r="B1395" s="1" t="n">
        <v>43832</v>
      </c>
      <c r="C1395" s="1" t="n">
        <v>45182</v>
      </c>
      <c r="D1395" t="inlineStr">
        <is>
          <t>SÖDERMANLANDS LÄN</t>
        </is>
      </c>
      <c r="E1395" t="inlineStr">
        <is>
          <t>FLEN</t>
        </is>
      </c>
      <c r="G1395" t="n">
        <v>6.2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235-2020</t>
        </is>
      </c>
      <c r="B1396" s="1" t="n">
        <v>43834</v>
      </c>
      <c r="C1396" s="1" t="n">
        <v>45182</v>
      </c>
      <c r="D1396" t="inlineStr">
        <is>
          <t>SÖDERMANLANDS LÄN</t>
        </is>
      </c>
      <c r="E1396" t="inlineStr">
        <is>
          <t>FLEN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236-2020</t>
        </is>
      </c>
      <c r="B1397" s="1" t="n">
        <v>43834</v>
      </c>
      <c r="C1397" s="1" t="n">
        <v>45182</v>
      </c>
      <c r="D1397" t="inlineStr">
        <is>
          <t>SÖDERMANLANDS LÄN</t>
        </is>
      </c>
      <c r="E1397" t="inlineStr">
        <is>
          <t>FLEN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520-2020</t>
        </is>
      </c>
      <c r="B1398" s="1" t="n">
        <v>43837</v>
      </c>
      <c r="C1398" s="1" t="n">
        <v>45182</v>
      </c>
      <c r="D1398" t="inlineStr">
        <is>
          <t>SÖDERMANLANDS LÄN</t>
        </is>
      </c>
      <c r="E1398" t="inlineStr">
        <is>
          <t>NYKÖPING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613-2020</t>
        </is>
      </c>
      <c r="B1399" s="1" t="n">
        <v>43838</v>
      </c>
      <c r="C1399" s="1" t="n">
        <v>45182</v>
      </c>
      <c r="D1399" t="inlineStr">
        <is>
          <t>SÖDERMANLANDS LÄN</t>
        </is>
      </c>
      <c r="E1399" t="inlineStr">
        <is>
          <t>NYKÖPING</t>
        </is>
      </c>
      <c r="F1399" t="inlineStr">
        <is>
          <t>Holmen skog AB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2048-2020</t>
        </is>
      </c>
      <c r="B1400" s="1" t="n">
        <v>43839</v>
      </c>
      <c r="C1400" s="1" t="n">
        <v>45182</v>
      </c>
      <c r="D1400" t="inlineStr">
        <is>
          <t>SÖDERMANLANDS LÄN</t>
        </is>
      </c>
      <c r="E1400" t="inlineStr">
        <is>
          <t>NYKÖPING</t>
        </is>
      </c>
      <c r="G1400" t="n">
        <v>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883-2020</t>
        </is>
      </c>
      <c r="B1401" s="1" t="n">
        <v>43839</v>
      </c>
      <c r="C1401" s="1" t="n">
        <v>45182</v>
      </c>
      <c r="D1401" t="inlineStr">
        <is>
          <t>SÖDERMANLANDS LÄN</t>
        </is>
      </c>
      <c r="E1401" t="inlineStr">
        <is>
          <t>STRÄNGNÄS</t>
        </is>
      </c>
      <c r="F1401" t="inlineStr">
        <is>
          <t>Övriga statliga verk och myndigheter</t>
        </is>
      </c>
      <c r="G1401" t="n">
        <v>6.5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1007-2020</t>
        </is>
      </c>
      <c r="B1402" s="1" t="n">
        <v>43839</v>
      </c>
      <c r="C1402" s="1" t="n">
        <v>45182</v>
      </c>
      <c r="D1402" t="inlineStr">
        <is>
          <t>SÖDERMANLANDS LÄN</t>
        </is>
      </c>
      <c r="E1402" t="inlineStr">
        <is>
          <t>FLEN</t>
        </is>
      </c>
      <c r="F1402" t="inlineStr">
        <is>
          <t>Holmen skog AB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981-2020</t>
        </is>
      </c>
      <c r="B1403" s="1" t="n">
        <v>43839</v>
      </c>
      <c r="C1403" s="1" t="n">
        <v>45182</v>
      </c>
      <c r="D1403" t="inlineStr">
        <is>
          <t>SÖDERMANLANDS LÄN</t>
        </is>
      </c>
      <c r="E1403" t="inlineStr">
        <is>
          <t>NYKÖPING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1283-2020</t>
        </is>
      </c>
      <c r="B1404" s="1" t="n">
        <v>43842</v>
      </c>
      <c r="C1404" s="1" t="n">
        <v>45182</v>
      </c>
      <c r="D1404" t="inlineStr">
        <is>
          <t>SÖDERMANLANDS LÄN</t>
        </is>
      </c>
      <c r="E1404" t="inlineStr">
        <is>
          <t>GNESTA</t>
        </is>
      </c>
      <c r="G1404" t="n">
        <v>1.3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1720-2020</t>
        </is>
      </c>
      <c r="B1405" s="1" t="n">
        <v>43844</v>
      </c>
      <c r="C1405" s="1" t="n">
        <v>45182</v>
      </c>
      <c r="D1405" t="inlineStr">
        <is>
          <t>SÖDERMANLANDS LÄN</t>
        </is>
      </c>
      <c r="E1405" t="inlineStr">
        <is>
          <t>ESKILSTUNA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3687-2020</t>
        </is>
      </c>
      <c r="B1406" s="1" t="n">
        <v>43845</v>
      </c>
      <c r="C1406" s="1" t="n">
        <v>45182</v>
      </c>
      <c r="D1406" t="inlineStr">
        <is>
          <t>SÖDERMANLANDS LÄN</t>
        </is>
      </c>
      <c r="E1406" t="inlineStr">
        <is>
          <t>ESKILSTUNA</t>
        </is>
      </c>
      <c r="G1406" t="n">
        <v>17.8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1879-2020</t>
        </is>
      </c>
      <c r="B1407" s="1" t="n">
        <v>43845</v>
      </c>
      <c r="C1407" s="1" t="n">
        <v>45182</v>
      </c>
      <c r="D1407" t="inlineStr">
        <is>
          <t>SÖDERMANLANDS LÄN</t>
        </is>
      </c>
      <c r="E1407" t="inlineStr">
        <is>
          <t>NYKÖPING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2319-2020</t>
        </is>
      </c>
      <c r="B1408" s="1" t="n">
        <v>43846</v>
      </c>
      <c r="C1408" s="1" t="n">
        <v>45182</v>
      </c>
      <c r="D1408" t="inlineStr">
        <is>
          <t>SÖDERMANLANDS LÄN</t>
        </is>
      </c>
      <c r="E1408" t="inlineStr">
        <is>
          <t>KATRINEHOLM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2113-2020</t>
        </is>
      </c>
      <c r="B1409" s="1" t="n">
        <v>43846</v>
      </c>
      <c r="C1409" s="1" t="n">
        <v>45182</v>
      </c>
      <c r="D1409" t="inlineStr">
        <is>
          <t>SÖDERMANLANDS LÄN</t>
        </is>
      </c>
      <c r="E1409" t="inlineStr">
        <is>
          <t>ESKILSTUNA</t>
        </is>
      </c>
      <c r="F1409" t="inlineStr">
        <is>
          <t>Kyrkan</t>
        </is>
      </c>
      <c r="G1409" t="n">
        <v>4.4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2229-2020</t>
        </is>
      </c>
      <c r="B1410" s="1" t="n">
        <v>43846</v>
      </c>
      <c r="C1410" s="1" t="n">
        <v>45182</v>
      </c>
      <c r="D1410" t="inlineStr">
        <is>
          <t>SÖDERMANLANDS LÄN</t>
        </is>
      </c>
      <c r="E1410" t="inlineStr">
        <is>
          <t>VINGÅKER</t>
        </is>
      </c>
      <c r="G1410" t="n">
        <v>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4033-2020</t>
        </is>
      </c>
      <c r="B1411" s="1" t="n">
        <v>43846</v>
      </c>
      <c r="C1411" s="1" t="n">
        <v>45182</v>
      </c>
      <c r="D1411" t="inlineStr">
        <is>
          <t>SÖDERMANLANDS LÄN</t>
        </is>
      </c>
      <c r="E1411" t="inlineStr">
        <is>
          <t>FLEN</t>
        </is>
      </c>
      <c r="G1411" t="n">
        <v>2.4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2502-2020</t>
        </is>
      </c>
      <c r="B1412" s="1" t="n">
        <v>43847</v>
      </c>
      <c r="C1412" s="1" t="n">
        <v>45182</v>
      </c>
      <c r="D1412" t="inlineStr">
        <is>
          <t>SÖDERMANLANDS LÄN</t>
        </is>
      </c>
      <c r="E1412" t="inlineStr">
        <is>
          <t>ESKILSTUNA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2385-2020</t>
        </is>
      </c>
      <c r="B1413" s="1" t="n">
        <v>43847</v>
      </c>
      <c r="C1413" s="1" t="n">
        <v>45182</v>
      </c>
      <c r="D1413" t="inlineStr">
        <is>
          <t>SÖDERMANLANDS LÄN</t>
        </is>
      </c>
      <c r="E1413" t="inlineStr">
        <is>
          <t>STRÄNGNÄS</t>
        </is>
      </c>
      <c r="G1413" t="n">
        <v>7.4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2486-2020</t>
        </is>
      </c>
      <c r="B1414" s="1" t="n">
        <v>43847</v>
      </c>
      <c r="C1414" s="1" t="n">
        <v>45182</v>
      </c>
      <c r="D1414" t="inlineStr">
        <is>
          <t>SÖDERMANLANDS LÄN</t>
        </is>
      </c>
      <c r="E1414" t="inlineStr">
        <is>
          <t>ESKILSTUNA</t>
        </is>
      </c>
      <c r="G1414" t="n">
        <v>3.3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2538-2020</t>
        </is>
      </c>
      <c r="B1415" s="1" t="n">
        <v>43847</v>
      </c>
      <c r="C1415" s="1" t="n">
        <v>45182</v>
      </c>
      <c r="D1415" t="inlineStr">
        <is>
          <t>SÖDERMANLANDS LÄN</t>
        </is>
      </c>
      <c r="E1415" t="inlineStr">
        <is>
          <t>FLEN</t>
        </is>
      </c>
      <c r="F1415" t="inlineStr">
        <is>
          <t>Holmen skog AB</t>
        </is>
      </c>
      <c r="G1415" t="n">
        <v>0.7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2526-2020</t>
        </is>
      </c>
      <c r="B1416" s="1" t="n">
        <v>43847</v>
      </c>
      <c r="C1416" s="1" t="n">
        <v>45182</v>
      </c>
      <c r="D1416" t="inlineStr">
        <is>
          <t>SÖDERMANLANDS LÄN</t>
        </is>
      </c>
      <c r="E1416" t="inlineStr">
        <is>
          <t>STRÄNGNÄS</t>
        </is>
      </c>
      <c r="G1416" t="n">
        <v>5.9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3831-2020</t>
        </is>
      </c>
      <c r="B1417" s="1" t="n">
        <v>43847</v>
      </c>
      <c r="C1417" s="1" t="n">
        <v>45182</v>
      </c>
      <c r="D1417" t="inlineStr">
        <is>
          <t>SÖDERMANLANDS LÄN</t>
        </is>
      </c>
      <c r="E1417" t="inlineStr">
        <is>
          <t>FLEN</t>
        </is>
      </c>
      <c r="G1417" t="n">
        <v>6.4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2661-2020</t>
        </is>
      </c>
      <c r="B1418" s="1" t="n">
        <v>43848</v>
      </c>
      <c r="C1418" s="1" t="n">
        <v>45182</v>
      </c>
      <c r="D1418" t="inlineStr">
        <is>
          <t>SÖDERMANLANDS LÄN</t>
        </is>
      </c>
      <c r="E1418" t="inlineStr">
        <is>
          <t>ESKILSTUNA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2975-2020</t>
        </is>
      </c>
      <c r="B1419" s="1" t="n">
        <v>43850</v>
      </c>
      <c r="C1419" s="1" t="n">
        <v>45182</v>
      </c>
      <c r="D1419" t="inlineStr">
        <is>
          <t>SÖDERMANLANDS LÄN</t>
        </is>
      </c>
      <c r="E1419" t="inlineStr">
        <is>
          <t>ESKILSTUNA</t>
        </is>
      </c>
      <c r="F1419" t="inlineStr">
        <is>
          <t>Kyrkan</t>
        </is>
      </c>
      <c r="G1419" t="n">
        <v>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2879-2020</t>
        </is>
      </c>
      <c r="B1420" s="1" t="n">
        <v>43850</v>
      </c>
      <c r="C1420" s="1" t="n">
        <v>45182</v>
      </c>
      <c r="D1420" t="inlineStr">
        <is>
          <t>SÖDERMANLANDS LÄN</t>
        </is>
      </c>
      <c r="E1420" t="inlineStr">
        <is>
          <t>ESKILSTUNA</t>
        </is>
      </c>
      <c r="G1420" t="n">
        <v>5.7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3931-2020</t>
        </is>
      </c>
      <c r="B1421" s="1" t="n">
        <v>43851</v>
      </c>
      <c r="C1421" s="1" t="n">
        <v>45182</v>
      </c>
      <c r="D1421" t="inlineStr">
        <is>
          <t>SÖDERMANLANDS LÄN</t>
        </is>
      </c>
      <c r="E1421" t="inlineStr">
        <is>
          <t>ESKILSTUNA</t>
        </is>
      </c>
      <c r="G1421" t="n">
        <v>2.1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3360-2020</t>
        </is>
      </c>
      <c r="B1422" s="1" t="n">
        <v>43852</v>
      </c>
      <c r="C1422" s="1" t="n">
        <v>45182</v>
      </c>
      <c r="D1422" t="inlineStr">
        <is>
          <t>SÖDERMANLANDS LÄN</t>
        </is>
      </c>
      <c r="E1422" t="inlineStr">
        <is>
          <t>VINGÅKER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4805-2020</t>
        </is>
      </c>
      <c r="B1423" s="1" t="n">
        <v>43852</v>
      </c>
      <c r="C1423" s="1" t="n">
        <v>45182</v>
      </c>
      <c r="D1423" t="inlineStr">
        <is>
          <t>SÖDERMANLANDS LÄN</t>
        </is>
      </c>
      <c r="E1423" t="inlineStr">
        <is>
          <t>ESKILSTUNA</t>
        </is>
      </c>
      <c r="G1423" t="n">
        <v>2.5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4845-2020</t>
        </is>
      </c>
      <c r="B1424" s="1" t="n">
        <v>43852</v>
      </c>
      <c r="C1424" s="1" t="n">
        <v>45182</v>
      </c>
      <c r="D1424" t="inlineStr">
        <is>
          <t>SÖDERMANLANDS LÄN</t>
        </is>
      </c>
      <c r="E1424" t="inlineStr">
        <is>
          <t>ESKILSTUNA</t>
        </is>
      </c>
      <c r="G1424" t="n">
        <v>2.8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3667-2020</t>
        </is>
      </c>
      <c r="B1425" s="1" t="n">
        <v>43853</v>
      </c>
      <c r="C1425" s="1" t="n">
        <v>45182</v>
      </c>
      <c r="D1425" t="inlineStr">
        <is>
          <t>SÖDERMANLANDS LÄN</t>
        </is>
      </c>
      <c r="E1425" t="inlineStr">
        <is>
          <t>ESKILSTUNA</t>
        </is>
      </c>
      <c r="G1425" t="n">
        <v>50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3718-2020</t>
        </is>
      </c>
      <c r="B1426" s="1" t="n">
        <v>43853</v>
      </c>
      <c r="C1426" s="1" t="n">
        <v>45182</v>
      </c>
      <c r="D1426" t="inlineStr">
        <is>
          <t>SÖDERMANLANDS LÄN</t>
        </is>
      </c>
      <c r="E1426" t="inlineStr">
        <is>
          <t>ESKILSTUNA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3571-2020</t>
        </is>
      </c>
      <c r="B1427" s="1" t="n">
        <v>43853</v>
      </c>
      <c r="C1427" s="1" t="n">
        <v>45182</v>
      </c>
      <c r="D1427" t="inlineStr">
        <is>
          <t>SÖDERMANLANDS LÄN</t>
        </is>
      </c>
      <c r="E1427" t="inlineStr">
        <is>
          <t>KATRINEHOLM</t>
        </is>
      </c>
      <c r="G1427" t="n">
        <v>10.9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3619-2020</t>
        </is>
      </c>
      <c r="B1428" s="1" t="n">
        <v>43853</v>
      </c>
      <c r="C1428" s="1" t="n">
        <v>45182</v>
      </c>
      <c r="D1428" t="inlineStr">
        <is>
          <t>SÖDERMANLANDS LÄN</t>
        </is>
      </c>
      <c r="E1428" t="inlineStr">
        <is>
          <t>FLEN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3540-2020</t>
        </is>
      </c>
      <c r="B1429" s="1" t="n">
        <v>43853</v>
      </c>
      <c r="C1429" s="1" t="n">
        <v>45182</v>
      </c>
      <c r="D1429" t="inlineStr">
        <is>
          <t>SÖDERMANLANDS LÄN</t>
        </is>
      </c>
      <c r="E1429" t="inlineStr">
        <is>
          <t>KATRINEHOLM</t>
        </is>
      </c>
      <c r="G1429" t="n">
        <v>11.7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3963-2020</t>
        </is>
      </c>
      <c r="B1430" s="1" t="n">
        <v>43854</v>
      </c>
      <c r="C1430" s="1" t="n">
        <v>45182</v>
      </c>
      <c r="D1430" t="inlineStr">
        <is>
          <t>SÖDERMANLANDS LÄN</t>
        </is>
      </c>
      <c r="E1430" t="inlineStr">
        <is>
          <t>VINGÅKER</t>
        </is>
      </c>
      <c r="G1430" t="n">
        <v>1.2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3987-2020</t>
        </is>
      </c>
      <c r="B1431" s="1" t="n">
        <v>43855</v>
      </c>
      <c r="C1431" s="1" t="n">
        <v>45182</v>
      </c>
      <c r="D1431" t="inlineStr">
        <is>
          <t>SÖDERMANLANDS LÄN</t>
        </is>
      </c>
      <c r="E1431" t="inlineStr">
        <is>
          <t>NYKÖPING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4354-2020</t>
        </is>
      </c>
      <c r="B1432" s="1" t="n">
        <v>43857</v>
      </c>
      <c r="C1432" s="1" t="n">
        <v>45182</v>
      </c>
      <c r="D1432" t="inlineStr">
        <is>
          <t>SÖDERMANLANDS LÄN</t>
        </is>
      </c>
      <c r="E1432" t="inlineStr">
        <is>
          <t>KATRINEHOLM</t>
        </is>
      </c>
      <c r="G1432" t="n">
        <v>1.7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4355-2020</t>
        </is>
      </c>
      <c r="B1433" s="1" t="n">
        <v>43857</v>
      </c>
      <c r="C1433" s="1" t="n">
        <v>45182</v>
      </c>
      <c r="D1433" t="inlineStr">
        <is>
          <t>SÖDERMANLANDS LÄN</t>
        </is>
      </c>
      <c r="E1433" t="inlineStr">
        <is>
          <t>KATRINEHOLM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4092-2020</t>
        </is>
      </c>
      <c r="B1434" s="1" t="n">
        <v>43857</v>
      </c>
      <c r="C1434" s="1" t="n">
        <v>45182</v>
      </c>
      <c r="D1434" t="inlineStr">
        <is>
          <t>SÖDERMANLANDS LÄN</t>
        </is>
      </c>
      <c r="E1434" t="inlineStr">
        <is>
          <t>FLEN</t>
        </is>
      </c>
      <c r="F1434" t="inlineStr">
        <is>
          <t>Holmen skog AB</t>
        </is>
      </c>
      <c r="G1434" t="n">
        <v>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4357-2020</t>
        </is>
      </c>
      <c r="B1435" s="1" t="n">
        <v>43857</v>
      </c>
      <c r="C1435" s="1" t="n">
        <v>45182</v>
      </c>
      <c r="D1435" t="inlineStr">
        <is>
          <t>SÖDERMANLANDS LÄN</t>
        </is>
      </c>
      <c r="E1435" t="inlineStr">
        <is>
          <t>KATRINEHOLM</t>
        </is>
      </c>
      <c r="G1435" t="n">
        <v>0.4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4139-2020</t>
        </is>
      </c>
      <c r="B1436" s="1" t="n">
        <v>43857</v>
      </c>
      <c r="C1436" s="1" t="n">
        <v>45182</v>
      </c>
      <c r="D1436" t="inlineStr">
        <is>
          <t>SÖDERMANLANDS LÄN</t>
        </is>
      </c>
      <c r="E1436" t="inlineStr">
        <is>
          <t>STRÄNGNÄS</t>
        </is>
      </c>
      <c r="G1436" t="n">
        <v>2.7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4187-2020</t>
        </is>
      </c>
      <c r="B1437" s="1" t="n">
        <v>43857</v>
      </c>
      <c r="C1437" s="1" t="n">
        <v>45182</v>
      </c>
      <c r="D1437" t="inlineStr">
        <is>
          <t>SÖDERMANLANDS LÄN</t>
        </is>
      </c>
      <c r="E1437" t="inlineStr">
        <is>
          <t>NYKÖPING</t>
        </is>
      </c>
      <c r="G1437" t="n">
        <v>6.8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5429-2020</t>
        </is>
      </c>
      <c r="B1438" s="1" t="n">
        <v>43858</v>
      </c>
      <c r="C1438" s="1" t="n">
        <v>45182</v>
      </c>
      <c r="D1438" t="inlineStr">
        <is>
          <t>SÖDERMANLANDS LÄN</t>
        </is>
      </c>
      <c r="E1438" t="inlineStr">
        <is>
          <t>STRÄNGNÄS</t>
        </is>
      </c>
      <c r="G1438" t="n">
        <v>2.7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5438-2020</t>
        </is>
      </c>
      <c r="B1439" s="1" t="n">
        <v>43859</v>
      </c>
      <c r="C1439" s="1" t="n">
        <v>45182</v>
      </c>
      <c r="D1439" t="inlineStr">
        <is>
          <t>SÖDERMANLANDS LÄN</t>
        </is>
      </c>
      <c r="E1439" t="inlineStr">
        <is>
          <t>STRÄNGNÄS</t>
        </is>
      </c>
      <c r="G1439" t="n">
        <v>3.4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4869-2020</t>
        </is>
      </c>
      <c r="B1440" s="1" t="n">
        <v>43859</v>
      </c>
      <c r="C1440" s="1" t="n">
        <v>45182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4848-2020</t>
        </is>
      </c>
      <c r="B1441" s="1" t="n">
        <v>43859</v>
      </c>
      <c r="C1441" s="1" t="n">
        <v>45182</v>
      </c>
      <c r="D1441" t="inlineStr">
        <is>
          <t>SÖDERMANLANDS LÄN</t>
        </is>
      </c>
      <c r="E1441" t="inlineStr">
        <is>
          <t>TROSA</t>
        </is>
      </c>
      <c r="F1441" t="inlineStr">
        <is>
          <t>Holmen skog AB</t>
        </is>
      </c>
      <c r="G1441" t="n">
        <v>2.2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5068-2020</t>
        </is>
      </c>
      <c r="B1442" s="1" t="n">
        <v>43859</v>
      </c>
      <c r="C1442" s="1" t="n">
        <v>45182</v>
      </c>
      <c r="D1442" t="inlineStr">
        <is>
          <t>SÖDERMANLANDS LÄN</t>
        </is>
      </c>
      <c r="E1442" t="inlineStr">
        <is>
          <t>ESKILSTUNA</t>
        </is>
      </c>
      <c r="F1442" t="inlineStr">
        <is>
          <t>Kyrkan</t>
        </is>
      </c>
      <c r="G1442" t="n">
        <v>5.6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5643-2020</t>
        </is>
      </c>
      <c r="B1443" s="1" t="n">
        <v>43860</v>
      </c>
      <c r="C1443" s="1" t="n">
        <v>45182</v>
      </c>
      <c r="D1443" t="inlineStr">
        <is>
          <t>SÖDERMANLANDS LÄN</t>
        </is>
      </c>
      <c r="E1443" t="inlineStr">
        <is>
          <t>STRÄNGNÄS</t>
        </is>
      </c>
      <c r="G1443" t="n">
        <v>2.2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5299-2020</t>
        </is>
      </c>
      <c r="B1444" s="1" t="n">
        <v>43860</v>
      </c>
      <c r="C1444" s="1" t="n">
        <v>45182</v>
      </c>
      <c r="D1444" t="inlineStr">
        <is>
          <t>SÖDERMANLANDS LÄN</t>
        </is>
      </c>
      <c r="E1444" t="inlineStr">
        <is>
          <t>NYKÖPING</t>
        </is>
      </c>
      <c r="G1444" t="n">
        <v>2.9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5258-2020</t>
        </is>
      </c>
      <c r="B1445" s="1" t="n">
        <v>43860</v>
      </c>
      <c r="C1445" s="1" t="n">
        <v>45182</v>
      </c>
      <c r="D1445" t="inlineStr">
        <is>
          <t>SÖDERMANLANDS LÄN</t>
        </is>
      </c>
      <c r="E1445" t="inlineStr">
        <is>
          <t>ESKILSTUNA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5646-2020</t>
        </is>
      </c>
      <c r="B1446" s="1" t="n">
        <v>43860</v>
      </c>
      <c r="C1446" s="1" t="n">
        <v>45182</v>
      </c>
      <c r="D1446" t="inlineStr">
        <is>
          <t>SÖDERMANLANDS LÄN</t>
        </is>
      </c>
      <c r="E1446" t="inlineStr">
        <is>
          <t>STRÄNGNÄS</t>
        </is>
      </c>
      <c r="G1446" t="n">
        <v>7.2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5719-2020</t>
        </is>
      </c>
      <c r="B1447" s="1" t="n">
        <v>43862</v>
      </c>
      <c r="C1447" s="1" t="n">
        <v>45182</v>
      </c>
      <c r="D1447" t="inlineStr">
        <is>
          <t>SÖDERMANLANDS LÄN</t>
        </is>
      </c>
      <c r="E1447" t="inlineStr">
        <is>
          <t>ESKILSTUNA</t>
        </is>
      </c>
      <c r="G1447" t="n">
        <v>8.9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5777-2020</t>
        </is>
      </c>
      <c r="B1448" s="1" t="n">
        <v>43864</v>
      </c>
      <c r="C1448" s="1" t="n">
        <v>45182</v>
      </c>
      <c r="D1448" t="inlineStr">
        <is>
          <t>SÖDERMANLANDS LÄN</t>
        </is>
      </c>
      <c r="E1448" t="inlineStr">
        <is>
          <t>FLEN</t>
        </is>
      </c>
      <c r="F1448" t="inlineStr">
        <is>
          <t>Holmen skog AB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5816-2020</t>
        </is>
      </c>
      <c r="B1449" s="1" t="n">
        <v>43864</v>
      </c>
      <c r="C1449" s="1" t="n">
        <v>45182</v>
      </c>
      <c r="D1449" t="inlineStr">
        <is>
          <t>SÖDERMANLANDS LÄN</t>
        </is>
      </c>
      <c r="E1449" t="inlineStr">
        <is>
          <t>NYKÖPING</t>
        </is>
      </c>
      <c r="G1449" t="n">
        <v>11.8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5819-2020</t>
        </is>
      </c>
      <c r="B1450" s="1" t="n">
        <v>43864</v>
      </c>
      <c r="C1450" s="1" t="n">
        <v>45182</v>
      </c>
      <c r="D1450" t="inlineStr">
        <is>
          <t>SÖDERMANLANDS LÄN</t>
        </is>
      </c>
      <c r="E1450" t="inlineStr">
        <is>
          <t>NYKÖPING</t>
        </is>
      </c>
      <c r="G1450" t="n">
        <v>6.9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5803-2020</t>
        </is>
      </c>
      <c r="B1451" s="1" t="n">
        <v>43864</v>
      </c>
      <c r="C1451" s="1" t="n">
        <v>45182</v>
      </c>
      <c r="D1451" t="inlineStr">
        <is>
          <t>SÖDERMANLANDS LÄN</t>
        </is>
      </c>
      <c r="E1451" t="inlineStr">
        <is>
          <t>TROSA</t>
        </is>
      </c>
      <c r="F1451" t="inlineStr">
        <is>
          <t>Holmen skog AB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6220-2020</t>
        </is>
      </c>
      <c r="B1452" s="1" t="n">
        <v>43865</v>
      </c>
      <c r="C1452" s="1" t="n">
        <v>45182</v>
      </c>
      <c r="D1452" t="inlineStr">
        <is>
          <t>SÖDERMANLANDS LÄN</t>
        </is>
      </c>
      <c r="E1452" t="inlineStr">
        <is>
          <t>KATRINEHOLM</t>
        </is>
      </c>
      <c r="F1452" t="inlineStr">
        <is>
          <t>Allmännings- och besparingsskogar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6049-2020</t>
        </is>
      </c>
      <c r="B1453" s="1" t="n">
        <v>43865</v>
      </c>
      <c r="C1453" s="1" t="n">
        <v>45182</v>
      </c>
      <c r="D1453" t="inlineStr">
        <is>
          <t>SÖDERMANLANDS LÄN</t>
        </is>
      </c>
      <c r="E1453" t="inlineStr">
        <is>
          <t>TROSA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6171-2020</t>
        </is>
      </c>
      <c r="B1454" s="1" t="n">
        <v>43865</v>
      </c>
      <c r="C1454" s="1" t="n">
        <v>45182</v>
      </c>
      <c r="D1454" t="inlineStr">
        <is>
          <t>SÖDERMANLANDS LÄN</t>
        </is>
      </c>
      <c r="E1454" t="inlineStr">
        <is>
          <t>STRÄNGNÄS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6175-2020</t>
        </is>
      </c>
      <c r="B1455" s="1" t="n">
        <v>43865</v>
      </c>
      <c r="C1455" s="1" t="n">
        <v>45182</v>
      </c>
      <c r="D1455" t="inlineStr">
        <is>
          <t>SÖDERMANLANDS LÄN</t>
        </is>
      </c>
      <c r="E1455" t="inlineStr">
        <is>
          <t>KATRINEHOLM</t>
        </is>
      </c>
      <c r="F1455" t="inlineStr">
        <is>
          <t>Holmen skog AB</t>
        </is>
      </c>
      <c r="G1455" t="n">
        <v>0.4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6302-2020</t>
        </is>
      </c>
      <c r="B1456" s="1" t="n">
        <v>43866</v>
      </c>
      <c r="C1456" s="1" t="n">
        <v>45182</v>
      </c>
      <c r="D1456" t="inlineStr">
        <is>
          <t>SÖDERMANLANDS LÄN</t>
        </is>
      </c>
      <c r="E1456" t="inlineStr">
        <is>
          <t>VINGÅKER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6412-2020</t>
        </is>
      </c>
      <c r="B1457" s="1" t="n">
        <v>43866</v>
      </c>
      <c r="C1457" s="1" t="n">
        <v>45182</v>
      </c>
      <c r="D1457" t="inlineStr">
        <is>
          <t>SÖDERMANLANDS LÄN</t>
        </is>
      </c>
      <c r="E1457" t="inlineStr">
        <is>
          <t>VINGÅKER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6439-2020</t>
        </is>
      </c>
      <c r="B1458" s="1" t="n">
        <v>43866</v>
      </c>
      <c r="C1458" s="1" t="n">
        <v>45182</v>
      </c>
      <c r="D1458" t="inlineStr">
        <is>
          <t>SÖDERMANLANDS LÄN</t>
        </is>
      </c>
      <c r="E1458" t="inlineStr">
        <is>
          <t>ESKILSTUNA</t>
        </is>
      </c>
      <c r="G1458" t="n">
        <v>5.7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6455-2020</t>
        </is>
      </c>
      <c r="B1459" s="1" t="n">
        <v>43866</v>
      </c>
      <c r="C1459" s="1" t="n">
        <v>45182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6740-2020</t>
        </is>
      </c>
      <c r="B1460" s="1" t="n">
        <v>43866</v>
      </c>
      <c r="C1460" s="1" t="n">
        <v>45182</v>
      </c>
      <c r="D1460" t="inlineStr">
        <is>
          <t>SÖDERMANLANDS LÄN</t>
        </is>
      </c>
      <c r="E1460" t="inlineStr">
        <is>
          <t>KATRINEHOLM</t>
        </is>
      </c>
      <c r="G1460" t="n">
        <v>5.4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6348-2020</t>
        </is>
      </c>
      <c r="B1461" s="1" t="n">
        <v>43866</v>
      </c>
      <c r="C1461" s="1" t="n">
        <v>45182</v>
      </c>
      <c r="D1461" t="inlineStr">
        <is>
          <t>SÖDERMANLANDS LÄN</t>
        </is>
      </c>
      <c r="E1461" t="inlineStr">
        <is>
          <t>VINGÅKER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6679-2020</t>
        </is>
      </c>
      <c r="B1462" s="1" t="n">
        <v>43867</v>
      </c>
      <c r="C1462" s="1" t="n">
        <v>45182</v>
      </c>
      <c r="D1462" t="inlineStr">
        <is>
          <t>SÖDERMANLANDS LÄN</t>
        </is>
      </c>
      <c r="E1462" t="inlineStr">
        <is>
          <t>KATRINEHOLM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6773-2020</t>
        </is>
      </c>
      <c r="B1463" s="1" t="n">
        <v>43867</v>
      </c>
      <c r="C1463" s="1" t="n">
        <v>45182</v>
      </c>
      <c r="D1463" t="inlineStr">
        <is>
          <t>SÖDERMANLANDS LÄN</t>
        </is>
      </c>
      <c r="E1463" t="inlineStr">
        <is>
          <t>NYKÖPING</t>
        </is>
      </c>
      <c r="G1463" t="n">
        <v>2.1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7041-2020</t>
        </is>
      </c>
      <c r="B1464" s="1" t="n">
        <v>43868</v>
      </c>
      <c r="C1464" s="1" t="n">
        <v>45182</v>
      </c>
      <c r="D1464" t="inlineStr">
        <is>
          <t>SÖDERMANLANDS LÄN</t>
        </is>
      </c>
      <c r="E1464" t="inlineStr">
        <is>
          <t>VINGÅKER</t>
        </is>
      </c>
      <c r="G1464" t="n">
        <v>2.4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7050-2020</t>
        </is>
      </c>
      <c r="B1465" s="1" t="n">
        <v>43868</v>
      </c>
      <c r="C1465" s="1" t="n">
        <v>45182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7057-2020</t>
        </is>
      </c>
      <c r="B1466" s="1" t="n">
        <v>43868</v>
      </c>
      <c r="C1466" s="1" t="n">
        <v>45182</v>
      </c>
      <c r="D1466" t="inlineStr">
        <is>
          <t>SÖDERMANLANDS LÄN</t>
        </is>
      </c>
      <c r="E1466" t="inlineStr">
        <is>
          <t>NYKÖPING</t>
        </is>
      </c>
      <c r="F1466" t="inlineStr">
        <is>
          <t>Holmen skog AB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7131-2020</t>
        </is>
      </c>
      <c r="B1467" s="1" t="n">
        <v>43868</v>
      </c>
      <c r="C1467" s="1" t="n">
        <v>45182</v>
      </c>
      <c r="D1467" t="inlineStr">
        <is>
          <t>SÖDERMANLANDS LÄN</t>
        </is>
      </c>
      <c r="E1467" t="inlineStr">
        <is>
          <t>GNESTA</t>
        </is>
      </c>
      <c r="G1467" t="n">
        <v>0.1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7352-2020</t>
        </is>
      </c>
      <c r="B1468" s="1" t="n">
        <v>43871</v>
      </c>
      <c r="C1468" s="1" t="n">
        <v>45182</v>
      </c>
      <c r="D1468" t="inlineStr">
        <is>
          <t>SÖDERMANLANDS LÄN</t>
        </is>
      </c>
      <c r="E1468" t="inlineStr">
        <is>
          <t>KATRINEHOLM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7576-2020</t>
        </is>
      </c>
      <c r="B1469" s="1" t="n">
        <v>43871</v>
      </c>
      <c r="C1469" s="1" t="n">
        <v>45182</v>
      </c>
      <c r="D1469" t="inlineStr">
        <is>
          <t>SÖDERMANLANDS LÄN</t>
        </is>
      </c>
      <c r="E1469" t="inlineStr">
        <is>
          <t>VINGÅKER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7572-2020</t>
        </is>
      </c>
      <c r="B1470" s="1" t="n">
        <v>43871</v>
      </c>
      <c r="C1470" s="1" t="n">
        <v>45182</v>
      </c>
      <c r="D1470" t="inlineStr">
        <is>
          <t>SÖDERMANLANDS LÄN</t>
        </is>
      </c>
      <c r="E1470" t="inlineStr">
        <is>
          <t>VINGÅKER</t>
        </is>
      </c>
      <c r="G1470" t="n">
        <v>5.9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7773-2020</t>
        </is>
      </c>
      <c r="B1471" s="1" t="n">
        <v>43872</v>
      </c>
      <c r="C1471" s="1" t="n">
        <v>45182</v>
      </c>
      <c r="D1471" t="inlineStr">
        <is>
          <t>SÖDERMANLANDS LÄN</t>
        </is>
      </c>
      <c r="E1471" t="inlineStr">
        <is>
          <t>VINGÅKER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7623-2020</t>
        </is>
      </c>
      <c r="B1472" s="1" t="n">
        <v>43872</v>
      </c>
      <c r="C1472" s="1" t="n">
        <v>45182</v>
      </c>
      <c r="D1472" t="inlineStr">
        <is>
          <t>SÖDERMANLANDS LÄN</t>
        </is>
      </c>
      <c r="E1472" t="inlineStr">
        <is>
          <t>KATRINEHOLM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7747-2020</t>
        </is>
      </c>
      <c r="B1473" s="1" t="n">
        <v>43872</v>
      </c>
      <c r="C1473" s="1" t="n">
        <v>45182</v>
      </c>
      <c r="D1473" t="inlineStr">
        <is>
          <t>SÖDERMANLANDS LÄN</t>
        </is>
      </c>
      <c r="E1473" t="inlineStr">
        <is>
          <t>FLEN</t>
        </is>
      </c>
      <c r="G1473" t="n">
        <v>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7932-2020</t>
        </is>
      </c>
      <c r="B1474" s="1" t="n">
        <v>43873</v>
      </c>
      <c r="C1474" s="1" t="n">
        <v>45182</v>
      </c>
      <c r="D1474" t="inlineStr">
        <is>
          <t>SÖDERMANLANDS LÄN</t>
        </is>
      </c>
      <c r="E1474" t="inlineStr">
        <is>
          <t>NYKÖPING</t>
        </is>
      </c>
      <c r="G1474" t="n">
        <v>13.5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7941-2020</t>
        </is>
      </c>
      <c r="B1475" s="1" t="n">
        <v>43873</v>
      </c>
      <c r="C1475" s="1" t="n">
        <v>45182</v>
      </c>
      <c r="D1475" t="inlineStr">
        <is>
          <t>SÖDERMANLANDS LÄN</t>
        </is>
      </c>
      <c r="E1475" t="inlineStr">
        <is>
          <t>FLEN</t>
        </is>
      </c>
      <c r="G1475" t="n">
        <v>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8169-2020</t>
        </is>
      </c>
      <c r="B1476" s="1" t="n">
        <v>43874</v>
      </c>
      <c r="C1476" s="1" t="n">
        <v>45182</v>
      </c>
      <c r="D1476" t="inlineStr">
        <is>
          <t>SÖDERMANLANDS LÄN</t>
        </is>
      </c>
      <c r="E1476" t="inlineStr">
        <is>
          <t>NYKÖPING</t>
        </is>
      </c>
      <c r="G1476" t="n">
        <v>18.5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8239-2020</t>
        </is>
      </c>
      <c r="B1477" s="1" t="n">
        <v>43874</v>
      </c>
      <c r="C1477" s="1" t="n">
        <v>45182</v>
      </c>
      <c r="D1477" t="inlineStr">
        <is>
          <t>SÖDERMANLANDS LÄN</t>
        </is>
      </c>
      <c r="E1477" t="inlineStr">
        <is>
          <t>NYKÖPING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8571-2020</t>
        </is>
      </c>
      <c r="B1478" s="1" t="n">
        <v>43875</v>
      </c>
      <c r="C1478" s="1" t="n">
        <v>45182</v>
      </c>
      <c r="D1478" t="inlineStr">
        <is>
          <t>SÖDERMANLANDS LÄN</t>
        </is>
      </c>
      <c r="E1478" t="inlineStr">
        <is>
          <t>KATRINEHOLM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8549-2020</t>
        </is>
      </c>
      <c r="B1479" s="1" t="n">
        <v>43877</v>
      </c>
      <c r="C1479" s="1" t="n">
        <v>45182</v>
      </c>
      <c r="D1479" t="inlineStr">
        <is>
          <t>SÖDERMANLANDS LÄN</t>
        </is>
      </c>
      <c r="E1479" t="inlineStr">
        <is>
          <t>KATRINEHOLM</t>
        </is>
      </c>
      <c r="F1479" t="inlineStr">
        <is>
          <t>Allmännings- och besparingsskogar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8833-2020</t>
        </is>
      </c>
      <c r="B1480" s="1" t="n">
        <v>43878</v>
      </c>
      <c r="C1480" s="1" t="n">
        <v>45182</v>
      </c>
      <c r="D1480" t="inlineStr">
        <is>
          <t>SÖDERMANLANDS LÄN</t>
        </is>
      </c>
      <c r="E1480" t="inlineStr">
        <is>
          <t>KATRINEHOLM</t>
        </is>
      </c>
      <c r="G1480" t="n">
        <v>2.9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9217-2020</t>
        </is>
      </c>
      <c r="B1481" s="1" t="n">
        <v>43879</v>
      </c>
      <c r="C1481" s="1" t="n">
        <v>45182</v>
      </c>
      <c r="D1481" t="inlineStr">
        <is>
          <t>SÖDERMANLANDS LÄN</t>
        </is>
      </c>
      <c r="E1481" t="inlineStr">
        <is>
          <t>NYKÖPING</t>
        </is>
      </c>
      <c r="F1481" t="inlineStr">
        <is>
          <t>Kommuner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9224-2020</t>
        </is>
      </c>
      <c r="B1482" s="1" t="n">
        <v>43879</v>
      </c>
      <c r="C1482" s="1" t="n">
        <v>45182</v>
      </c>
      <c r="D1482" t="inlineStr">
        <is>
          <t>SÖDERMANLANDS LÄN</t>
        </is>
      </c>
      <c r="E1482" t="inlineStr">
        <is>
          <t>GNESTA</t>
        </is>
      </c>
      <c r="F1482" t="inlineStr">
        <is>
          <t>Övriga Aktiebolag</t>
        </is>
      </c>
      <c r="G1482" t="n">
        <v>5.6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9252-2020</t>
        </is>
      </c>
      <c r="B1483" s="1" t="n">
        <v>43879</v>
      </c>
      <c r="C1483" s="1" t="n">
        <v>45182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9251-2020</t>
        </is>
      </c>
      <c r="B1484" s="1" t="n">
        <v>43879</v>
      </c>
      <c r="C1484" s="1" t="n">
        <v>45182</v>
      </c>
      <c r="D1484" t="inlineStr">
        <is>
          <t>SÖDERMANLANDS LÄN</t>
        </is>
      </c>
      <c r="E1484" t="inlineStr">
        <is>
          <t>NYKÖPING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9258-2020</t>
        </is>
      </c>
      <c r="B1485" s="1" t="n">
        <v>43879</v>
      </c>
      <c r="C1485" s="1" t="n">
        <v>45182</v>
      </c>
      <c r="D1485" t="inlineStr">
        <is>
          <t>SÖDERMANLANDS LÄN</t>
        </is>
      </c>
      <c r="E1485" t="inlineStr">
        <is>
          <t>KATRINEHOLM</t>
        </is>
      </c>
      <c r="G1485" t="n">
        <v>5.4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9247-2020</t>
        </is>
      </c>
      <c r="B1486" s="1" t="n">
        <v>43879</v>
      </c>
      <c r="C1486" s="1" t="n">
        <v>45182</v>
      </c>
      <c r="D1486" t="inlineStr">
        <is>
          <t>SÖDERMANLANDS LÄN</t>
        </is>
      </c>
      <c r="E1486" t="inlineStr">
        <is>
          <t>NYKÖPING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9253-2020</t>
        </is>
      </c>
      <c r="B1487" s="1" t="n">
        <v>43879</v>
      </c>
      <c r="C1487" s="1" t="n">
        <v>45182</v>
      </c>
      <c r="D1487" t="inlineStr">
        <is>
          <t>SÖDERMANLANDS LÄN</t>
        </is>
      </c>
      <c r="E1487" t="inlineStr">
        <is>
          <t>NYKÖPING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9450-2020</t>
        </is>
      </c>
      <c r="B1488" s="1" t="n">
        <v>43880</v>
      </c>
      <c r="C1488" s="1" t="n">
        <v>45182</v>
      </c>
      <c r="D1488" t="inlineStr">
        <is>
          <t>SÖDERMANLANDS LÄN</t>
        </is>
      </c>
      <c r="E1488" t="inlineStr">
        <is>
          <t>VINGÅKER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9418-2020</t>
        </is>
      </c>
      <c r="B1489" s="1" t="n">
        <v>43880</v>
      </c>
      <c r="C1489" s="1" t="n">
        <v>45182</v>
      </c>
      <c r="D1489" t="inlineStr">
        <is>
          <t>SÖDERMANLANDS LÄN</t>
        </is>
      </c>
      <c r="E1489" t="inlineStr">
        <is>
          <t>STRÄNGNÄS</t>
        </is>
      </c>
      <c r="G1489" t="n">
        <v>4.5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9807-2020</t>
        </is>
      </c>
      <c r="B1490" s="1" t="n">
        <v>43881</v>
      </c>
      <c r="C1490" s="1" t="n">
        <v>45182</v>
      </c>
      <c r="D1490" t="inlineStr">
        <is>
          <t>SÖDERMANLANDS LÄN</t>
        </is>
      </c>
      <c r="E1490" t="inlineStr">
        <is>
          <t>VINGÅKER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9909-2020</t>
        </is>
      </c>
      <c r="B1491" s="1" t="n">
        <v>43881</v>
      </c>
      <c r="C1491" s="1" t="n">
        <v>45182</v>
      </c>
      <c r="D1491" t="inlineStr">
        <is>
          <t>SÖDERMANLANDS LÄN</t>
        </is>
      </c>
      <c r="E1491" t="inlineStr">
        <is>
          <t>STRÄNGNÄS</t>
        </is>
      </c>
      <c r="G1491" t="n">
        <v>10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9535-2020</t>
        </is>
      </c>
      <c r="B1492" s="1" t="n">
        <v>43881</v>
      </c>
      <c r="C1492" s="1" t="n">
        <v>45182</v>
      </c>
      <c r="D1492" t="inlineStr">
        <is>
          <t>SÖDERMANLANDS LÄN</t>
        </is>
      </c>
      <c r="E1492" t="inlineStr">
        <is>
          <t>KATRINEHOLM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9740-2020</t>
        </is>
      </c>
      <c r="B1493" s="1" t="n">
        <v>43881</v>
      </c>
      <c r="C1493" s="1" t="n">
        <v>45182</v>
      </c>
      <c r="D1493" t="inlineStr">
        <is>
          <t>SÖDERMANLANDS LÄN</t>
        </is>
      </c>
      <c r="E1493" t="inlineStr">
        <is>
          <t>FLEN</t>
        </is>
      </c>
      <c r="F1493" t="inlineStr">
        <is>
          <t>Holmen skog AB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9978-2020</t>
        </is>
      </c>
      <c r="B1494" s="1" t="n">
        <v>43882</v>
      </c>
      <c r="C1494" s="1" t="n">
        <v>45182</v>
      </c>
      <c r="D1494" t="inlineStr">
        <is>
          <t>SÖDERMANLANDS LÄN</t>
        </is>
      </c>
      <c r="E1494" t="inlineStr">
        <is>
          <t>STRÄNGNÄS</t>
        </is>
      </c>
      <c r="F1494" t="inlineStr">
        <is>
          <t>Övriga Aktiebolag</t>
        </is>
      </c>
      <c r="G1494" t="n">
        <v>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9985-2020</t>
        </is>
      </c>
      <c r="B1495" s="1" t="n">
        <v>43882</v>
      </c>
      <c r="C1495" s="1" t="n">
        <v>45182</v>
      </c>
      <c r="D1495" t="inlineStr">
        <is>
          <t>SÖDERMANLANDS LÄN</t>
        </is>
      </c>
      <c r="E1495" t="inlineStr">
        <is>
          <t>STRÄNGNÄS</t>
        </is>
      </c>
      <c r="G1495" t="n">
        <v>3.6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10348-2020</t>
        </is>
      </c>
      <c r="B1496" s="1" t="n">
        <v>43885</v>
      </c>
      <c r="C1496" s="1" t="n">
        <v>45182</v>
      </c>
      <c r="D1496" t="inlineStr">
        <is>
          <t>SÖDERMANLANDS LÄN</t>
        </is>
      </c>
      <c r="E1496" t="inlineStr">
        <is>
          <t>STRÄNGNÄS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10401-2020</t>
        </is>
      </c>
      <c r="B1497" s="1" t="n">
        <v>43885</v>
      </c>
      <c r="C1497" s="1" t="n">
        <v>45182</v>
      </c>
      <c r="D1497" t="inlineStr">
        <is>
          <t>SÖDERMANLANDS LÄN</t>
        </is>
      </c>
      <c r="E1497" t="inlineStr">
        <is>
          <t>KATRINEHOLM</t>
        </is>
      </c>
      <c r="G1497" t="n">
        <v>5.9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11059-2020</t>
        </is>
      </c>
      <c r="B1498" s="1" t="n">
        <v>43885</v>
      </c>
      <c r="C1498" s="1" t="n">
        <v>45182</v>
      </c>
      <c r="D1498" t="inlineStr">
        <is>
          <t>SÖDERMANLANDS LÄN</t>
        </is>
      </c>
      <c r="E1498" t="inlineStr">
        <is>
          <t>FLEN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10374-2020</t>
        </is>
      </c>
      <c r="B1499" s="1" t="n">
        <v>43885</v>
      </c>
      <c r="C1499" s="1" t="n">
        <v>45182</v>
      </c>
      <c r="D1499" t="inlineStr">
        <is>
          <t>SÖDERMANLANDS LÄN</t>
        </is>
      </c>
      <c r="E1499" t="inlineStr">
        <is>
          <t>TROSA</t>
        </is>
      </c>
      <c r="G1499" t="n">
        <v>9.300000000000001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10193-2020</t>
        </is>
      </c>
      <c r="B1500" s="1" t="n">
        <v>43885</v>
      </c>
      <c r="C1500" s="1" t="n">
        <v>45182</v>
      </c>
      <c r="D1500" t="inlineStr">
        <is>
          <t>SÖDERMANLANDS LÄN</t>
        </is>
      </c>
      <c r="E1500" t="inlineStr">
        <is>
          <t>FLEN</t>
        </is>
      </c>
      <c r="G1500" t="n">
        <v>3.8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10087-2020</t>
        </is>
      </c>
      <c r="B1501" s="1" t="n">
        <v>43885</v>
      </c>
      <c r="C1501" s="1" t="n">
        <v>45182</v>
      </c>
      <c r="D1501" t="inlineStr">
        <is>
          <t>SÖDERMANLANDS LÄN</t>
        </is>
      </c>
      <c r="E1501" t="inlineStr">
        <is>
          <t>ESKILSTUNA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10473-2020</t>
        </is>
      </c>
      <c r="B1502" s="1" t="n">
        <v>43886</v>
      </c>
      <c r="C1502" s="1" t="n">
        <v>45182</v>
      </c>
      <c r="D1502" t="inlineStr">
        <is>
          <t>SÖDERMANLANDS LÄN</t>
        </is>
      </c>
      <c r="E1502" t="inlineStr">
        <is>
          <t>VINGÅKER</t>
        </is>
      </c>
      <c r="G1502" t="n">
        <v>2.9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10486-2020</t>
        </is>
      </c>
      <c r="B1503" s="1" t="n">
        <v>43886</v>
      </c>
      <c r="C1503" s="1" t="n">
        <v>45182</v>
      </c>
      <c r="D1503" t="inlineStr">
        <is>
          <t>SÖDERMANLANDS LÄN</t>
        </is>
      </c>
      <c r="E1503" t="inlineStr">
        <is>
          <t>KATRINEHOLM</t>
        </is>
      </c>
      <c r="G1503" t="n">
        <v>2.3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10527-2020</t>
        </is>
      </c>
      <c r="B1504" s="1" t="n">
        <v>43886</v>
      </c>
      <c r="C1504" s="1" t="n">
        <v>45182</v>
      </c>
      <c r="D1504" t="inlineStr">
        <is>
          <t>SÖDERMANLANDS LÄN</t>
        </is>
      </c>
      <c r="E1504" t="inlineStr">
        <is>
          <t>KATRINEHOLM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10549-2020</t>
        </is>
      </c>
      <c r="B1505" s="1" t="n">
        <v>43886</v>
      </c>
      <c r="C1505" s="1" t="n">
        <v>45182</v>
      </c>
      <c r="D1505" t="inlineStr">
        <is>
          <t>SÖDERMANLANDS LÄN</t>
        </is>
      </c>
      <c r="E1505" t="inlineStr">
        <is>
          <t>VINGÅKER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10913-2020</t>
        </is>
      </c>
      <c r="B1506" s="1" t="n">
        <v>43889</v>
      </c>
      <c r="C1506" s="1" t="n">
        <v>45182</v>
      </c>
      <c r="D1506" t="inlineStr">
        <is>
          <t>SÖDERMANLANDS LÄN</t>
        </is>
      </c>
      <c r="E1506" t="inlineStr">
        <is>
          <t>FLEN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10918-2020</t>
        </is>
      </c>
      <c r="B1507" s="1" t="n">
        <v>43889</v>
      </c>
      <c r="C1507" s="1" t="n">
        <v>45182</v>
      </c>
      <c r="D1507" t="inlineStr">
        <is>
          <t>SÖDERMANLANDS LÄN</t>
        </is>
      </c>
      <c r="E1507" t="inlineStr">
        <is>
          <t>FLEN</t>
        </is>
      </c>
      <c r="G1507" t="n">
        <v>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11314-2020</t>
        </is>
      </c>
      <c r="B1508" s="1" t="n">
        <v>43892</v>
      </c>
      <c r="C1508" s="1" t="n">
        <v>45182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11316-2020</t>
        </is>
      </c>
      <c r="B1509" s="1" t="n">
        <v>43892</v>
      </c>
      <c r="C1509" s="1" t="n">
        <v>45182</v>
      </c>
      <c r="D1509" t="inlineStr">
        <is>
          <t>SÖDERMANLANDS LÄN</t>
        </is>
      </c>
      <c r="E1509" t="inlineStr">
        <is>
          <t>NYKÖPING</t>
        </is>
      </c>
      <c r="F1509" t="inlineStr">
        <is>
          <t>Holmen skog AB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11189-2020</t>
        </is>
      </c>
      <c r="B1510" s="1" t="n">
        <v>43892</v>
      </c>
      <c r="C1510" s="1" t="n">
        <v>45182</v>
      </c>
      <c r="D1510" t="inlineStr">
        <is>
          <t>SÖDERMANLANDS LÄN</t>
        </is>
      </c>
      <c r="E1510" t="inlineStr">
        <is>
          <t>TROSA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11730-2020</t>
        </is>
      </c>
      <c r="B1511" s="1" t="n">
        <v>43893</v>
      </c>
      <c r="C1511" s="1" t="n">
        <v>45182</v>
      </c>
      <c r="D1511" t="inlineStr">
        <is>
          <t>SÖDERMANLANDS LÄN</t>
        </is>
      </c>
      <c r="E1511" t="inlineStr">
        <is>
          <t>VINGÅKER</t>
        </is>
      </c>
      <c r="G1511" t="n">
        <v>3.3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11517-2020</t>
        </is>
      </c>
      <c r="B1512" s="1" t="n">
        <v>43893</v>
      </c>
      <c r="C1512" s="1" t="n">
        <v>45182</v>
      </c>
      <c r="D1512" t="inlineStr">
        <is>
          <t>SÖDERMANLANDS LÄN</t>
        </is>
      </c>
      <c r="E1512" t="inlineStr">
        <is>
          <t>FLEN</t>
        </is>
      </c>
      <c r="G1512" t="n">
        <v>1.1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11811-2020</t>
        </is>
      </c>
      <c r="B1513" s="1" t="n">
        <v>43894</v>
      </c>
      <c r="C1513" s="1" t="n">
        <v>45182</v>
      </c>
      <c r="D1513" t="inlineStr">
        <is>
          <t>SÖDERMANLANDS LÄN</t>
        </is>
      </c>
      <c r="E1513" t="inlineStr">
        <is>
          <t>FLEN</t>
        </is>
      </c>
      <c r="G1513" t="n">
        <v>2.6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11896-2020</t>
        </is>
      </c>
      <c r="B1514" s="1" t="n">
        <v>43894</v>
      </c>
      <c r="C1514" s="1" t="n">
        <v>45182</v>
      </c>
      <c r="D1514" t="inlineStr">
        <is>
          <t>SÖDERMANLANDS LÄN</t>
        </is>
      </c>
      <c r="E1514" t="inlineStr">
        <is>
          <t>ESKILSTUNA</t>
        </is>
      </c>
      <c r="G1514" t="n">
        <v>3.1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12129-2020</t>
        </is>
      </c>
      <c r="B1515" s="1" t="n">
        <v>43895</v>
      </c>
      <c r="C1515" s="1" t="n">
        <v>45182</v>
      </c>
      <c r="D1515" t="inlineStr">
        <is>
          <t>SÖDERMANLANDS LÄN</t>
        </is>
      </c>
      <c r="E1515" t="inlineStr">
        <is>
          <t>STRÄNGNÄS</t>
        </is>
      </c>
      <c r="F1515" t="inlineStr">
        <is>
          <t>Sveaskog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12291-2020</t>
        </is>
      </c>
      <c r="B1516" s="1" t="n">
        <v>43895</v>
      </c>
      <c r="C1516" s="1" t="n">
        <v>45182</v>
      </c>
      <c r="D1516" t="inlineStr">
        <is>
          <t>SÖDERMANLANDS LÄN</t>
        </is>
      </c>
      <c r="E1516" t="inlineStr">
        <is>
          <t>VINGÅKER</t>
        </is>
      </c>
      <c r="G1516" t="n">
        <v>9.6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12123-2020</t>
        </is>
      </c>
      <c r="B1517" s="1" t="n">
        <v>43895</v>
      </c>
      <c r="C1517" s="1" t="n">
        <v>45182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12115-2020</t>
        </is>
      </c>
      <c r="B1518" s="1" t="n">
        <v>43895</v>
      </c>
      <c r="C1518" s="1" t="n">
        <v>45182</v>
      </c>
      <c r="D1518" t="inlineStr">
        <is>
          <t>SÖDERMANLANDS LÄN</t>
        </is>
      </c>
      <c r="E1518" t="inlineStr">
        <is>
          <t>STRÄNGNÄS</t>
        </is>
      </c>
      <c r="F1518" t="inlineStr">
        <is>
          <t>Sveaskog</t>
        </is>
      </c>
      <c r="G1518" t="n">
        <v>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12294-2020</t>
        </is>
      </c>
      <c r="B1519" s="1" t="n">
        <v>43895</v>
      </c>
      <c r="C1519" s="1" t="n">
        <v>45182</v>
      </c>
      <c r="D1519" t="inlineStr">
        <is>
          <t>SÖDERMANLANDS LÄN</t>
        </is>
      </c>
      <c r="E1519" t="inlineStr">
        <is>
          <t>VINGÅKER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12494-2020</t>
        </is>
      </c>
      <c r="B1520" s="1" t="n">
        <v>43896</v>
      </c>
      <c r="C1520" s="1" t="n">
        <v>45182</v>
      </c>
      <c r="D1520" t="inlineStr">
        <is>
          <t>SÖDERMANLANDS LÄN</t>
        </is>
      </c>
      <c r="E1520" t="inlineStr">
        <is>
          <t>STRÄNGNÄS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12510-2020</t>
        </is>
      </c>
      <c r="B1521" s="1" t="n">
        <v>43896</v>
      </c>
      <c r="C1521" s="1" t="n">
        <v>45182</v>
      </c>
      <c r="D1521" t="inlineStr">
        <is>
          <t>SÖDERMANLANDS LÄN</t>
        </is>
      </c>
      <c r="E1521" t="inlineStr">
        <is>
          <t>ESKILSTUNA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12369-2020</t>
        </is>
      </c>
      <c r="B1522" s="1" t="n">
        <v>43896</v>
      </c>
      <c r="C1522" s="1" t="n">
        <v>45182</v>
      </c>
      <c r="D1522" t="inlineStr">
        <is>
          <t>SÖDERMANLANDS LÄN</t>
        </is>
      </c>
      <c r="E1522" t="inlineStr">
        <is>
          <t>TROSA</t>
        </is>
      </c>
      <c r="G1522" t="n">
        <v>3.6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13834-2020</t>
        </is>
      </c>
      <c r="B1523" s="1" t="n">
        <v>43896</v>
      </c>
      <c r="C1523" s="1" t="n">
        <v>45182</v>
      </c>
      <c r="D1523" t="inlineStr">
        <is>
          <t>SÖDERMANLANDS LÄN</t>
        </is>
      </c>
      <c r="E1523" t="inlineStr">
        <is>
          <t>GNESTA</t>
        </is>
      </c>
      <c r="G1523" t="n">
        <v>6.4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12517-2020</t>
        </is>
      </c>
      <c r="B1524" s="1" t="n">
        <v>43896</v>
      </c>
      <c r="C1524" s="1" t="n">
        <v>45182</v>
      </c>
      <c r="D1524" t="inlineStr">
        <is>
          <t>SÖDERMANLANDS LÄN</t>
        </is>
      </c>
      <c r="E1524" t="inlineStr">
        <is>
          <t>GNESTA</t>
        </is>
      </c>
      <c r="F1524" t="inlineStr">
        <is>
          <t>Kommuner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13717-2020</t>
        </is>
      </c>
      <c r="B1525" s="1" t="n">
        <v>43896</v>
      </c>
      <c r="C1525" s="1" t="n">
        <v>45182</v>
      </c>
      <c r="D1525" t="inlineStr">
        <is>
          <t>SÖDERMANLANDS LÄN</t>
        </is>
      </c>
      <c r="E1525" t="inlineStr">
        <is>
          <t>GNESTA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13837-2020</t>
        </is>
      </c>
      <c r="B1526" s="1" t="n">
        <v>43896</v>
      </c>
      <c r="C1526" s="1" t="n">
        <v>45182</v>
      </c>
      <c r="D1526" t="inlineStr">
        <is>
          <t>SÖDERMANLANDS LÄN</t>
        </is>
      </c>
      <c r="E1526" t="inlineStr">
        <is>
          <t>GNESTA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12557-2020</t>
        </is>
      </c>
      <c r="B1527" s="1" t="n">
        <v>43898</v>
      </c>
      <c r="C1527" s="1" t="n">
        <v>45182</v>
      </c>
      <c r="D1527" t="inlineStr">
        <is>
          <t>SÖDERMANLANDS LÄN</t>
        </is>
      </c>
      <c r="E1527" t="inlineStr">
        <is>
          <t>KATRINEHOLM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14115-2020</t>
        </is>
      </c>
      <c r="B1528" s="1" t="n">
        <v>43899</v>
      </c>
      <c r="C1528" s="1" t="n">
        <v>45182</v>
      </c>
      <c r="D1528" t="inlineStr">
        <is>
          <t>SÖDERMANLANDS LÄN</t>
        </is>
      </c>
      <c r="E1528" t="inlineStr">
        <is>
          <t>VINGÅKER</t>
        </is>
      </c>
      <c r="F1528" t="inlineStr">
        <is>
          <t>Övriga Aktiebolag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12817-2020</t>
        </is>
      </c>
      <c r="B1529" s="1" t="n">
        <v>43899</v>
      </c>
      <c r="C1529" s="1" t="n">
        <v>45182</v>
      </c>
      <c r="D1529" t="inlineStr">
        <is>
          <t>SÖDERMANLANDS LÄN</t>
        </is>
      </c>
      <c r="E1529" t="inlineStr">
        <is>
          <t>GNESTA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12861-2020</t>
        </is>
      </c>
      <c r="B1530" s="1" t="n">
        <v>43899</v>
      </c>
      <c r="C1530" s="1" t="n">
        <v>45182</v>
      </c>
      <c r="D1530" t="inlineStr">
        <is>
          <t>SÖDERMANLANDS LÄN</t>
        </is>
      </c>
      <c r="E1530" t="inlineStr">
        <is>
          <t>GNESTA</t>
        </is>
      </c>
      <c r="G1530" t="n">
        <v>1.3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13053-2020</t>
        </is>
      </c>
      <c r="B1531" s="1" t="n">
        <v>43900</v>
      </c>
      <c r="C1531" s="1" t="n">
        <v>45182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13058-2020</t>
        </is>
      </c>
      <c r="B1532" s="1" t="n">
        <v>43900</v>
      </c>
      <c r="C1532" s="1" t="n">
        <v>45182</v>
      </c>
      <c r="D1532" t="inlineStr">
        <is>
          <t>SÖDERMANLANDS LÄN</t>
        </is>
      </c>
      <c r="E1532" t="inlineStr">
        <is>
          <t>NYKÖPING</t>
        </is>
      </c>
      <c r="F1532" t="inlineStr">
        <is>
          <t>Övriga Aktiebolag</t>
        </is>
      </c>
      <c r="G1532" t="n">
        <v>2.2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13118-2020</t>
        </is>
      </c>
      <c r="B1533" s="1" t="n">
        <v>43901</v>
      </c>
      <c r="C1533" s="1" t="n">
        <v>45182</v>
      </c>
      <c r="D1533" t="inlineStr">
        <is>
          <t>SÖDERMANLANDS LÄN</t>
        </is>
      </c>
      <c r="E1533" t="inlineStr">
        <is>
          <t>NYKÖPING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13255-2020</t>
        </is>
      </c>
      <c r="B1534" s="1" t="n">
        <v>43901</v>
      </c>
      <c r="C1534" s="1" t="n">
        <v>45182</v>
      </c>
      <c r="D1534" t="inlineStr">
        <is>
          <t>SÖDERMANLANDS LÄN</t>
        </is>
      </c>
      <c r="E1534" t="inlineStr">
        <is>
          <t>FLEN</t>
        </is>
      </c>
      <c r="G1534" t="n">
        <v>2.9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13261-2020</t>
        </is>
      </c>
      <c r="B1535" s="1" t="n">
        <v>43901</v>
      </c>
      <c r="C1535" s="1" t="n">
        <v>45182</v>
      </c>
      <c r="D1535" t="inlineStr">
        <is>
          <t>SÖDERMANLANDS LÄN</t>
        </is>
      </c>
      <c r="E1535" t="inlineStr">
        <is>
          <t>KATRINEHOLM</t>
        </is>
      </c>
      <c r="G1535" t="n">
        <v>0.7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13194-2020</t>
        </is>
      </c>
      <c r="B1536" s="1" t="n">
        <v>43901</v>
      </c>
      <c r="C1536" s="1" t="n">
        <v>45182</v>
      </c>
      <c r="D1536" t="inlineStr">
        <is>
          <t>SÖDERMANLANDS LÄN</t>
        </is>
      </c>
      <c r="E1536" t="inlineStr">
        <is>
          <t>FLEN</t>
        </is>
      </c>
      <c r="F1536" t="inlineStr">
        <is>
          <t>Holmen skog AB</t>
        </is>
      </c>
      <c r="G1536" t="n">
        <v>2.2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13279-2020</t>
        </is>
      </c>
      <c r="B1537" s="1" t="n">
        <v>43901</v>
      </c>
      <c r="C1537" s="1" t="n">
        <v>45182</v>
      </c>
      <c r="D1537" t="inlineStr">
        <is>
          <t>SÖDERMANLANDS LÄN</t>
        </is>
      </c>
      <c r="E1537" t="inlineStr">
        <is>
          <t>KATRINEHOLM</t>
        </is>
      </c>
      <c r="G1537" t="n">
        <v>1.8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13538-2020</t>
        </is>
      </c>
      <c r="B1538" s="1" t="n">
        <v>43902</v>
      </c>
      <c r="C1538" s="1" t="n">
        <v>45182</v>
      </c>
      <c r="D1538" t="inlineStr">
        <is>
          <t>SÖDERMANLANDS LÄN</t>
        </is>
      </c>
      <c r="E1538" t="inlineStr">
        <is>
          <t>ESKILSTUNA</t>
        </is>
      </c>
      <c r="F1538" t="inlineStr">
        <is>
          <t>Kyrkan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14363-2020</t>
        </is>
      </c>
      <c r="B1539" s="1" t="n">
        <v>43902</v>
      </c>
      <c r="C1539" s="1" t="n">
        <v>45182</v>
      </c>
      <c r="D1539" t="inlineStr">
        <is>
          <t>SÖDERMANLANDS LÄN</t>
        </is>
      </c>
      <c r="E1539" t="inlineStr">
        <is>
          <t>STRÄNGNÄS</t>
        </is>
      </c>
      <c r="G1539" t="n">
        <v>2.5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13344-2020</t>
        </is>
      </c>
      <c r="B1540" s="1" t="n">
        <v>43902</v>
      </c>
      <c r="C1540" s="1" t="n">
        <v>45182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13505-2020</t>
        </is>
      </c>
      <c r="B1541" s="1" t="n">
        <v>43902</v>
      </c>
      <c r="C1541" s="1" t="n">
        <v>45182</v>
      </c>
      <c r="D1541" t="inlineStr">
        <is>
          <t>SÖDERMANLANDS LÄN</t>
        </is>
      </c>
      <c r="E1541" t="inlineStr">
        <is>
          <t>KATRINEHOLM</t>
        </is>
      </c>
      <c r="G1541" t="n">
        <v>5.3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13698-2020</t>
        </is>
      </c>
      <c r="B1542" s="1" t="n">
        <v>43902</v>
      </c>
      <c r="C1542" s="1" t="n">
        <v>45182</v>
      </c>
      <c r="D1542" t="inlineStr">
        <is>
          <t>SÖDERMANLANDS LÄN</t>
        </is>
      </c>
      <c r="E1542" t="inlineStr">
        <is>
          <t>FLEN</t>
        </is>
      </c>
      <c r="F1542" t="inlineStr">
        <is>
          <t>Kyrkan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13473-2020</t>
        </is>
      </c>
      <c r="B1543" s="1" t="n">
        <v>43902</v>
      </c>
      <c r="C1543" s="1" t="n">
        <v>45182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13843-2020</t>
        </is>
      </c>
      <c r="B1544" s="1" t="n">
        <v>43903</v>
      </c>
      <c r="C1544" s="1" t="n">
        <v>45182</v>
      </c>
      <c r="D1544" t="inlineStr">
        <is>
          <t>SÖDERMANLANDS LÄN</t>
        </is>
      </c>
      <c r="E1544" t="inlineStr">
        <is>
          <t>ESKILSTUNA</t>
        </is>
      </c>
      <c r="G1544" t="n">
        <v>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13778-2020</t>
        </is>
      </c>
      <c r="B1545" s="1" t="n">
        <v>43903</v>
      </c>
      <c r="C1545" s="1" t="n">
        <v>45182</v>
      </c>
      <c r="D1545" t="inlineStr">
        <is>
          <t>SÖDERMANLANDS LÄN</t>
        </is>
      </c>
      <c r="E1545" t="inlineStr">
        <is>
          <t>NYKÖPING</t>
        </is>
      </c>
      <c r="G1545" t="n">
        <v>0.7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13874-2020</t>
        </is>
      </c>
      <c r="B1546" s="1" t="n">
        <v>43906</v>
      </c>
      <c r="C1546" s="1" t="n">
        <v>45182</v>
      </c>
      <c r="D1546" t="inlineStr">
        <is>
          <t>SÖDERMANLANDS LÄN</t>
        </is>
      </c>
      <c r="E1546" t="inlineStr">
        <is>
          <t>NYKÖPING</t>
        </is>
      </c>
      <c r="G1546" t="n">
        <v>2.1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13972-2020</t>
        </is>
      </c>
      <c r="B1547" s="1" t="n">
        <v>43906</v>
      </c>
      <c r="C1547" s="1" t="n">
        <v>45182</v>
      </c>
      <c r="D1547" t="inlineStr">
        <is>
          <t>SÖDERMANLANDS LÄN</t>
        </is>
      </c>
      <c r="E1547" t="inlineStr">
        <is>
          <t>KATRINEHOLM</t>
        </is>
      </c>
      <c r="G1547" t="n">
        <v>3.5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14229-2020</t>
        </is>
      </c>
      <c r="B1548" s="1" t="n">
        <v>43907</v>
      </c>
      <c r="C1548" s="1" t="n">
        <v>45182</v>
      </c>
      <c r="D1548" t="inlineStr">
        <is>
          <t>SÖDERMANLANDS LÄN</t>
        </is>
      </c>
      <c r="E1548" t="inlineStr">
        <is>
          <t>FLEN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14241-2020</t>
        </is>
      </c>
      <c r="B1549" s="1" t="n">
        <v>43907</v>
      </c>
      <c r="C1549" s="1" t="n">
        <v>45182</v>
      </c>
      <c r="D1549" t="inlineStr">
        <is>
          <t>SÖDERMANLANDS LÄN</t>
        </is>
      </c>
      <c r="E1549" t="inlineStr">
        <is>
          <t>NYKÖPING</t>
        </is>
      </c>
      <c r="G1549" t="n">
        <v>1.9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14200-2020</t>
        </is>
      </c>
      <c r="B1550" s="1" t="n">
        <v>43907</v>
      </c>
      <c r="C1550" s="1" t="n">
        <v>45182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14313-2020</t>
        </is>
      </c>
      <c r="B1551" s="1" t="n">
        <v>43907</v>
      </c>
      <c r="C1551" s="1" t="n">
        <v>45182</v>
      </c>
      <c r="D1551" t="inlineStr">
        <is>
          <t>SÖDERMANLANDS LÄN</t>
        </is>
      </c>
      <c r="E1551" t="inlineStr">
        <is>
          <t>NYKÖPING</t>
        </is>
      </c>
      <c r="F1551" t="inlineStr">
        <is>
          <t>Övriga Aktiebolag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14533-2020</t>
        </is>
      </c>
      <c r="B1552" s="1" t="n">
        <v>43908</v>
      </c>
      <c r="C1552" s="1" t="n">
        <v>45182</v>
      </c>
      <c r="D1552" t="inlineStr">
        <is>
          <t>SÖDERMANLANDS LÄN</t>
        </is>
      </c>
      <c r="E1552" t="inlineStr">
        <is>
          <t>NYKÖPING</t>
        </is>
      </c>
      <c r="G1552" t="n">
        <v>21.2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14389-2020</t>
        </is>
      </c>
      <c r="B1553" s="1" t="n">
        <v>43908</v>
      </c>
      <c r="C1553" s="1" t="n">
        <v>45182</v>
      </c>
      <c r="D1553" t="inlineStr">
        <is>
          <t>SÖDERMANLANDS LÄN</t>
        </is>
      </c>
      <c r="E1553" t="inlineStr">
        <is>
          <t>KATRINEHOLM</t>
        </is>
      </c>
      <c r="F1553" t="inlineStr">
        <is>
          <t>Övriga Aktiebolag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14394-2020</t>
        </is>
      </c>
      <c r="B1554" s="1" t="n">
        <v>43908</v>
      </c>
      <c r="C1554" s="1" t="n">
        <v>45182</v>
      </c>
      <c r="D1554" t="inlineStr">
        <is>
          <t>SÖDERMANLANDS LÄN</t>
        </is>
      </c>
      <c r="E1554" t="inlineStr">
        <is>
          <t>ESKILSTUNA</t>
        </is>
      </c>
      <c r="G1554" t="n">
        <v>3.7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14708-2020</t>
        </is>
      </c>
      <c r="B1555" s="1" t="n">
        <v>43909</v>
      </c>
      <c r="C1555" s="1" t="n">
        <v>45182</v>
      </c>
      <c r="D1555" t="inlineStr">
        <is>
          <t>SÖDERMANLANDS LÄN</t>
        </is>
      </c>
      <c r="E1555" t="inlineStr">
        <is>
          <t>NYKÖPING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16499-2020</t>
        </is>
      </c>
      <c r="B1556" s="1" t="n">
        <v>43910</v>
      </c>
      <c r="C1556" s="1" t="n">
        <v>45182</v>
      </c>
      <c r="D1556" t="inlineStr">
        <is>
          <t>SÖDERMANLANDS LÄN</t>
        </is>
      </c>
      <c r="E1556" t="inlineStr">
        <is>
          <t>GNESTA</t>
        </is>
      </c>
      <c r="G1556" t="n">
        <v>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15069-2020</t>
        </is>
      </c>
      <c r="B1557" s="1" t="n">
        <v>43910</v>
      </c>
      <c r="C1557" s="1" t="n">
        <v>45182</v>
      </c>
      <c r="D1557" t="inlineStr">
        <is>
          <t>SÖDERMANLANDS LÄN</t>
        </is>
      </c>
      <c r="E1557" t="inlineStr">
        <is>
          <t>KATRINEHOLM</t>
        </is>
      </c>
      <c r="G1557" t="n">
        <v>6.6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15132-2020</t>
        </is>
      </c>
      <c r="B1558" s="1" t="n">
        <v>43911</v>
      </c>
      <c r="C1558" s="1" t="n">
        <v>45182</v>
      </c>
      <c r="D1558" t="inlineStr">
        <is>
          <t>SÖDERMANLANDS LÄN</t>
        </is>
      </c>
      <c r="E1558" t="inlineStr">
        <is>
          <t>FLEN</t>
        </is>
      </c>
      <c r="G1558" t="n">
        <v>10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15394-2020</t>
        </is>
      </c>
      <c r="B1559" s="1" t="n">
        <v>43913</v>
      </c>
      <c r="C1559" s="1" t="n">
        <v>45182</v>
      </c>
      <c r="D1559" t="inlineStr">
        <is>
          <t>SÖDERMANLANDS LÄN</t>
        </is>
      </c>
      <c r="E1559" t="inlineStr">
        <is>
          <t>ESKILSTUNA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15613-2020</t>
        </is>
      </c>
      <c r="B1560" s="1" t="n">
        <v>43914</v>
      </c>
      <c r="C1560" s="1" t="n">
        <v>45182</v>
      </c>
      <c r="D1560" t="inlineStr">
        <is>
          <t>SÖDERMANLANDS LÄN</t>
        </is>
      </c>
      <c r="E1560" t="inlineStr">
        <is>
          <t>VINGÅKER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15470-2020</t>
        </is>
      </c>
      <c r="B1561" s="1" t="n">
        <v>43914</v>
      </c>
      <c r="C1561" s="1" t="n">
        <v>45182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Kommuner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15616-2020</t>
        </is>
      </c>
      <c r="B1562" s="1" t="n">
        <v>43914</v>
      </c>
      <c r="C1562" s="1" t="n">
        <v>45182</v>
      </c>
      <c r="D1562" t="inlineStr">
        <is>
          <t>SÖDERMANLANDS LÄN</t>
        </is>
      </c>
      <c r="E1562" t="inlineStr">
        <is>
          <t>VINGÅKER</t>
        </is>
      </c>
      <c r="G1562" t="n">
        <v>2.7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15471-2020</t>
        </is>
      </c>
      <c r="B1563" s="1" t="n">
        <v>43914</v>
      </c>
      <c r="C1563" s="1" t="n">
        <v>45182</v>
      </c>
      <c r="D1563" t="inlineStr">
        <is>
          <t>SÖDERMANLANDS LÄN</t>
        </is>
      </c>
      <c r="E1563" t="inlineStr">
        <is>
          <t>VINGÅKER</t>
        </is>
      </c>
      <c r="G1563" t="n">
        <v>5.5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15532-2020</t>
        </is>
      </c>
      <c r="B1564" s="1" t="n">
        <v>43914</v>
      </c>
      <c r="C1564" s="1" t="n">
        <v>45182</v>
      </c>
      <c r="D1564" t="inlineStr">
        <is>
          <t>SÖDERMANLANDS LÄN</t>
        </is>
      </c>
      <c r="E1564" t="inlineStr">
        <is>
          <t>STRÄNGNÄS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15469-2020</t>
        </is>
      </c>
      <c r="B1565" s="1" t="n">
        <v>43914</v>
      </c>
      <c r="C1565" s="1" t="n">
        <v>45182</v>
      </c>
      <c r="D1565" t="inlineStr">
        <is>
          <t>SÖDERMANLANDS LÄN</t>
        </is>
      </c>
      <c r="E1565" t="inlineStr">
        <is>
          <t>NYKÖPING</t>
        </is>
      </c>
      <c r="F1565" t="inlineStr">
        <is>
          <t>Holmen skog AB</t>
        </is>
      </c>
      <c r="G1565" t="n">
        <v>4.6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16227-2020</t>
        </is>
      </c>
      <c r="B1566" s="1" t="n">
        <v>43915</v>
      </c>
      <c r="C1566" s="1" t="n">
        <v>45182</v>
      </c>
      <c r="D1566" t="inlineStr">
        <is>
          <t>SÖDERMANLANDS LÄN</t>
        </is>
      </c>
      <c r="E1566" t="inlineStr">
        <is>
          <t>NYKÖPING</t>
        </is>
      </c>
      <c r="G1566" t="n">
        <v>8.699999999999999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17199-2020</t>
        </is>
      </c>
      <c r="B1567" s="1" t="n">
        <v>43915</v>
      </c>
      <c r="C1567" s="1" t="n">
        <v>45182</v>
      </c>
      <c r="D1567" t="inlineStr">
        <is>
          <t>SÖDERMANLANDS LÄN</t>
        </is>
      </c>
      <c r="E1567" t="inlineStr">
        <is>
          <t>VINGÅKER</t>
        </is>
      </c>
      <c r="G1567" t="n">
        <v>2.8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17164-2020</t>
        </is>
      </c>
      <c r="B1568" s="1" t="n">
        <v>43915</v>
      </c>
      <c r="C1568" s="1" t="n">
        <v>45182</v>
      </c>
      <c r="D1568" t="inlineStr">
        <is>
          <t>SÖDERMANLANDS LÄN</t>
        </is>
      </c>
      <c r="E1568" t="inlineStr">
        <is>
          <t>KATRINEHOLM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16206-2020</t>
        </is>
      </c>
      <c r="B1569" s="1" t="n">
        <v>43917</v>
      </c>
      <c r="C1569" s="1" t="n">
        <v>45182</v>
      </c>
      <c r="D1569" t="inlineStr">
        <is>
          <t>SÖDERMANLANDS LÄN</t>
        </is>
      </c>
      <c r="E1569" t="inlineStr">
        <is>
          <t>FLEN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16438-2020</t>
        </is>
      </c>
      <c r="B1570" s="1" t="n">
        <v>43919</v>
      </c>
      <c r="C1570" s="1" t="n">
        <v>45182</v>
      </c>
      <c r="D1570" t="inlineStr">
        <is>
          <t>SÖDERMANLANDS LÄN</t>
        </is>
      </c>
      <c r="E1570" t="inlineStr">
        <is>
          <t>GNESTA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16698-2020</t>
        </is>
      </c>
      <c r="B1571" s="1" t="n">
        <v>43920</v>
      </c>
      <c r="C1571" s="1" t="n">
        <v>45182</v>
      </c>
      <c r="D1571" t="inlineStr">
        <is>
          <t>SÖDERMANLANDS LÄN</t>
        </is>
      </c>
      <c r="E1571" t="inlineStr">
        <is>
          <t>STRÄNGNÄS</t>
        </is>
      </c>
      <c r="G1571" t="n">
        <v>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16679-2020</t>
        </is>
      </c>
      <c r="B1572" s="1" t="n">
        <v>43920</v>
      </c>
      <c r="C1572" s="1" t="n">
        <v>45182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16741-2020</t>
        </is>
      </c>
      <c r="B1573" s="1" t="n">
        <v>43920</v>
      </c>
      <c r="C1573" s="1" t="n">
        <v>45182</v>
      </c>
      <c r="D1573" t="inlineStr">
        <is>
          <t>SÖDERMANLANDS LÄN</t>
        </is>
      </c>
      <c r="E1573" t="inlineStr">
        <is>
          <t>NYKÖPING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16684-2020</t>
        </is>
      </c>
      <c r="B1574" s="1" t="n">
        <v>43920</v>
      </c>
      <c r="C1574" s="1" t="n">
        <v>45182</v>
      </c>
      <c r="D1574" t="inlineStr">
        <is>
          <t>SÖDERMANLANDS LÄN</t>
        </is>
      </c>
      <c r="E1574" t="inlineStr">
        <is>
          <t>FLEN</t>
        </is>
      </c>
      <c r="G1574" t="n">
        <v>1.8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16846-2020</t>
        </is>
      </c>
      <c r="B1575" s="1" t="n">
        <v>43921</v>
      </c>
      <c r="C1575" s="1" t="n">
        <v>45182</v>
      </c>
      <c r="D1575" t="inlineStr">
        <is>
          <t>SÖDERMANLANDS LÄN</t>
        </is>
      </c>
      <c r="E1575" t="inlineStr">
        <is>
          <t>ESKILSTUNA</t>
        </is>
      </c>
      <c r="G1575" t="n">
        <v>6.5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16835-2020</t>
        </is>
      </c>
      <c r="B1576" s="1" t="n">
        <v>43921</v>
      </c>
      <c r="C1576" s="1" t="n">
        <v>45182</v>
      </c>
      <c r="D1576" t="inlineStr">
        <is>
          <t>SÖDERMANLANDS LÄN</t>
        </is>
      </c>
      <c r="E1576" t="inlineStr">
        <is>
          <t>ESKILSTUNA</t>
        </is>
      </c>
      <c r="G1576" t="n">
        <v>4.5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17123-2020</t>
        </is>
      </c>
      <c r="B1577" s="1" t="n">
        <v>43922</v>
      </c>
      <c r="C1577" s="1" t="n">
        <v>45182</v>
      </c>
      <c r="D1577" t="inlineStr">
        <is>
          <t>SÖDERMANLANDS LÄN</t>
        </is>
      </c>
      <c r="E1577" t="inlineStr">
        <is>
          <t>STRÄNGNÄS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17154-2020</t>
        </is>
      </c>
      <c r="B1578" s="1" t="n">
        <v>43922</v>
      </c>
      <c r="C1578" s="1" t="n">
        <v>45182</v>
      </c>
      <c r="D1578" t="inlineStr">
        <is>
          <t>SÖDERMANLANDS LÄN</t>
        </is>
      </c>
      <c r="E1578" t="inlineStr">
        <is>
          <t>FLEN</t>
        </is>
      </c>
      <c r="G1578" t="n">
        <v>2.1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17758-2020</t>
        </is>
      </c>
      <c r="B1579" s="1" t="n">
        <v>43923</v>
      </c>
      <c r="C1579" s="1" t="n">
        <v>45182</v>
      </c>
      <c r="D1579" t="inlineStr">
        <is>
          <t>SÖDERMANLANDS LÄN</t>
        </is>
      </c>
      <c r="E1579" t="inlineStr">
        <is>
          <t>KATRINEHOLM</t>
        </is>
      </c>
      <c r="F1579" t="inlineStr">
        <is>
          <t>Kyrkan</t>
        </is>
      </c>
      <c r="G1579" t="n">
        <v>0.8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17391-2020</t>
        </is>
      </c>
      <c r="B1580" s="1" t="n">
        <v>43923</v>
      </c>
      <c r="C1580" s="1" t="n">
        <v>45182</v>
      </c>
      <c r="D1580" t="inlineStr">
        <is>
          <t>SÖDERMANLANDS LÄN</t>
        </is>
      </c>
      <c r="E1580" t="inlineStr">
        <is>
          <t>KATRINEHOLM</t>
        </is>
      </c>
      <c r="G1580" t="n">
        <v>3.8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17805-2020</t>
        </is>
      </c>
      <c r="B1581" s="1" t="n">
        <v>43924</v>
      </c>
      <c r="C1581" s="1" t="n">
        <v>45182</v>
      </c>
      <c r="D1581" t="inlineStr">
        <is>
          <t>SÖDERMANLANDS LÄN</t>
        </is>
      </c>
      <c r="E1581" t="inlineStr">
        <is>
          <t>NYKÖPING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18050-2020</t>
        </is>
      </c>
      <c r="B1582" s="1" t="n">
        <v>43924</v>
      </c>
      <c r="C1582" s="1" t="n">
        <v>45182</v>
      </c>
      <c r="D1582" t="inlineStr">
        <is>
          <t>SÖDERMANLANDS LÄN</t>
        </is>
      </c>
      <c r="E1582" t="inlineStr">
        <is>
          <t>KATRINEHOLM</t>
        </is>
      </c>
      <c r="F1582" t="inlineStr">
        <is>
          <t>Kyrkan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18162-2020</t>
        </is>
      </c>
      <c r="B1583" s="1" t="n">
        <v>43924</v>
      </c>
      <c r="C1583" s="1" t="n">
        <v>45182</v>
      </c>
      <c r="D1583" t="inlineStr">
        <is>
          <t>SÖDERMANLANDS LÄN</t>
        </is>
      </c>
      <c r="E1583" t="inlineStr">
        <is>
          <t>KATRINEHOLM</t>
        </is>
      </c>
      <c r="G1583" t="n">
        <v>1.1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18153-2020</t>
        </is>
      </c>
      <c r="B1584" s="1" t="n">
        <v>43927</v>
      </c>
      <c r="C1584" s="1" t="n">
        <v>45182</v>
      </c>
      <c r="D1584" t="inlineStr">
        <is>
          <t>SÖDERMANLANDS LÄN</t>
        </is>
      </c>
      <c r="E1584" t="inlineStr">
        <is>
          <t>KATRINEHOLM</t>
        </is>
      </c>
      <c r="G1584" t="n">
        <v>3.6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18352-2020</t>
        </is>
      </c>
      <c r="B1585" s="1" t="n">
        <v>43927</v>
      </c>
      <c r="C1585" s="1" t="n">
        <v>45182</v>
      </c>
      <c r="D1585" t="inlineStr">
        <is>
          <t>SÖDERMANLANDS LÄN</t>
        </is>
      </c>
      <c r="E1585" t="inlineStr">
        <is>
          <t>GNESTA</t>
        </is>
      </c>
      <c r="G1585" t="n">
        <v>4.9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18279-2020</t>
        </is>
      </c>
      <c r="B1586" s="1" t="n">
        <v>43928</v>
      </c>
      <c r="C1586" s="1" t="n">
        <v>45182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18275-2020</t>
        </is>
      </c>
      <c r="B1587" s="1" t="n">
        <v>43928</v>
      </c>
      <c r="C1587" s="1" t="n">
        <v>45182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3.6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18281-2020</t>
        </is>
      </c>
      <c r="B1588" s="1" t="n">
        <v>43928</v>
      </c>
      <c r="C1588" s="1" t="n">
        <v>45182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18277-2020</t>
        </is>
      </c>
      <c r="B1589" s="1" t="n">
        <v>43928</v>
      </c>
      <c r="C1589" s="1" t="n">
        <v>45182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Kommuner</t>
        </is>
      </c>
      <c r="G1589" t="n">
        <v>2.7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18813-2020</t>
        </is>
      </c>
      <c r="B1590" s="1" t="n">
        <v>43934</v>
      </c>
      <c r="C1590" s="1" t="n">
        <v>45182</v>
      </c>
      <c r="D1590" t="inlineStr">
        <is>
          <t>SÖDERMANLANDS LÄN</t>
        </is>
      </c>
      <c r="E1590" t="inlineStr">
        <is>
          <t>STRÄNGNÄS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19197-2020</t>
        </is>
      </c>
      <c r="B1591" s="1" t="n">
        <v>43935</v>
      </c>
      <c r="C1591" s="1" t="n">
        <v>45182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4.4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19227-2020</t>
        </is>
      </c>
      <c r="B1592" s="1" t="n">
        <v>43937</v>
      </c>
      <c r="C1592" s="1" t="n">
        <v>45182</v>
      </c>
      <c r="D1592" t="inlineStr">
        <is>
          <t>SÖDERMANLANDS LÄN</t>
        </is>
      </c>
      <c r="E1592" t="inlineStr">
        <is>
          <t>ESKILSTUNA</t>
        </is>
      </c>
      <c r="G1592" t="n">
        <v>2.3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19274-2020</t>
        </is>
      </c>
      <c r="B1593" s="1" t="n">
        <v>43937</v>
      </c>
      <c r="C1593" s="1" t="n">
        <v>45182</v>
      </c>
      <c r="D1593" t="inlineStr">
        <is>
          <t>SÖDERMANLANDS LÄN</t>
        </is>
      </c>
      <c r="E1593" t="inlineStr">
        <is>
          <t>STRÄNGNÄS</t>
        </is>
      </c>
      <c r="G1593" t="n">
        <v>3.9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19418-2020</t>
        </is>
      </c>
      <c r="B1594" s="1" t="n">
        <v>43938</v>
      </c>
      <c r="C1594" s="1" t="n">
        <v>45182</v>
      </c>
      <c r="D1594" t="inlineStr">
        <is>
          <t>SÖDERMANLANDS LÄN</t>
        </is>
      </c>
      <c r="E1594" t="inlineStr">
        <is>
          <t>ESKILSTUNA</t>
        </is>
      </c>
      <c r="G1594" t="n">
        <v>1.8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19475-2020</t>
        </is>
      </c>
      <c r="B1595" s="1" t="n">
        <v>43938</v>
      </c>
      <c r="C1595" s="1" t="n">
        <v>45182</v>
      </c>
      <c r="D1595" t="inlineStr">
        <is>
          <t>SÖDERMANLANDS LÄN</t>
        </is>
      </c>
      <c r="E1595" t="inlineStr">
        <is>
          <t>ESKILSTUNA</t>
        </is>
      </c>
      <c r="G1595" t="n">
        <v>8.5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19490-2020</t>
        </is>
      </c>
      <c r="B1596" s="1" t="n">
        <v>43938</v>
      </c>
      <c r="C1596" s="1" t="n">
        <v>45182</v>
      </c>
      <c r="D1596" t="inlineStr">
        <is>
          <t>SÖDERMANLANDS LÄN</t>
        </is>
      </c>
      <c r="E1596" t="inlineStr">
        <is>
          <t>ESKILSTUNA</t>
        </is>
      </c>
      <c r="G1596" t="n">
        <v>8.6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19562-2020</t>
        </is>
      </c>
      <c r="B1597" s="1" t="n">
        <v>43941</v>
      </c>
      <c r="C1597" s="1" t="n">
        <v>45182</v>
      </c>
      <c r="D1597" t="inlineStr">
        <is>
          <t>SÖDERMANLANDS LÄN</t>
        </is>
      </c>
      <c r="E1597" t="inlineStr">
        <is>
          <t>ESKILSTUNA</t>
        </is>
      </c>
      <c r="G1597" t="n">
        <v>7.8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19862-2020</t>
        </is>
      </c>
      <c r="B1598" s="1" t="n">
        <v>43942</v>
      </c>
      <c r="C1598" s="1" t="n">
        <v>45182</v>
      </c>
      <c r="D1598" t="inlineStr">
        <is>
          <t>SÖDERMANLANDS LÄN</t>
        </is>
      </c>
      <c r="E1598" t="inlineStr">
        <is>
          <t>NYKÖPING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20015-2020</t>
        </is>
      </c>
      <c r="B1599" s="1" t="n">
        <v>43942</v>
      </c>
      <c r="C1599" s="1" t="n">
        <v>45182</v>
      </c>
      <c r="D1599" t="inlineStr">
        <is>
          <t>SÖDERMANLANDS LÄN</t>
        </is>
      </c>
      <c r="E1599" t="inlineStr">
        <is>
          <t>NYKÖPING</t>
        </is>
      </c>
      <c r="G1599" t="n">
        <v>13.8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20004-2020</t>
        </is>
      </c>
      <c r="B1600" s="1" t="n">
        <v>43943</v>
      </c>
      <c r="C1600" s="1" t="n">
        <v>45182</v>
      </c>
      <c r="D1600" t="inlineStr">
        <is>
          <t>SÖDERMANLANDS LÄN</t>
        </is>
      </c>
      <c r="E1600" t="inlineStr">
        <is>
          <t>NYKÖPING</t>
        </is>
      </c>
      <c r="G1600" t="n">
        <v>9.199999999999999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20044-2020</t>
        </is>
      </c>
      <c r="B1601" s="1" t="n">
        <v>43943</v>
      </c>
      <c r="C1601" s="1" t="n">
        <v>45182</v>
      </c>
      <c r="D1601" t="inlineStr">
        <is>
          <t>SÖDERMANLANDS LÄN</t>
        </is>
      </c>
      <c r="E1601" t="inlineStr">
        <is>
          <t>STRÄNGNÄS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20016-2020</t>
        </is>
      </c>
      <c r="B1602" s="1" t="n">
        <v>43943</v>
      </c>
      <c r="C1602" s="1" t="n">
        <v>45182</v>
      </c>
      <c r="D1602" t="inlineStr">
        <is>
          <t>SÖDERMANLANDS LÄN</t>
        </is>
      </c>
      <c r="E1602" t="inlineStr">
        <is>
          <t>KATRINEHOLM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20114-2020</t>
        </is>
      </c>
      <c r="B1603" s="1" t="n">
        <v>43943</v>
      </c>
      <c r="C1603" s="1" t="n">
        <v>45182</v>
      </c>
      <c r="D1603" t="inlineStr">
        <is>
          <t>SÖDERMANLANDS LÄN</t>
        </is>
      </c>
      <c r="E1603" t="inlineStr">
        <is>
          <t>NYKÖPING</t>
        </is>
      </c>
      <c r="F1603" t="inlineStr">
        <is>
          <t>Allmännings- och besparingsskogar</t>
        </is>
      </c>
      <c r="G1603" t="n">
        <v>4.6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20012-2020</t>
        </is>
      </c>
      <c r="B1604" s="1" t="n">
        <v>43943</v>
      </c>
      <c r="C1604" s="1" t="n">
        <v>45182</v>
      </c>
      <c r="D1604" t="inlineStr">
        <is>
          <t>SÖDERMANLANDS LÄN</t>
        </is>
      </c>
      <c r="E1604" t="inlineStr">
        <is>
          <t>KATRINEHOLM</t>
        </is>
      </c>
      <c r="G1604" t="n">
        <v>4.8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20002-2020</t>
        </is>
      </c>
      <c r="B1605" s="1" t="n">
        <v>43943</v>
      </c>
      <c r="C1605" s="1" t="n">
        <v>45182</v>
      </c>
      <c r="D1605" t="inlineStr">
        <is>
          <t>SÖDERMANLANDS LÄN</t>
        </is>
      </c>
      <c r="E1605" t="inlineStr">
        <is>
          <t>FLEN</t>
        </is>
      </c>
      <c r="G1605" t="n">
        <v>8.5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20125-2020</t>
        </is>
      </c>
      <c r="B1606" s="1" t="n">
        <v>43943</v>
      </c>
      <c r="C1606" s="1" t="n">
        <v>45182</v>
      </c>
      <c r="D1606" t="inlineStr">
        <is>
          <t>SÖDERMANLANDS LÄN</t>
        </is>
      </c>
      <c r="E1606" t="inlineStr">
        <is>
          <t>NYKÖPING</t>
        </is>
      </c>
      <c r="F1606" t="inlineStr">
        <is>
          <t>Allmännings- och besparingsskogar</t>
        </is>
      </c>
      <c r="G1606" t="n">
        <v>1.8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20387-2020</t>
        </is>
      </c>
      <c r="B1607" s="1" t="n">
        <v>43944</v>
      </c>
      <c r="C1607" s="1" t="n">
        <v>45182</v>
      </c>
      <c r="D1607" t="inlineStr">
        <is>
          <t>SÖDERMANLANDS LÄN</t>
        </is>
      </c>
      <c r="E1607" t="inlineStr">
        <is>
          <t>NYKÖPING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20384-2020</t>
        </is>
      </c>
      <c r="B1608" s="1" t="n">
        <v>43944</v>
      </c>
      <c r="C1608" s="1" t="n">
        <v>45182</v>
      </c>
      <c r="D1608" t="inlineStr">
        <is>
          <t>SÖDERMANLANDS LÄN</t>
        </is>
      </c>
      <c r="E1608" t="inlineStr">
        <is>
          <t>NYKÖPING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20145-2020</t>
        </is>
      </c>
      <c r="B1609" s="1" t="n">
        <v>43944</v>
      </c>
      <c r="C1609" s="1" t="n">
        <v>45182</v>
      </c>
      <c r="D1609" t="inlineStr">
        <is>
          <t>SÖDERMANLANDS LÄN</t>
        </is>
      </c>
      <c r="E1609" t="inlineStr">
        <is>
          <t>NYKÖPING</t>
        </is>
      </c>
      <c r="G1609" t="n">
        <v>4.9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20226-2020</t>
        </is>
      </c>
      <c r="B1610" s="1" t="n">
        <v>43944</v>
      </c>
      <c r="C1610" s="1" t="n">
        <v>45182</v>
      </c>
      <c r="D1610" t="inlineStr">
        <is>
          <t>SÖDERMANLANDS LÄN</t>
        </is>
      </c>
      <c r="E1610" t="inlineStr">
        <is>
          <t>NYKÖPING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20396-2020</t>
        </is>
      </c>
      <c r="B1611" s="1" t="n">
        <v>43944</v>
      </c>
      <c r="C1611" s="1" t="n">
        <v>45182</v>
      </c>
      <c r="D1611" t="inlineStr">
        <is>
          <t>SÖDERMANLANDS LÄN</t>
        </is>
      </c>
      <c r="E1611" t="inlineStr">
        <is>
          <t>NYKÖPING</t>
        </is>
      </c>
      <c r="G1611" t="n">
        <v>7.2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20400-2020</t>
        </is>
      </c>
      <c r="B1612" s="1" t="n">
        <v>43945</v>
      </c>
      <c r="C1612" s="1" t="n">
        <v>45182</v>
      </c>
      <c r="D1612" t="inlineStr">
        <is>
          <t>SÖDERMANLANDS LÄN</t>
        </is>
      </c>
      <c r="E1612" t="inlineStr">
        <is>
          <t>GNESTA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20527-2020</t>
        </is>
      </c>
      <c r="B1613" s="1" t="n">
        <v>43948</v>
      </c>
      <c r="C1613" s="1" t="n">
        <v>45182</v>
      </c>
      <c r="D1613" t="inlineStr">
        <is>
          <t>SÖDERMANLANDS LÄN</t>
        </is>
      </c>
      <c r="E1613" t="inlineStr">
        <is>
          <t>FLEN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20668-2020</t>
        </is>
      </c>
      <c r="B1614" s="1" t="n">
        <v>43948</v>
      </c>
      <c r="C1614" s="1" t="n">
        <v>45182</v>
      </c>
      <c r="D1614" t="inlineStr">
        <is>
          <t>SÖDERMANLANDS LÄN</t>
        </is>
      </c>
      <c r="E1614" t="inlineStr">
        <is>
          <t>VINGÅKER</t>
        </is>
      </c>
      <c r="F1614" t="inlineStr">
        <is>
          <t>Övriga Aktiebolag</t>
        </is>
      </c>
      <c r="G1614" t="n">
        <v>4.5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20644-2020</t>
        </is>
      </c>
      <c r="B1615" s="1" t="n">
        <v>43949</v>
      </c>
      <c r="C1615" s="1" t="n">
        <v>45182</v>
      </c>
      <c r="D1615" t="inlineStr">
        <is>
          <t>SÖDERMANLANDS LÄN</t>
        </is>
      </c>
      <c r="E1615" t="inlineStr">
        <is>
          <t>STRÄNGNÄS</t>
        </is>
      </c>
      <c r="G1615" t="n">
        <v>3.1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20699-2020</t>
        </is>
      </c>
      <c r="B1616" s="1" t="n">
        <v>43949</v>
      </c>
      <c r="C1616" s="1" t="n">
        <v>45182</v>
      </c>
      <c r="D1616" t="inlineStr">
        <is>
          <t>SÖDERMANLANDS LÄN</t>
        </is>
      </c>
      <c r="E1616" t="inlineStr">
        <is>
          <t>NYKÖPING</t>
        </is>
      </c>
      <c r="F1616" t="inlineStr">
        <is>
          <t>Holmen skog AB</t>
        </is>
      </c>
      <c r="G1616" t="n">
        <v>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21004-2020</t>
        </is>
      </c>
      <c r="B1617" s="1" t="n">
        <v>43950</v>
      </c>
      <c r="C1617" s="1" t="n">
        <v>45182</v>
      </c>
      <c r="D1617" t="inlineStr">
        <is>
          <t>SÖDERMANLANDS LÄN</t>
        </is>
      </c>
      <c r="E1617" t="inlineStr">
        <is>
          <t>NYKÖPING</t>
        </is>
      </c>
      <c r="G1617" t="n">
        <v>5.4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21404-2020</t>
        </is>
      </c>
      <c r="B1618" s="1" t="n">
        <v>43955</v>
      </c>
      <c r="C1618" s="1" t="n">
        <v>45182</v>
      </c>
      <c r="D1618" t="inlineStr">
        <is>
          <t>SÖDERMANLANDS LÄN</t>
        </is>
      </c>
      <c r="E1618" t="inlineStr">
        <is>
          <t>FLEN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21395-2020</t>
        </is>
      </c>
      <c r="B1619" s="1" t="n">
        <v>43955</v>
      </c>
      <c r="C1619" s="1" t="n">
        <v>45182</v>
      </c>
      <c r="D1619" t="inlineStr">
        <is>
          <t>SÖDERMANLANDS LÄN</t>
        </is>
      </c>
      <c r="E1619" t="inlineStr">
        <is>
          <t>TROSA</t>
        </is>
      </c>
      <c r="G1619" t="n">
        <v>6.8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21400-2020</t>
        </is>
      </c>
      <c r="B1620" s="1" t="n">
        <v>43955</v>
      </c>
      <c r="C1620" s="1" t="n">
        <v>45182</v>
      </c>
      <c r="D1620" t="inlineStr">
        <is>
          <t>SÖDERMANLANDS LÄN</t>
        </is>
      </c>
      <c r="E1620" t="inlineStr">
        <is>
          <t>TROSA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21401-2020</t>
        </is>
      </c>
      <c r="B1621" s="1" t="n">
        <v>43955</v>
      </c>
      <c r="C1621" s="1" t="n">
        <v>45182</v>
      </c>
      <c r="D1621" t="inlineStr">
        <is>
          <t>SÖDERMANLANDS LÄN</t>
        </is>
      </c>
      <c r="E1621" t="inlineStr">
        <is>
          <t>FLEN</t>
        </is>
      </c>
      <c r="G1621" t="n">
        <v>0.5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22206-2020</t>
        </is>
      </c>
      <c r="B1622" s="1" t="n">
        <v>43955</v>
      </c>
      <c r="C1622" s="1" t="n">
        <v>45182</v>
      </c>
      <c r="D1622" t="inlineStr">
        <is>
          <t>SÖDERMANLANDS LÄN</t>
        </is>
      </c>
      <c r="E1622" t="inlineStr">
        <is>
          <t>VINGÅKER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21675-2020</t>
        </is>
      </c>
      <c r="B1623" s="1" t="n">
        <v>43957</v>
      </c>
      <c r="C1623" s="1" t="n">
        <v>45182</v>
      </c>
      <c r="D1623" t="inlineStr">
        <is>
          <t>SÖDERMANLANDS LÄN</t>
        </is>
      </c>
      <c r="E1623" t="inlineStr">
        <is>
          <t>VINGÅKER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21683-2020</t>
        </is>
      </c>
      <c r="B1624" s="1" t="n">
        <v>43957</v>
      </c>
      <c r="C1624" s="1" t="n">
        <v>45182</v>
      </c>
      <c r="D1624" t="inlineStr">
        <is>
          <t>SÖDERMANLANDS LÄN</t>
        </is>
      </c>
      <c r="E1624" t="inlineStr">
        <is>
          <t>VINGÅKER</t>
        </is>
      </c>
      <c r="G1624" t="n">
        <v>1.9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21733-2020</t>
        </is>
      </c>
      <c r="B1625" s="1" t="n">
        <v>43957</v>
      </c>
      <c r="C1625" s="1" t="n">
        <v>45182</v>
      </c>
      <c r="D1625" t="inlineStr">
        <is>
          <t>SÖDERMANLANDS LÄN</t>
        </is>
      </c>
      <c r="E1625" t="inlineStr">
        <is>
          <t>VINGÅKER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21755-2020</t>
        </is>
      </c>
      <c r="B1626" s="1" t="n">
        <v>43957</v>
      </c>
      <c r="C1626" s="1" t="n">
        <v>45182</v>
      </c>
      <c r="D1626" t="inlineStr">
        <is>
          <t>SÖDERMANLANDS LÄN</t>
        </is>
      </c>
      <c r="E1626" t="inlineStr">
        <is>
          <t>KATRINEHOLM</t>
        </is>
      </c>
      <c r="G1626" t="n">
        <v>10.4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22347-2020</t>
        </is>
      </c>
      <c r="B1627" s="1" t="n">
        <v>43957</v>
      </c>
      <c r="C1627" s="1" t="n">
        <v>45182</v>
      </c>
      <c r="D1627" t="inlineStr">
        <is>
          <t>SÖDERMANLANDS LÄN</t>
        </is>
      </c>
      <c r="E1627" t="inlineStr">
        <is>
          <t>FLEN</t>
        </is>
      </c>
      <c r="G1627" t="n">
        <v>3.1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21818-2020</t>
        </is>
      </c>
      <c r="B1628" s="1" t="n">
        <v>43958</v>
      </c>
      <c r="C1628" s="1" t="n">
        <v>45182</v>
      </c>
      <c r="D1628" t="inlineStr">
        <is>
          <t>SÖDERMANLANDS LÄN</t>
        </is>
      </c>
      <c r="E1628" t="inlineStr">
        <is>
          <t>KATRINEHOLM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22087-2020</t>
        </is>
      </c>
      <c r="B1629" s="1" t="n">
        <v>43959</v>
      </c>
      <c r="C1629" s="1" t="n">
        <v>45182</v>
      </c>
      <c r="D1629" t="inlineStr">
        <is>
          <t>SÖDERMANLANDS LÄN</t>
        </is>
      </c>
      <c r="E1629" t="inlineStr">
        <is>
          <t>STRÄNGNÄS</t>
        </is>
      </c>
      <c r="F1629" t="inlineStr">
        <is>
          <t>Övriga Aktiebolag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22243-2020</t>
        </is>
      </c>
      <c r="B1630" s="1" t="n">
        <v>43959</v>
      </c>
      <c r="C1630" s="1" t="n">
        <v>45182</v>
      </c>
      <c r="D1630" t="inlineStr">
        <is>
          <t>SÖDERMANLANDS LÄN</t>
        </is>
      </c>
      <c r="E1630" t="inlineStr">
        <is>
          <t>FLEN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22237-2020</t>
        </is>
      </c>
      <c r="B1631" s="1" t="n">
        <v>43959</v>
      </c>
      <c r="C1631" s="1" t="n">
        <v>45182</v>
      </c>
      <c r="D1631" t="inlineStr">
        <is>
          <t>SÖDERMANLANDS LÄN</t>
        </is>
      </c>
      <c r="E1631" t="inlineStr">
        <is>
          <t>FLEN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22241-2020</t>
        </is>
      </c>
      <c r="B1632" s="1" t="n">
        <v>43959</v>
      </c>
      <c r="C1632" s="1" t="n">
        <v>45182</v>
      </c>
      <c r="D1632" t="inlineStr">
        <is>
          <t>SÖDERMANLANDS LÄN</t>
        </is>
      </c>
      <c r="E1632" t="inlineStr">
        <is>
          <t>FLEN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22183-2020</t>
        </is>
      </c>
      <c r="B1633" s="1" t="n">
        <v>43962</v>
      </c>
      <c r="C1633" s="1" t="n">
        <v>45182</v>
      </c>
      <c r="D1633" t="inlineStr">
        <is>
          <t>SÖDERMANLANDS LÄN</t>
        </is>
      </c>
      <c r="E1633" t="inlineStr">
        <is>
          <t>VINGÅKER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22398-2020</t>
        </is>
      </c>
      <c r="B1634" s="1" t="n">
        <v>43962</v>
      </c>
      <c r="C1634" s="1" t="n">
        <v>45182</v>
      </c>
      <c r="D1634" t="inlineStr">
        <is>
          <t>SÖDERMANLANDS LÄN</t>
        </is>
      </c>
      <c r="E1634" t="inlineStr">
        <is>
          <t>ESKILSTUNA</t>
        </is>
      </c>
      <c r="F1634" t="inlineStr">
        <is>
          <t>Kommuner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22932-2020</t>
        </is>
      </c>
      <c r="B1635" s="1" t="n">
        <v>43963</v>
      </c>
      <c r="C1635" s="1" t="n">
        <v>45182</v>
      </c>
      <c r="D1635" t="inlineStr">
        <is>
          <t>SÖDERMANLANDS LÄN</t>
        </is>
      </c>
      <c r="E1635" t="inlineStr">
        <is>
          <t>TROSA</t>
        </is>
      </c>
      <c r="G1635" t="n">
        <v>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23451-2020</t>
        </is>
      </c>
      <c r="B1636" s="1" t="n">
        <v>43966</v>
      </c>
      <c r="C1636" s="1" t="n">
        <v>45182</v>
      </c>
      <c r="D1636" t="inlineStr">
        <is>
          <t>SÖDERMANLANDS LÄN</t>
        </is>
      </c>
      <c r="E1636" t="inlineStr">
        <is>
          <t>ESKILSTUNA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23468-2020</t>
        </is>
      </c>
      <c r="B1637" s="1" t="n">
        <v>43966</v>
      </c>
      <c r="C1637" s="1" t="n">
        <v>45182</v>
      </c>
      <c r="D1637" t="inlineStr">
        <is>
          <t>SÖDERMANLANDS LÄN</t>
        </is>
      </c>
      <c r="E1637" t="inlineStr">
        <is>
          <t>ESKILSTUNA</t>
        </is>
      </c>
      <c r="G1637" t="n">
        <v>6.2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23450-2020</t>
        </is>
      </c>
      <c r="B1638" s="1" t="n">
        <v>43966</v>
      </c>
      <c r="C1638" s="1" t="n">
        <v>45182</v>
      </c>
      <c r="D1638" t="inlineStr">
        <is>
          <t>SÖDERMANLANDS LÄN</t>
        </is>
      </c>
      <c r="E1638" t="inlineStr">
        <is>
          <t>ESKILSTUNA</t>
        </is>
      </c>
      <c r="G1638" t="n">
        <v>5.6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23578-2020</t>
        </is>
      </c>
      <c r="B1639" s="1" t="n">
        <v>43969</v>
      </c>
      <c r="C1639" s="1" t="n">
        <v>45182</v>
      </c>
      <c r="D1639" t="inlineStr">
        <is>
          <t>SÖDERMANLANDS LÄN</t>
        </is>
      </c>
      <c r="E1639" t="inlineStr">
        <is>
          <t>NYKÖPING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23709-2020</t>
        </is>
      </c>
      <c r="B1640" s="1" t="n">
        <v>43969</v>
      </c>
      <c r="C1640" s="1" t="n">
        <v>45182</v>
      </c>
      <c r="D1640" t="inlineStr">
        <is>
          <t>SÖDERMANLANDS LÄN</t>
        </is>
      </c>
      <c r="E1640" t="inlineStr">
        <is>
          <t>NYKÖPING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23607-2020</t>
        </is>
      </c>
      <c r="B1641" s="1" t="n">
        <v>43969</v>
      </c>
      <c r="C1641" s="1" t="n">
        <v>45182</v>
      </c>
      <c r="D1641" t="inlineStr">
        <is>
          <t>SÖDERMANLANDS LÄN</t>
        </is>
      </c>
      <c r="E1641" t="inlineStr">
        <is>
          <t>NYKÖPING</t>
        </is>
      </c>
      <c r="G1641" t="n">
        <v>10.5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24116-2020</t>
        </is>
      </c>
      <c r="B1642" s="1" t="n">
        <v>43973</v>
      </c>
      <c r="C1642" s="1" t="n">
        <v>45182</v>
      </c>
      <c r="D1642" t="inlineStr">
        <is>
          <t>SÖDERMANLANDS LÄN</t>
        </is>
      </c>
      <c r="E1642" t="inlineStr">
        <is>
          <t>GNESTA</t>
        </is>
      </c>
      <c r="G1642" t="n">
        <v>7.8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24226-2020</t>
        </is>
      </c>
      <c r="B1643" s="1" t="n">
        <v>43973</v>
      </c>
      <c r="C1643" s="1" t="n">
        <v>45182</v>
      </c>
      <c r="D1643" t="inlineStr">
        <is>
          <t>SÖDERMANLANDS LÄN</t>
        </is>
      </c>
      <c r="E1643" t="inlineStr">
        <is>
          <t>NYKÖPING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24604-2020</t>
        </is>
      </c>
      <c r="B1644" s="1" t="n">
        <v>43977</v>
      </c>
      <c r="C1644" s="1" t="n">
        <v>45182</v>
      </c>
      <c r="D1644" t="inlineStr">
        <is>
          <t>SÖDERMANLANDS LÄN</t>
        </is>
      </c>
      <c r="E1644" t="inlineStr">
        <is>
          <t>GNESTA</t>
        </is>
      </c>
      <c r="G1644" t="n">
        <v>1.9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24678-2020</t>
        </is>
      </c>
      <c r="B1645" s="1" t="n">
        <v>43977</v>
      </c>
      <c r="C1645" s="1" t="n">
        <v>45182</v>
      </c>
      <c r="D1645" t="inlineStr">
        <is>
          <t>SÖDERMANLANDS LÄN</t>
        </is>
      </c>
      <c r="E1645" t="inlineStr">
        <is>
          <t>STRÄNGNÄS</t>
        </is>
      </c>
      <c r="G1645" t="n">
        <v>19.9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24605-2020</t>
        </is>
      </c>
      <c r="B1646" s="1" t="n">
        <v>43977</v>
      </c>
      <c r="C1646" s="1" t="n">
        <v>45182</v>
      </c>
      <c r="D1646" t="inlineStr">
        <is>
          <t>SÖDERMANLANDS LÄN</t>
        </is>
      </c>
      <c r="E1646" t="inlineStr">
        <is>
          <t>GNESTA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25067-2020</t>
        </is>
      </c>
      <c r="B1647" s="1" t="n">
        <v>43979</v>
      </c>
      <c r="C1647" s="1" t="n">
        <v>45182</v>
      </c>
      <c r="D1647" t="inlineStr">
        <is>
          <t>SÖDERMANLANDS LÄN</t>
        </is>
      </c>
      <c r="E1647" t="inlineStr">
        <is>
          <t>FLEN</t>
        </is>
      </c>
      <c r="G1647" t="n">
        <v>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25517-2020</t>
        </is>
      </c>
      <c r="B1648" s="1" t="n">
        <v>43980</v>
      </c>
      <c r="C1648" s="1" t="n">
        <v>45182</v>
      </c>
      <c r="D1648" t="inlineStr">
        <is>
          <t>SÖDERMANLANDS LÄN</t>
        </is>
      </c>
      <c r="E1648" t="inlineStr">
        <is>
          <t>NYKÖPING</t>
        </is>
      </c>
      <c r="F1648" t="inlineStr">
        <is>
          <t>Kommuner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25280-2020</t>
        </is>
      </c>
      <c r="B1649" s="1" t="n">
        <v>43980</v>
      </c>
      <c r="C1649" s="1" t="n">
        <v>45182</v>
      </c>
      <c r="D1649" t="inlineStr">
        <is>
          <t>SÖDERMANLANDS LÄN</t>
        </is>
      </c>
      <c r="E1649" t="inlineStr">
        <is>
          <t>FLEN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25754-2020</t>
        </is>
      </c>
      <c r="B1650" s="1" t="n">
        <v>43983</v>
      </c>
      <c r="C1650" s="1" t="n">
        <v>45182</v>
      </c>
      <c r="D1650" t="inlineStr">
        <is>
          <t>SÖDERMANLANDS LÄN</t>
        </is>
      </c>
      <c r="E1650" t="inlineStr">
        <is>
          <t>NYKÖPING</t>
        </is>
      </c>
      <c r="F1650" t="inlineStr">
        <is>
          <t>Kommuner</t>
        </is>
      </c>
      <c r="G1650" t="n">
        <v>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25842-2020</t>
        </is>
      </c>
      <c r="B1651" s="1" t="n">
        <v>43983</v>
      </c>
      <c r="C1651" s="1" t="n">
        <v>45182</v>
      </c>
      <c r="D1651" t="inlineStr">
        <is>
          <t>SÖDERMANLANDS LÄN</t>
        </is>
      </c>
      <c r="E1651" t="inlineStr">
        <is>
          <t>FLEN</t>
        </is>
      </c>
      <c r="G1651" t="n">
        <v>3.3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25880-2020</t>
        </is>
      </c>
      <c r="B1652" s="1" t="n">
        <v>43983</v>
      </c>
      <c r="C1652" s="1" t="n">
        <v>45182</v>
      </c>
      <c r="D1652" t="inlineStr">
        <is>
          <t>SÖDERMANLANDS LÄN</t>
        </is>
      </c>
      <c r="E1652" t="inlineStr">
        <is>
          <t>FLEN</t>
        </is>
      </c>
      <c r="G1652" t="n">
        <v>1.3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25466-2020</t>
        </is>
      </c>
      <c r="B1653" s="1" t="n">
        <v>43983</v>
      </c>
      <c r="C1653" s="1" t="n">
        <v>45182</v>
      </c>
      <c r="D1653" t="inlineStr">
        <is>
          <t>SÖDERMANLANDS LÄN</t>
        </is>
      </c>
      <c r="E1653" t="inlineStr">
        <is>
          <t>FLEN</t>
        </is>
      </c>
      <c r="G1653" t="n">
        <v>30.4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26063-2020</t>
        </is>
      </c>
      <c r="B1654" s="1" t="n">
        <v>43985</v>
      </c>
      <c r="C1654" s="1" t="n">
        <v>45182</v>
      </c>
      <c r="D1654" t="inlineStr">
        <is>
          <t>SÖDERMANLANDS LÄN</t>
        </is>
      </c>
      <c r="E1654" t="inlineStr">
        <is>
          <t>FLEN</t>
        </is>
      </c>
      <c r="G1654" t="n">
        <v>22.3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26007-2020</t>
        </is>
      </c>
      <c r="B1655" s="1" t="n">
        <v>43985</v>
      </c>
      <c r="C1655" s="1" t="n">
        <v>45182</v>
      </c>
      <c r="D1655" t="inlineStr">
        <is>
          <t>SÖDERMANLANDS LÄN</t>
        </is>
      </c>
      <c r="E1655" t="inlineStr">
        <is>
          <t>ESKILSTUNA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25945-2020</t>
        </is>
      </c>
      <c r="B1656" s="1" t="n">
        <v>43985</v>
      </c>
      <c r="C1656" s="1" t="n">
        <v>45182</v>
      </c>
      <c r="D1656" t="inlineStr">
        <is>
          <t>SÖDERMANLANDS LÄN</t>
        </is>
      </c>
      <c r="E1656" t="inlineStr">
        <is>
          <t>GNESTA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26008-2020</t>
        </is>
      </c>
      <c r="B1657" s="1" t="n">
        <v>43985</v>
      </c>
      <c r="C1657" s="1" t="n">
        <v>45182</v>
      </c>
      <c r="D1657" t="inlineStr">
        <is>
          <t>SÖDERMANLANDS LÄN</t>
        </is>
      </c>
      <c r="E1657" t="inlineStr">
        <is>
          <t>ESKILSTUNA</t>
        </is>
      </c>
      <c r="G1657" t="n">
        <v>0.3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26243-2020</t>
        </is>
      </c>
      <c r="B1658" s="1" t="n">
        <v>43986</v>
      </c>
      <c r="C1658" s="1" t="n">
        <v>45182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Övriga Aktiebolag</t>
        </is>
      </c>
      <c r="G1658" t="n">
        <v>11.6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26340-2020</t>
        </is>
      </c>
      <c r="B1659" s="1" t="n">
        <v>43986</v>
      </c>
      <c r="C1659" s="1" t="n">
        <v>45182</v>
      </c>
      <c r="D1659" t="inlineStr">
        <is>
          <t>SÖDERMANLANDS LÄN</t>
        </is>
      </c>
      <c r="E1659" t="inlineStr">
        <is>
          <t>ESKILSTUNA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26336-2020</t>
        </is>
      </c>
      <c r="B1660" s="1" t="n">
        <v>43986</v>
      </c>
      <c r="C1660" s="1" t="n">
        <v>45182</v>
      </c>
      <c r="D1660" t="inlineStr">
        <is>
          <t>SÖDERMANLANDS LÄN</t>
        </is>
      </c>
      <c r="E1660" t="inlineStr">
        <is>
          <t>ESKILSTUNA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26245-2020</t>
        </is>
      </c>
      <c r="B1661" s="1" t="n">
        <v>43986</v>
      </c>
      <c r="C1661" s="1" t="n">
        <v>45182</v>
      </c>
      <c r="D1661" t="inlineStr">
        <is>
          <t>SÖDERMANLANDS LÄN</t>
        </is>
      </c>
      <c r="E1661" t="inlineStr">
        <is>
          <t>NYKÖPING</t>
        </is>
      </c>
      <c r="F1661" t="inlineStr">
        <is>
          <t>Övriga Aktiebolag</t>
        </is>
      </c>
      <c r="G1661" t="n">
        <v>0.9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26251-2020</t>
        </is>
      </c>
      <c r="B1662" s="1" t="n">
        <v>43986</v>
      </c>
      <c r="C1662" s="1" t="n">
        <v>45182</v>
      </c>
      <c r="D1662" t="inlineStr">
        <is>
          <t>SÖDERMANLANDS LÄN</t>
        </is>
      </c>
      <c r="E1662" t="inlineStr">
        <is>
          <t>VINGÅKER</t>
        </is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26468-2020</t>
        </is>
      </c>
      <c r="B1663" s="1" t="n">
        <v>43987</v>
      </c>
      <c r="C1663" s="1" t="n">
        <v>45182</v>
      </c>
      <c r="D1663" t="inlineStr">
        <is>
          <t>SÖDERMANLANDS LÄN</t>
        </is>
      </c>
      <c r="E1663" t="inlineStr">
        <is>
          <t>VINGÅKER</t>
        </is>
      </c>
      <c r="G1663" t="n">
        <v>8.9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26773-2020</t>
        </is>
      </c>
      <c r="B1664" s="1" t="n">
        <v>43990</v>
      </c>
      <c r="C1664" s="1" t="n">
        <v>45182</v>
      </c>
      <c r="D1664" t="inlineStr">
        <is>
          <t>SÖDERMANLANDS LÄN</t>
        </is>
      </c>
      <c r="E1664" t="inlineStr">
        <is>
          <t>NYKÖPING</t>
        </is>
      </c>
      <c r="G1664" t="n">
        <v>5.6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27010-2020</t>
        </is>
      </c>
      <c r="B1665" s="1" t="n">
        <v>43990</v>
      </c>
      <c r="C1665" s="1" t="n">
        <v>45182</v>
      </c>
      <c r="D1665" t="inlineStr">
        <is>
          <t>SÖDERMANLANDS LÄN</t>
        </is>
      </c>
      <c r="E1665" t="inlineStr">
        <is>
          <t>KATRINEHOLM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27228-2020</t>
        </is>
      </c>
      <c r="B1666" s="1" t="n">
        <v>43992</v>
      </c>
      <c r="C1666" s="1" t="n">
        <v>45182</v>
      </c>
      <c r="D1666" t="inlineStr">
        <is>
          <t>SÖDERMANLANDS LÄN</t>
        </is>
      </c>
      <c r="E1666" t="inlineStr">
        <is>
          <t>KATRINEHOLM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27250-2020</t>
        </is>
      </c>
      <c r="B1667" s="1" t="n">
        <v>43992</v>
      </c>
      <c r="C1667" s="1" t="n">
        <v>45182</v>
      </c>
      <c r="D1667" t="inlineStr">
        <is>
          <t>SÖDERMANLANDS LÄN</t>
        </is>
      </c>
      <c r="E1667" t="inlineStr">
        <is>
          <t>ESKILSTUNA</t>
        </is>
      </c>
      <c r="G1667" t="n">
        <v>14.1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27238-2020</t>
        </is>
      </c>
      <c r="B1668" s="1" t="n">
        <v>43992</v>
      </c>
      <c r="C1668" s="1" t="n">
        <v>45182</v>
      </c>
      <c r="D1668" t="inlineStr">
        <is>
          <t>SÖDERMANLANDS LÄN</t>
        </is>
      </c>
      <c r="E1668" t="inlineStr">
        <is>
          <t>ESKILSTUNA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27596-2020</t>
        </is>
      </c>
      <c r="B1669" s="1" t="n">
        <v>43993</v>
      </c>
      <c r="C1669" s="1" t="n">
        <v>45182</v>
      </c>
      <c r="D1669" t="inlineStr">
        <is>
          <t>SÖDERMANLANDS LÄN</t>
        </is>
      </c>
      <c r="E1669" t="inlineStr">
        <is>
          <t>NYKÖPING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27449-2020</t>
        </is>
      </c>
      <c r="B1670" s="1" t="n">
        <v>43993</v>
      </c>
      <c r="C1670" s="1" t="n">
        <v>45182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11.2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27599-2020</t>
        </is>
      </c>
      <c r="B1671" s="1" t="n">
        <v>43993</v>
      </c>
      <c r="C1671" s="1" t="n">
        <v>45182</v>
      </c>
      <c r="D1671" t="inlineStr">
        <is>
          <t>SÖDERMANLANDS LÄN</t>
        </is>
      </c>
      <c r="E1671" t="inlineStr">
        <is>
          <t>NYKÖPING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28137-2020</t>
        </is>
      </c>
      <c r="B1672" s="1" t="n">
        <v>43997</v>
      </c>
      <c r="C1672" s="1" t="n">
        <v>45182</v>
      </c>
      <c r="D1672" t="inlineStr">
        <is>
          <t>SÖDERMANLANDS LÄN</t>
        </is>
      </c>
      <c r="E1672" t="inlineStr">
        <is>
          <t>TROSA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28079-2020</t>
        </is>
      </c>
      <c r="B1673" s="1" t="n">
        <v>43997</v>
      </c>
      <c r="C1673" s="1" t="n">
        <v>45182</v>
      </c>
      <c r="D1673" t="inlineStr">
        <is>
          <t>SÖDERMANLANDS LÄN</t>
        </is>
      </c>
      <c r="E1673" t="inlineStr">
        <is>
          <t>NYKÖPING</t>
        </is>
      </c>
      <c r="F1673" t="inlineStr">
        <is>
          <t>Kommuner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28331-2020</t>
        </is>
      </c>
      <c r="B1674" s="1" t="n">
        <v>43997</v>
      </c>
      <c r="C1674" s="1" t="n">
        <v>45182</v>
      </c>
      <c r="D1674" t="inlineStr">
        <is>
          <t>SÖDERMANLANDS LÄN</t>
        </is>
      </c>
      <c r="E1674" t="inlineStr">
        <is>
          <t>ESKILSTUNA</t>
        </is>
      </c>
      <c r="F1674" t="inlineStr">
        <is>
          <t>Kyrkan</t>
        </is>
      </c>
      <c r="G1674" t="n">
        <v>11.8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28040-2020</t>
        </is>
      </c>
      <c r="B1675" s="1" t="n">
        <v>43997</v>
      </c>
      <c r="C1675" s="1" t="n">
        <v>45182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Kommuner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28067-2020</t>
        </is>
      </c>
      <c r="B1676" s="1" t="n">
        <v>43997</v>
      </c>
      <c r="C1676" s="1" t="n">
        <v>45182</v>
      </c>
      <c r="D1676" t="inlineStr">
        <is>
          <t>SÖDERMANLANDS LÄN</t>
        </is>
      </c>
      <c r="E1676" t="inlineStr">
        <is>
          <t>KATRINEHOLM</t>
        </is>
      </c>
      <c r="G1676" t="n">
        <v>8.800000000000001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28034-2020</t>
        </is>
      </c>
      <c r="B1677" s="1" t="n">
        <v>43997</v>
      </c>
      <c r="C1677" s="1" t="n">
        <v>45182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Kommuner</t>
        </is>
      </c>
      <c r="G1677" t="n">
        <v>9.1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28141-2020</t>
        </is>
      </c>
      <c r="B1678" s="1" t="n">
        <v>43997</v>
      </c>
      <c r="C1678" s="1" t="n">
        <v>45182</v>
      </c>
      <c r="D1678" t="inlineStr">
        <is>
          <t>SÖDERMANLANDS LÄN</t>
        </is>
      </c>
      <c r="E1678" t="inlineStr">
        <is>
          <t>TROSA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28154-2020</t>
        </is>
      </c>
      <c r="B1679" s="1" t="n">
        <v>43997</v>
      </c>
      <c r="C1679" s="1" t="n">
        <v>45182</v>
      </c>
      <c r="D1679" t="inlineStr">
        <is>
          <t>SÖDERMANLANDS LÄN</t>
        </is>
      </c>
      <c r="E1679" t="inlineStr">
        <is>
          <t>GNESTA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28324-2020</t>
        </is>
      </c>
      <c r="B1680" s="1" t="n">
        <v>43997</v>
      </c>
      <c r="C1680" s="1" t="n">
        <v>45182</v>
      </c>
      <c r="D1680" t="inlineStr">
        <is>
          <t>SÖDERMANLANDS LÄN</t>
        </is>
      </c>
      <c r="E1680" t="inlineStr">
        <is>
          <t>ESKILSTUNA</t>
        </is>
      </c>
      <c r="F1680" t="inlineStr">
        <is>
          <t>Kyrkan</t>
        </is>
      </c>
      <c r="G1680" t="n">
        <v>7.6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28255-2020</t>
        </is>
      </c>
      <c r="B1681" s="1" t="n">
        <v>43998</v>
      </c>
      <c r="C1681" s="1" t="n">
        <v>45182</v>
      </c>
      <c r="D1681" t="inlineStr">
        <is>
          <t>SÖDERMANLANDS LÄN</t>
        </is>
      </c>
      <c r="E1681" t="inlineStr">
        <is>
          <t>KATRINEHOLM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28444-2020</t>
        </is>
      </c>
      <c r="B1682" s="1" t="n">
        <v>43998</v>
      </c>
      <c r="C1682" s="1" t="n">
        <v>45182</v>
      </c>
      <c r="D1682" t="inlineStr">
        <is>
          <t>SÖDERMANLANDS LÄN</t>
        </is>
      </c>
      <c r="E1682" t="inlineStr">
        <is>
          <t>VINGÅKER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28463-2020</t>
        </is>
      </c>
      <c r="B1683" s="1" t="n">
        <v>43998</v>
      </c>
      <c r="C1683" s="1" t="n">
        <v>45182</v>
      </c>
      <c r="D1683" t="inlineStr">
        <is>
          <t>SÖDERMANLANDS LÄN</t>
        </is>
      </c>
      <c r="E1683" t="inlineStr">
        <is>
          <t>NYKÖPING</t>
        </is>
      </c>
      <c r="G1683" t="n">
        <v>3.1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28341-2020</t>
        </is>
      </c>
      <c r="B1684" s="1" t="n">
        <v>43998</v>
      </c>
      <c r="C1684" s="1" t="n">
        <v>45182</v>
      </c>
      <c r="D1684" t="inlineStr">
        <is>
          <t>SÖDERMANLANDS LÄN</t>
        </is>
      </c>
      <c r="E1684" t="inlineStr">
        <is>
          <t>NYKÖPING</t>
        </is>
      </c>
      <c r="G1684" t="n">
        <v>0.6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28394-2020</t>
        </is>
      </c>
      <c r="B1685" s="1" t="n">
        <v>43998</v>
      </c>
      <c r="C1685" s="1" t="n">
        <v>45182</v>
      </c>
      <c r="D1685" t="inlineStr">
        <is>
          <t>SÖDERMANLANDS LÄN</t>
        </is>
      </c>
      <c r="E1685" t="inlineStr">
        <is>
          <t>VINGÅKER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28430-2020</t>
        </is>
      </c>
      <c r="B1686" s="1" t="n">
        <v>43998</v>
      </c>
      <c r="C1686" s="1" t="n">
        <v>45182</v>
      </c>
      <c r="D1686" t="inlineStr">
        <is>
          <t>SÖDERMANLANDS LÄN</t>
        </is>
      </c>
      <c r="E1686" t="inlineStr">
        <is>
          <t>VINGÅKER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28440-2020</t>
        </is>
      </c>
      <c r="B1687" s="1" t="n">
        <v>43998</v>
      </c>
      <c r="C1687" s="1" t="n">
        <v>45182</v>
      </c>
      <c r="D1687" t="inlineStr">
        <is>
          <t>SÖDERMANLANDS LÄN</t>
        </is>
      </c>
      <c r="E1687" t="inlineStr">
        <is>
          <t>VINGÅKER</t>
        </is>
      </c>
      <c r="G1687" t="n">
        <v>6.3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28433-2020</t>
        </is>
      </c>
      <c r="B1688" s="1" t="n">
        <v>43998</v>
      </c>
      <c r="C1688" s="1" t="n">
        <v>45182</v>
      </c>
      <c r="D1688" t="inlineStr">
        <is>
          <t>SÖDERMANLANDS LÄN</t>
        </is>
      </c>
      <c r="E1688" t="inlineStr">
        <is>
          <t>VINGÅKER</t>
        </is>
      </c>
      <c r="G1688" t="n">
        <v>3.5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28981-2020</t>
        </is>
      </c>
      <c r="B1689" s="1" t="n">
        <v>43998</v>
      </c>
      <c r="C1689" s="1" t="n">
        <v>45182</v>
      </c>
      <c r="D1689" t="inlineStr">
        <is>
          <t>SÖDERMANLANDS LÄN</t>
        </is>
      </c>
      <c r="E1689" t="inlineStr">
        <is>
          <t>FLEN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28467-2020</t>
        </is>
      </c>
      <c r="B1690" s="1" t="n">
        <v>43998</v>
      </c>
      <c r="C1690" s="1" t="n">
        <v>45182</v>
      </c>
      <c r="D1690" t="inlineStr">
        <is>
          <t>SÖDERMANLANDS LÄN</t>
        </is>
      </c>
      <c r="E1690" t="inlineStr">
        <is>
          <t>NYKÖPING</t>
        </is>
      </c>
      <c r="G1690" t="n">
        <v>2.5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28491-2020</t>
        </is>
      </c>
      <c r="B1691" s="1" t="n">
        <v>43998</v>
      </c>
      <c r="C1691" s="1" t="n">
        <v>45182</v>
      </c>
      <c r="D1691" t="inlineStr">
        <is>
          <t>SÖDERMANLANDS LÄN</t>
        </is>
      </c>
      <c r="E1691" t="inlineStr">
        <is>
          <t>KATRINEHOLM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28676-2020</t>
        </is>
      </c>
      <c r="B1692" s="1" t="n">
        <v>43999</v>
      </c>
      <c r="C1692" s="1" t="n">
        <v>45182</v>
      </c>
      <c r="D1692" t="inlineStr">
        <is>
          <t>SÖDERMANLANDS LÄN</t>
        </is>
      </c>
      <c r="E1692" t="inlineStr">
        <is>
          <t>FLEN</t>
        </is>
      </c>
      <c r="G1692" t="n">
        <v>2.7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28562-2020</t>
        </is>
      </c>
      <c r="B1693" s="1" t="n">
        <v>43999</v>
      </c>
      <c r="C1693" s="1" t="n">
        <v>45182</v>
      </c>
      <c r="D1693" t="inlineStr">
        <is>
          <t>SÖDERMANLANDS LÄN</t>
        </is>
      </c>
      <c r="E1693" t="inlineStr">
        <is>
          <t>FLEN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28589-2020</t>
        </is>
      </c>
      <c r="B1694" s="1" t="n">
        <v>43999</v>
      </c>
      <c r="C1694" s="1" t="n">
        <v>45182</v>
      </c>
      <c r="D1694" t="inlineStr">
        <is>
          <t>SÖDERMANLANDS LÄN</t>
        </is>
      </c>
      <c r="E1694" t="inlineStr">
        <is>
          <t>KATRINEHOLM</t>
        </is>
      </c>
      <c r="G1694" t="n">
        <v>1.8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29130-2020</t>
        </is>
      </c>
      <c r="B1695" s="1" t="n">
        <v>43999</v>
      </c>
      <c r="C1695" s="1" t="n">
        <v>45182</v>
      </c>
      <c r="D1695" t="inlineStr">
        <is>
          <t>SÖDERMANLANDS LÄN</t>
        </is>
      </c>
      <c r="E1695" t="inlineStr">
        <is>
          <t>VINGÅKER</t>
        </is>
      </c>
      <c r="G1695" t="n">
        <v>4.2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29015-2020</t>
        </is>
      </c>
      <c r="B1696" s="1" t="n">
        <v>44000</v>
      </c>
      <c r="C1696" s="1" t="n">
        <v>45182</v>
      </c>
      <c r="D1696" t="inlineStr">
        <is>
          <t>SÖDERMANLANDS LÄN</t>
        </is>
      </c>
      <c r="E1696" t="inlineStr">
        <is>
          <t>ESKILSTUNA</t>
        </is>
      </c>
      <c r="G1696" t="n">
        <v>1.4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28785-2020</t>
        </is>
      </c>
      <c r="B1697" s="1" t="n">
        <v>44000</v>
      </c>
      <c r="C1697" s="1" t="n">
        <v>45182</v>
      </c>
      <c r="D1697" t="inlineStr">
        <is>
          <t>SÖDERMANLANDS LÄN</t>
        </is>
      </c>
      <c r="E1697" t="inlineStr">
        <is>
          <t>NYKÖPING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29021-2020</t>
        </is>
      </c>
      <c r="B1698" s="1" t="n">
        <v>44000</v>
      </c>
      <c r="C1698" s="1" t="n">
        <v>45182</v>
      </c>
      <c r="D1698" t="inlineStr">
        <is>
          <t>SÖDERMANLANDS LÄN</t>
        </is>
      </c>
      <c r="E1698" t="inlineStr">
        <is>
          <t>ESKILSTUNA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29241-2020</t>
        </is>
      </c>
      <c r="B1699" s="1" t="n">
        <v>44004</v>
      </c>
      <c r="C1699" s="1" t="n">
        <v>45182</v>
      </c>
      <c r="D1699" t="inlineStr">
        <is>
          <t>SÖDERMANLANDS LÄN</t>
        </is>
      </c>
      <c r="E1699" t="inlineStr">
        <is>
          <t>NYKÖPING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29410-2020</t>
        </is>
      </c>
      <c r="B1700" s="1" t="n">
        <v>44004</v>
      </c>
      <c r="C1700" s="1" t="n">
        <v>45182</v>
      </c>
      <c r="D1700" t="inlineStr">
        <is>
          <t>SÖDERMANLANDS LÄN</t>
        </is>
      </c>
      <c r="E1700" t="inlineStr">
        <is>
          <t>TROSA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29463-2020</t>
        </is>
      </c>
      <c r="B1701" s="1" t="n">
        <v>44004</v>
      </c>
      <c r="C1701" s="1" t="n">
        <v>45182</v>
      </c>
      <c r="D1701" t="inlineStr">
        <is>
          <t>SÖDERMANLANDS LÄN</t>
        </is>
      </c>
      <c r="E1701" t="inlineStr">
        <is>
          <t>KATRINEHOLM</t>
        </is>
      </c>
      <c r="G1701" t="n">
        <v>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29269-2020</t>
        </is>
      </c>
      <c r="B1702" s="1" t="n">
        <v>44004</v>
      </c>
      <c r="C1702" s="1" t="n">
        <v>45182</v>
      </c>
      <c r="D1702" t="inlineStr">
        <is>
          <t>SÖDERMANLANDS LÄN</t>
        </is>
      </c>
      <c r="E1702" t="inlineStr">
        <is>
          <t>NYKÖPING</t>
        </is>
      </c>
      <c r="G1702" t="n">
        <v>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29354-2020</t>
        </is>
      </c>
      <c r="B1703" s="1" t="n">
        <v>44004</v>
      </c>
      <c r="C1703" s="1" t="n">
        <v>45182</v>
      </c>
      <c r="D1703" t="inlineStr">
        <is>
          <t>SÖDERMANLANDS LÄN</t>
        </is>
      </c>
      <c r="E1703" t="inlineStr">
        <is>
          <t>NYKÖPING</t>
        </is>
      </c>
      <c r="G1703" t="n">
        <v>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29369-2020</t>
        </is>
      </c>
      <c r="B1704" s="1" t="n">
        <v>44004</v>
      </c>
      <c r="C1704" s="1" t="n">
        <v>45182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29455-2020</t>
        </is>
      </c>
      <c r="B1705" s="1" t="n">
        <v>44004</v>
      </c>
      <c r="C1705" s="1" t="n">
        <v>45182</v>
      </c>
      <c r="D1705" t="inlineStr">
        <is>
          <t>SÖDERMANLANDS LÄN</t>
        </is>
      </c>
      <c r="E1705" t="inlineStr">
        <is>
          <t>FLEN</t>
        </is>
      </c>
      <c r="G1705" t="n">
        <v>6.2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29557-2020</t>
        </is>
      </c>
      <c r="B1706" s="1" t="n">
        <v>44005</v>
      </c>
      <c r="C1706" s="1" t="n">
        <v>45182</v>
      </c>
      <c r="D1706" t="inlineStr">
        <is>
          <t>SÖDERMANLANDS LÄN</t>
        </is>
      </c>
      <c r="E1706" t="inlineStr">
        <is>
          <t>FLEN</t>
        </is>
      </c>
      <c r="F1706" t="inlineStr">
        <is>
          <t>Övriga statliga verk och myndigheter</t>
        </is>
      </c>
      <c r="G1706" t="n">
        <v>3.4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29694-2020</t>
        </is>
      </c>
      <c r="B1707" s="1" t="n">
        <v>44005</v>
      </c>
      <c r="C1707" s="1" t="n">
        <v>45182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29714-2020</t>
        </is>
      </c>
      <c r="B1708" s="1" t="n">
        <v>44005</v>
      </c>
      <c r="C1708" s="1" t="n">
        <v>45182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29690-2020</t>
        </is>
      </c>
      <c r="B1709" s="1" t="n">
        <v>44005</v>
      </c>
      <c r="C1709" s="1" t="n">
        <v>45182</v>
      </c>
      <c r="D1709" t="inlineStr">
        <is>
          <t>SÖDERMANLANDS LÄN</t>
        </is>
      </c>
      <c r="E1709" t="inlineStr">
        <is>
          <t>NYKÖPING</t>
        </is>
      </c>
      <c r="F1709" t="inlineStr">
        <is>
          <t>Övriga Aktiebolag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29601-2020</t>
        </is>
      </c>
      <c r="B1710" s="1" t="n">
        <v>44005</v>
      </c>
      <c r="C1710" s="1" t="n">
        <v>45182</v>
      </c>
      <c r="D1710" t="inlineStr">
        <is>
          <t>SÖDERMANLANDS LÄN</t>
        </is>
      </c>
      <c r="E1710" t="inlineStr">
        <is>
          <t>GNESTA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29701-2020</t>
        </is>
      </c>
      <c r="B1711" s="1" t="n">
        <v>44005</v>
      </c>
      <c r="C1711" s="1" t="n">
        <v>45182</v>
      </c>
      <c r="D1711" t="inlineStr">
        <is>
          <t>SÖDERMANLANDS LÄN</t>
        </is>
      </c>
      <c r="E1711" t="inlineStr">
        <is>
          <t>NYKÖPING</t>
        </is>
      </c>
      <c r="F1711" t="inlineStr">
        <is>
          <t>Övriga Aktiebolag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29847-2020</t>
        </is>
      </c>
      <c r="B1712" s="1" t="n">
        <v>44006</v>
      </c>
      <c r="C1712" s="1" t="n">
        <v>45182</v>
      </c>
      <c r="D1712" t="inlineStr">
        <is>
          <t>SÖDERMANLANDS LÄN</t>
        </is>
      </c>
      <c r="E1712" t="inlineStr">
        <is>
          <t>GNESTA</t>
        </is>
      </c>
      <c r="F1712" t="inlineStr">
        <is>
          <t>Övriga Aktiebolag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30133-2020</t>
        </is>
      </c>
      <c r="B1713" s="1" t="n">
        <v>44006</v>
      </c>
      <c r="C1713" s="1" t="n">
        <v>45182</v>
      </c>
      <c r="D1713" t="inlineStr">
        <is>
          <t>SÖDERMANLANDS LÄN</t>
        </is>
      </c>
      <c r="E1713" t="inlineStr">
        <is>
          <t>ESKILSTUNA</t>
        </is>
      </c>
      <c r="G1713" t="n">
        <v>7.5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30052-2020</t>
        </is>
      </c>
      <c r="B1714" s="1" t="n">
        <v>44006</v>
      </c>
      <c r="C1714" s="1" t="n">
        <v>45182</v>
      </c>
      <c r="D1714" t="inlineStr">
        <is>
          <t>SÖDERMANLANDS LÄN</t>
        </is>
      </c>
      <c r="E1714" t="inlineStr">
        <is>
          <t>STRÄNGNÄS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30429-2020</t>
        </is>
      </c>
      <c r="B1715" s="1" t="n">
        <v>44007</v>
      </c>
      <c r="C1715" s="1" t="n">
        <v>45182</v>
      </c>
      <c r="D1715" t="inlineStr">
        <is>
          <t>SÖDERMANLANDS LÄN</t>
        </is>
      </c>
      <c r="E1715" t="inlineStr">
        <is>
          <t>NYKÖPING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30209-2020</t>
        </is>
      </c>
      <c r="B1716" s="1" t="n">
        <v>44007</v>
      </c>
      <c r="C1716" s="1" t="n">
        <v>45182</v>
      </c>
      <c r="D1716" t="inlineStr">
        <is>
          <t>SÖDERMANLANDS LÄN</t>
        </is>
      </c>
      <c r="E1716" t="inlineStr">
        <is>
          <t>FLEN</t>
        </is>
      </c>
      <c r="G1716" t="n">
        <v>2.6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30361-2020</t>
        </is>
      </c>
      <c r="B1717" s="1" t="n">
        <v>44007</v>
      </c>
      <c r="C1717" s="1" t="n">
        <v>45182</v>
      </c>
      <c r="D1717" t="inlineStr">
        <is>
          <t>SÖDERMANLANDS LÄN</t>
        </is>
      </c>
      <c r="E1717" t="inlineStr">
        <is>
          <t>NYKÖPING</t>
        </is>
      </c>
      <c r="G1717" t="n">
        <v>1.7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30261-2020</t>
        </is>
      </c>
      <c r="B1718" s="1" t="n">
        <v>44007</v>
      </c>
      <c r="C1718" s="1" t="n">
        <v>45182</v>
      </c>
      <c r="D1718" t="inlineStr">
        <is>
          <t>SÖDERMANLANDS LÄN</t>
        </is>
      </c>
      <c r="E1718" t="inlineStr">
        <is>
          <t>NYKÖPING</t>
        </is>
      </c>
      <c r="G1718" t="n">
        <v>5.5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30391-2020</t>
        </is>
      </c>
      <c r="B1719" s="1" t="n">
        <v>44007</v>
      </c>
      <c r="C1719" s="1" t="n">
        <v>45182</v>
      </c>
      <c r="D1719" t="inlineStr">
        <is>
          <t>SÖDERMANLANDS LÄN</t>
        </is>
      </c>
      <c r="E1719" t="inlineStr">
        <is>
          <t>NYKÖPING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30720-2020</t>
        </is>
      </c>
      <c r="B1720" s="1" t="n">
        <v>44008</v>
      </c>
      <c r="C1720" s="1" t="n">
        <v>45182</v>
      </c>
      <c r="D1720" t="inlineStr">
        <is>
          <t>SÖDERMANLANDS LÄN</t>
        </is>
      </c>
      <c r="E1720" t="inlineStr">
        <is>
          <t>KATRINEHOLM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30721-2020</t>
        </is>
      </c>
      <c r="B1721" s="1" t="n">
        <v>44008</v>
      </c>
      <c r="C1721" s="1" t="n">
        <v>45182</v>
      </c>
      <c r="D1721" t="inlineStr">
        <is>
          <t>SÖDERMANLANDS LÄN</t>
        </is>
      </c>
      <c r="E1721" t="inlineStr">
        <is>
          <t>NYKÖPING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30871-2020</t>
        </is>
      </c>
      <c r="B1722" s="1" t="n">
        <v>44011</v>
      </c>
      <c r="C1722" s="1" t="n">
        <v>45182</v>
      </c>
      <c r="D1722" t="inlineStr">
        <is>
          <t>SÖDERMANLANDS LÄN</t>
        </is>
      </c>
      <c r="E1722" t="inlineStr">
        <is>
          <t>FLEN</t>
        </is>
      </c>
      <c r="G1722" t="n">
        <v>2.9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31011-2020</t>
        </is>
      </c>
      <c r="B1723" s="1" t="n">
        <v>44011</v>
      </c>
      <c r="C1723" s="1" t="n">
        <v>45182</v>
      </c>
      <c r="D1723" t="inlineStr">
        <is>
          <t>SÖDERMANLANDS LÄN</t>
        </is>
      </c>
      <c r="E1723" t="inlineStr">
        <is>
          <t>NYKÖPING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30879-2020</t>
        </is>
      </c>
      <c r="B1724" s="1" t="n">
        <v>44011</v>
      </c>
      <c r="C1724" s="1" t="n">
        <v>45182</v>
      </c>
      <c r="D1724" t="inlineStr">
        <is>
          <t>SÖDERMANLANDS LÄN</t>
        </is>
      </c>
      <c r="E1724" t="inlineStr">
        <is>
          <t>FLEN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31010-2020</t>
        </is>
      </c>
      <c r="B1725" s="1" t="n">
        <v>44011</v>
      </c>
      <c r="C1725" s="1" t="n">
        <v>45182</v>
      </c>
      <c r="D1725" t="inlineStr">
        <is>
          <t>SÖDERMANLANDS LÄN</t>
        </is>
      </c>
      <c r="E1725" t="inlineStr">
        <is>
          <t>NYKÖPING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31009-2020</t>
        </is>
      </c>
      <c r="B1726" s="1" t="n">
        <v>44011</v>
      </c>
      <c r="C1726" s="1" t="n">
        <v>45182</v>
      </c>
      <c r="D1726" t="inlineStr">
        <is>
          <t>SÖDERMANLANDS LÄN</t>
        </is>
      </c>
      <c r="E1726" t="inlineStr">
        <is>
          <t>NYKÖPING</t>
        </is>
      </c>
      <c r="G1726" t="n">
        <v>4.8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31393-2020</t>
        </is>
      </c>
      <c r="B1727" s="1" t="n">
        <v>44012</v>
      </c>
      <c r="C1727" s="1" t="n">
        <v>45182</v>
      </c>
      <c r="D1727" t="inlineStr">
        <is>
          <t>SÖDERMANLANDS LÄN</t>
        </is>
      </c>
      <c r="E1727" t="inlineStr">
        <is>
          <t>VINGÅKER</t>
        </is>
      </c>
      <c r="G1727" t="n">
        <v>3.4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31392-2020</t>
        </is>
      </c>
      <c r="B1728" s="1" t="n">
        <v>44012</v>
      </c>
      <c r="C1728" s="1" t="n">
        <v>45182</v>
      </c>
      <c r="D1728" t="inlineStr">
        <is>
          <t>SÖDERMANLANDS LÄN</t>
        </is>
      </c>
      <c r="E1728" t="inlineStr">
        <is>
          <t>VINGÅKER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31118-2020</t>
        </is>
      </c>
      <c r="B1729" s="1" t="n">
        <v>44012</v>
      </c>
      <c r="C1729" s="1" t="n">
        <v>45182</v>
      </c>
      <c r="D1729" t="inlineStr">
        <is>
          <t>SÖDERMANLANDS LÄN</t>
        </is>
      </c>
      <c r="E1729" t="inlineStr">
        <is>
          <t>FLEN</t>
        </is>
      </c>
      <c r="F1729" t="inlineStr">
        <is>
          <t>Övriga statliga verk och myndigheter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31387-2020</t>
        </is>
      </c>
      <c r="B1730" s="1" t="n">
        <v>44012</v>
      </c>
      <c r="C1730" s="1" t="n">
        <v>45182</v>
      </c>
      <c r="D1730" t="inlineStr">
        <is>
          <t>SÖDERMANLANDS LÄN</t>
        </is>
      </c>
      <c r="E1730" t="inlineStr">
        <is>
          <t>KATRINEHOLM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31619-2020</t>
        </is>
      </c>
      <c r="B1731" s="1" t="n">
        <v>44013</v>
      </c>
      <c r="C1731" s="1" t="n">
        <v>45182</v>
      </c>
      <c r="D1731" t="inlineStr">
        <is>
          <t>SÖDERMANLANDS LÄN</t>
        </is>
      </c>
      <c r="E1731" t="inlineStr">
        <is>
          <t>ESKILSTUNA</t>
        </is>
      </c>
      <c r="F1731" t="inlineStr">
        <is>
          <t>Allmännings- och besparingsskogar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31627-2020</t>
        </is>
      </c>
      <c r="B1732" s="1" t="n">
        <v>44013</v>
      </c>
      <c r="C1732" s="1" t="n">
        <v>45182</v>
      </c>
      <c r="D1732" t="inlineStr">
        <is>
          <t>SÖDERMANLANDS LÄN</t>
        </is>
      </c>
      <c r="E1732" t="inlineStr">
        <is>
          <t>STRÄNGNÄS</t>
        </is>
      </c>
      <c r="F1732" t="inlineStr">
        <is>
          <t>Allmännings- och besparingsskogar</t>
        </is>
      </c>
      <c r="G1732" t="n">
        <v>3.3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31950-2020</t>
        </is>
      </c>
      <c r="B1733" s="1" t="n">
        <v>44014</v>
      </c>
      <c r="C1733" s="1" t="n">
        <v>45182</v>
      </c>
      <c r="D1733" t="inlineStr">
        <is>
          <t>SÖDERMANLANDS LÄN</t>
        </is>
      </c>
      <c r="E1733" t="inlineStr">
        <is>
          <t>ESKILSTUNA</t>
        </is>
      </c>
      <c r="F1733" t="inlineStr">
        <is>
          <t>Allmännings- och besparingsskogar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32142-2020</t>
        </is>
      </c>
      <c r="B1734" s="1" t="n">
        <v>44015</v>
      </c>
      <c r="C1734" s="1" t="n">
        <v>45182</v>
      </c>
      <c r="D1734" t="inlineStr">
        <is>
          <t>SÖDERMANLANDS LÄN</t>
        </is>
      </c>
      <c r="E1734" t="inlineStr">
        <is>
          <t>FLEN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32220-2020</t>
        </is>
      </c>
      <c r="B1735" s="1" t="n">
        <v>44015</v>
      </c>
      <c r="C1735" s="1" t="n">
        <v>45182</v>
      </c>
      <c r="D1735" t="inlineStr">
        <is>
          <t>SÖDERMANLANDS LÄN</t>
        </is>
      </c>
      <c r="E1735" t="inlineStr">
        <is>
          <t>STRÄNGNÄS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32364-2020</t>
        </is>
      </c>
      <c r="B1736" s="1" t="n">
        <v>44017</v>
      </c>
      <c r="C1736" s="1" t="n">
        <v>45182</v>
      </c>
      <c r="D1736" t="inlineStr">
        <is>
          <t>SÖDERMANLANDS LÄN</t>
        </is>
      </c>
      <c r="E1736" t="inlineStr">
        <is>
          <t>KATRINEHOLM</t>
        </is>
      </c>
      <c r="G1736" t="n">
        <v>4.4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32366-2020</t>
        </is>
      </c>
      <c r="B1737" s="1" t="n">
        <v>44018</v>
      </c>
      <c r="C1737" s="1" t="n">
        <v>45182</v>
      </c>
      <c r="D1737" t="inlineStr">
        <is>
          <t>SÖDERMANLANDS LÄN</t>
        </is>
      </c>
      <c r="E1737" t="inlineStr">
        <is>
          <t>FLEN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32546-2020</t>
        </is>
      </c>
      <c r="B1738" s="1" t="n">
        <v>44018</v>
      </c>
      <c r="C1738" s="1" t="n">
        <v>45182</v>
      </c>
      <c r="D1738" t="inlineStr">
        <is>
          <t>SÖDERMANLANDS LÄN</t>
        </is>
      </c>
      <c r="E1738" t="inlineStr">
        <is>
          <t>NYKÖPING</t>
        </is>
      </c>
      <c r="G1738" t="n">
        <v>5.2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32558-2020</t>
        </is>
      </c>
      <c r="B1739" s="1" t="n">
        <v>44018</v>
      </c>
      <c r="C1739" s="1" t="n">
        <v>45182</v>
      </c>
      <c r="D1739" t="inlineStr">
        <is>
          <t>SÖDERMANLANDS LÄN</t>
        </is>
      </c>
      <c r="E1739" t="inlineStr">
        <is>
          <t>NYKÖPING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32585-2020</t>
        </is>
      </c>
      <c r="B1740" s="1" t="n">
        <v>44018</v>
      </c>
      <c r="C1740" s="1" t="n">
        <v>45182</v>
      </c>
      <c r="D1740" t="inlineStr">
        <is>
          <t>SÖDERMANLANDS LÄN</t>
        </is>
      </c>
      <c r="E1740" t="inlineStr">
        <is>
          <t>FLEN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32626-2020</t>
        </is>
      </c>
      <c r="B1741" s="1" t="n">
        <v>44019</v>
      </c>
      <c r="C1741" s="1" t="n">
        <v>45182</v>
      </c>
      <c r="D1741" t="inlineStr">
        <is>
          <t>SÖDERMANLANDS LÄN</t>
        </is>
      </c>
      <c r="E1741" t="inlineStr">
        <is>
          <t>ESKILSTUNA</t>
        </is>
      </c>
      <c r="G1741" t="n">
        <v>10.1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33146-2020</t>
        </is>
      </c>
      <c r="B1742" s="1" t="n">
        <v>44021</v>
      </c>
      <c r="C1742" s="1" t="n">
        <v>45182</v>
      </c>
      <c r="D1742" t="inlineStr">
        <is>
          <t>SÖDERMANLANDS LÄN</t>
        </is>
      </c>
      <c r="E1742" t="inlineStr">
        <is>
          <t>FLEN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33232-2020</t>
        </is>
      </c>
      <c r="B1743" s="1" t="n">
        <v>44021</v>
      </c>
      <c r="C1743" s="1" t="n">
        <v>45182</v>
      </c>
      <c r="D1743" t="inlineStr">
        <is>
          <t>SÖDERMANLANDS LÄN</t>
        </is>
      </c>
      <c r="E1743" t="inlineStr">
        <is>
          <t>KATRINEHOLM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33471-2020</t>
        </is>
      </c>
      <c r="B1744" s="1" t="n">
        <v>44023</v>
      </c>
      <c r="C1744" s="1" t="n">
        <v>45182</v>
      </c>
      <c r="D1744" t="inlineStr">
        <is>
          <t>SÖDERMANLANDS LÄN</t>
        </is>
      </c>
      <c r="E1744" t="inlineStr">
        <is>
          <t>KATRINEHOLM</t>
        </is>
      </c>
      <c r="G1744" t="n">
        <v>2.9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33488-2020</t>
        </is>
      </c>
      <c r="B1745" s="1" t="n">
        <v>44024</v>
      </c>
      <c r="C1745" s="1" t="n">
        <v>45182</v>
      </c>
      <c r="D1745" t="inlineStr">
        <is>
          <t>SÖDERMANLANDS LÄN</t>
        </is>
      </c>
      <c r="E1745" t="inlineStr">
        <is>
          <t>STRÄNGNÄS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33510-2020</t>
        </is>
      </c>
      <c r="B1746" s="1" t="n">
        <v>44025</v>
      </c>
      <c r="C1746" s="1" t="n">
        <v>45182</v>
      </c>
      <c r="D1746" t="inlineStr">
        <is>
          <t>SÖDERMANLANDS LÄN</t>
        </is>
      </c>
      <c r="E1746" t="inlineStr">
        <is>
          <t>STRÄNGNÄS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33743-2020</t>
        </is>
      </c>
      <c r="B1747" s="1" t="n">
        <v>44026</v>
      </c>
      <c r="C1747" s="1" t="n">
        <v>45182</v>
      </c>
      <c r="D1747" t="inlineStr">
        <is>
          <t>SÖDERMANLANDS LÄN</t>
        </is>
      </c>
      <c r="E1747" t="inlineStr">
        <is>
          <t>STRÄNGNÄS</t>
        </is>
      </c>
      <c r="G1747" t="n">
        <v>3.4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33682-2020</t>
        </is>
      </c>
      <c r="B1748" s="1" t="n">
        <v>44026</v>
      </c>
      <c r="C1748" s="1" t="n">
        <v>45182</v>
      </c>
      <c r="D1748" t="inlineStr">
        <is>
          <t>SÖDERMANLANDS LÄN</t>
        </is>
      </c>
      <c r="E1748" t="inlineStr">
        <is>
          <t>FLEN</t>
        </is>
      </c>
      <c r="F1748" t="inlineStr">
        <is>
          <t>Övriga statliga verk och myndigheter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33738-2020</t>
        </is>
      </c>
      <c r="B1749" s="1" t="n">
        <v>44026</v>
      </c>
      <c r="C1749" s="1" t="n">
        <v>45182</v>
      </c>
      <c r="D1749" t="inlineStr">
        <is>
          <t>SÖDERMANLANDS LÄN</t>
        </is>
      </c>
      <c r="E1749" t="inlineStr">
        <is>
          <t>STRÄNGNÄS</t>
        </is>
      </c>
      <c r="G1749" t="n">
        <v>3.6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34066-2020</t>
        </is>
      </c>
      <c r="B1750" s="1" t="n">
        <v>44027</v>
      </c>
      <c r="C1750" s="1" t="n">
        <v>45182</v>
      </c>
      <c r="D1750" t="inlineStr">
        <is>
          <t>SÖDERMANLANDS LÄN</t>
        </is>
      </c>
      <c r="E1750" t="inlineStr">
        <is>
          <t>FLEN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33976-2020</t>
        </is>
      </c>
      <c r="B1751" s="1" t="n">
        <v>44028</v>
      </c>
      <c r="C1751" s="1" t="n">
        <v>45182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34072-2020</t>
        </is>
      </c>
      <c r="B1752" s="1" t="n">
        <v>44028</v>
      </c>
      <c r="C1752" s="1" t="n">
        <v>45182</v>
      </c>
      <c r="D1752" t="inlineStr">
        <is>
          <t>SÖDERMANLANDS LÄN</t>
        </is>
      </c>
      <c r="E1752" t="inlineStr">
        <is>
          <t>FLEN</t>
        </is>
      </c>
      <c r="G1752" t="n">
        <v>0.2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34070-2020</t>
        </is>
      </c>
      <c r="B1753" s="1" t="n">
        <v>44028</v>
      </c>
      <c r="C1753" s="1" t="n">
        <v>45182</v>
      </c>
      <c r="D1753" t="inlineStr">
        <is>
          <t>SÖDERMANLANDS LÄN</t>
        </is>
      </c>
      <c r="E1753" t="inlineStr">
        <is>
          <t>KATRINEHOLM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34109-2020</t>
        </is>
      </c>
      <c r="B1754" s="1" t="n">
        <v>44029</v>
      </c>
      <c r="C1754" s="1" t="n">
        <v>45182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34129-2020</t>
        </is>
      </c>
      <c r="B1755" s="1" t="n">
        <v>44029</v>
      </c>
      <c r="C1755" s="1" t="n">
        <v>45182</v>
      </c>
      <c r="D1755" t="inlineStr">
        <is>
          <t>SÖDERMANLANDS LÄN</t>
        </is>
      </c>
      <c r="E1755" t="inlineStr">
        <is>
          <t>NYKÖPING</t>
        </is>
      </c>
      <c r="F1755" t="inlineStr">
        <is>
          <t>Övriga Aktiebolag</t>
        </is>
      </c>
      <c r="G1755" t="n">
        <v>2.7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34224-2020</t>
        </is>
      </c>
      <c r="B1756" s="1" t="n">
        <v>44029</v>
      </c>
      <c r="C1756" s="1" t="n">
        <v>45182</v>
      </c>
      <c r="D1756" t="inlineStr">
        <is>
          <t>SÖDERMANLANDS LÄN</t>
        </is>
      </c>
      <c r="E1756" t="inlineStr">
        <is>
          <t>NYKÖPING</t>
        </is>
      </c>
      <c r="G1756" t="n">
        <v>0.7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34438-2020</t>
        </is>
      </c>
      <c r="B1757" s="1" t="n">
        <v>44029</v>
      </c>
      <c r="C1757" s="1" t="n">
        <v>45182</v>
      </c>
      <c r="D1757" t="inlineStr">
        <is>
          <t>SÖDERMANLANDS LÄN</t>
        </is>
      </c>
      <c r="E1757" t="inlineStr">
        <is>
          <t>NYKÖPING</t>
        </is>
      </c>
      <c r="G1757" t="n">
        <v>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34108-2020</t>
        </is>
      </c>
      <c r="B1758" s="1" t="n">
        <v>44029</v>
      </c>
      <c r="C1758" s="1" t="n">
        <v>45182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34122-2020</t>
        </is>
      </c>
      <c r="B1759" s="1" t="n">
        <v>44029</v>
      </c>
      <c r="C1759" s="1" t="n">
        <v>45182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34489-2020</t>
        </is>
      </c>
      <c r="B1760" s="1" t="n">
        <v>44029</v>
      </c>
      <c r="C1760" s="1" t="n">
        <v>45182</v>
      </c>
      <c r="D1760" t="inlineStr">
        <is>
          <t>SÖDERMANLANDS LÄN</t>
        </is>
      </c>
      <c r="E1760" t="inlineStr">
        <is>
          <t>FLEN</t>
        </is>
      </c>
      <c r="G1760" t="n">
        <v>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34536-2020</t>
        </is>
      </c>
      <c r="B1761" s="1" t="n">
        <v>44032</v>
      </c>
      <c r="C1761" s="1" t="n">
        <v>45182</v>
      </c>
      <c r="D1761" t="inlineStr">
        <is>
          <t>SÖDERMANLANDS LÄN</t>
        </is>
      </c>
      <c r="E1761" t="inlineStr">
        <is>
          <t>GNESTA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34530-2020</t>
        </is>
      </c>
      <c r="B1762" s="1" t="n">
        <v>44033</v>
      </c>
      <c r="C1762" s="1" t="n">
        <v>45182</v>
      </c>
      <c r="D1762" t="inlineStr">
        <is>
          <t>SÖDERMANLANDS LÄN</t>
        </is>
      </c>
      <c r="E1762" t="inlineStr">
        <is>
          <t>NYKÖPING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34676-2020</t>
        </is>
      </c>
      <c r="B1763" s="1" t="n">
        <v>44035</v>
      </c>
      <c r="C1763" s="1" t="n">
        <v>45182</v>
      </c>
      <c r="D1763" t="inlineStr">
        <is>
          <t>SÖDERMANLANDS LÄN</t>
        </is>
      </c>
      <c r="E1763" t="inlineStr">
        <is>
          <t>GNESTA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34717-2020</t>
        </is>
      </c>
      <c r="B1764" s="1" t="n">
        <v>44035</v>
      </c>
      <c r="C1764" s="1" t="n">
        <v>45182</v>
      </c>
      <c r="D1764" t="inlineStr">
        <is>
          <t>SÖDERMANLANDS LÄN</t>
        </is>
      </c>
      <c r="E1764" t="inlineStr">
        <is>
          <t>VINGÅKER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34709-2020</t>
        </is>
      </c>
      <c r="B1765" s="1" t="n">
        <v>44035</v>
      </c>
      <c r="C1765" s="1" t="n">
        <v>45182</v>
      </c>
      <c r="D1765" t="inlineStr">
        <is>
          <t>SÖDERMANLANDS LÄN</t>
        </is>
      </c>
      <c r="E1765" t="inlineStr">
        <is>
          <t>ESKILSTUNA</t>
        </is>
      </c>
      <c r="G1765" t="n">
        <v>1.3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34957-2020</t>
        </is>
      </c>
      <c r="B1766" s="1" t="n">
        <v>44036</v>
      </c>
      <c r="C1766" s="1" t="n">
        <v>45182</v>
      </c>
      <c r="D1766" t="inlineStr">
        <is>
          <t>SÖDERMANLANDS LÄN</t>
        </is>
      </c>
      <c r="E1766" t="inlineStr">
        <is>
          <t>NYKÖPING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34992-2020</t>
        </is>
      </c>
      <c r="B1767" s="1" t="n">
        <v>44039</v>
      </c>
      <c r="C1767" s="1" t="n">
        <v>45182</v>
      </c>
      <c r="D1767" t="inlineStr">
        <is>
          <t>SÖDERMANLANDS LÄN</t>
        </is>
      </c>
      <c r="E1767" t="inlineStr">
        <is>
          <t>FLEN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35054-2020</t>
        </is>
      </c>
      <c r="B1768" s="1" t="n">
        <v>44039</v>
      </c>
      <c r="C1768" s="1" t="n">
        <v>45182</v>
      </c>
      <c r="D1768" t="inlineStr">
        <is>
          <t>SÖDERMANLANDS LÄN</t>
        </is>
      </c>
      <c r="E1768" t="inlineStr">
        <is>
          <t>ESKILSTUNA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35093-2020</t>
        </is>
      </c>
      <c r="B1769" s="1" t="n">
        <v>44039</v>
      </c>
      <c r="C1769" s="1" t="n">
        <v>45182</v>
      </c>
      <c r="D1769" t="inlineStr">
        <is>
          <t>SÖDERMANLANDS LÄN</t>
        </is>
      </c>
      <c r="E1769" t="inlineStr">
        <is>
          <t>FLEN</t>
        </is>
      </c>
      <c r="G1769" t="n">
        <v>5.7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35186-2020</t>
        </is>
      </c>
      <c r="B1770" s="1" t="n">
        <v>44040</v>
      </c>
      <c r="C1770" s="1" t="n">
        <v>45182</v>
      </c>
      <c r="D1770" t="inlineStr">
        <is>
          <t>SÖDERMANLANDS LÄN</t>
        </is>
      </c>
      <c r="E1770" t="inlineStr">
        <is>
          <t>STRÄNGNÄS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35176-2020</t>
        </is>
      </c>
      <c r="B1771" s="1" t="n">
        <v>44040</v>
      </c>
      <c r="C1771" s="1" t="n">
        <v>45182</v>
      </c>
      <c r="D1771" t="inlineStr">
        <is>
          <t>SÖDERMANLANDS LÄN</t>
        </is>
      </c>
      <c r="E1771" t="inlineStr">
        <is>
          <t>FLEN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35302-2020</t>
        </is>
      </c>
      <c r="B1772" s="1" t="n">
        <v>44041</v>
      </c>
      <c r="C1772" s="1" t="n">
        <v>45182</v>
      </c>
      <c r="D1772" t="inlineStr">
        <is>
          <t>SÖDERMANLANDS LÄN</t>
        </is>
      </c>
      <c r="E1772" t="inlineStr">
        <is>
          <t>ESKILSTUNA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35383-2020</t>
        </is>
      </c>
      <c r="B1773" s="1" t="n">
        <v>44042</v>
      </c>
      <c r="C1773" s="1" t="n">
        <v>45182</v>
      </c>
      <c r="D1773" t="inlineStr">
        <is>
          <t>SÖDERMANLANDS LÄN</t>
        </is>
      </c>
      <c r="E1773" t="inlineStr">
        <is>
          <t>STRÄNGNÄS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35398-2020</t>
        </is>
      </c>
      <c r="B1774" s="1" t="n">
        <v>44042</v>
      </c>
      <c r="C1774" s="1" t="n">
        <v>45182</v>
      </c>
      <c r="D1774" t="inlineStr">
        <is>
          <t>SÖDERMANLANDS LÄN</t>
        </is>
      </c>
      <c r="E1774" t="inlineStr">
        <is>
          <t>ESKILSTUNA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35443-2020</t>
        </is>
      </c>
      <c r="B1775" s="1" t="n">
        <v>44042</v>
      </c>
      <c r="C1775" s="1" t="n">
        <v>45182</v>
      </c>
      <c r="D1775" t="inlineStr">
        <is>
          <t>SÖDERMANLANDS LÄN</t>
        </is>
      </c>
      <c r="E1775" t="inlineStr">
        <is>
          <t>VINGÅKER</t>
        </is>
      </c>
      <c r="G1775" t="n">
        <v>2.4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35506-2020</t>
        </is>
      </c>
      <c r="B1776" s="1" t="n">
        <v>44042</v>
      </c>
      <c r="C1776" s="1" t="n">
        <v>45182</v>
      </c>
      <c r="D1776" t="inlineStr">
        <is>
          <t>SÖDERMANLANDS LÄN</t>
        </is>
      </c>
      <c r="E1776" t="inlineStr">
        <is>
          <t>ESKILSTUNA</t>
        </is>
      </c>
      <c r="G1776" t="n">
        <v>2.7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35501-2020</t>
        </is>
      </c>
      <c r="B1777" s="1" t="n">
        <v>44042</v>
      </c>
      <c r="C1777" s="1" t="n">
        <v>45182</v>
      </c>
      <c r="D1777" t="inlineStr">
        <is>
          <t>SÖDERMANLANDS LÄN</t>
        </is>
      </c>
      <c r="E1777" t="inlineStr">
        <is>
          <t>FLEN</t>
        </is>
      </c>
      <c r="G1777" t="n">
        <v>1.8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35560-2020</t>
        </is>
      </c>
      <c r="B1778" s="1" t="n">
        <v>44043</v>
      </c>
      <c r="C1778" s="1" t="n">
        <v>45182</v>
      </c>
      <c r="D1778" t="inlineStr">
        <is>
          <t>SÖDERMANLANDS LÄN</t>
        </is>
      </c>
      <c r="E1778" t="inlineStr">
        <is>
          <t>FLEN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35563-2020</t>
        </is>
      </c>
      <c r="B1779" s="1" t="n">
        <v>44043</v>
      </c>
      <c r="C1779" s="1" t="n">
        <v>45182</v>
      </c>
      <c r="D1779" t="inlineStr">
        <is>
          <t>SÖDERMANLANDS LÄN</t>
        </is>
      </c>
      <c r="E1779" t="inlineStr">
        <is>
          <t>FLEN</t>
        </is>
      </c>
      <c r="G1779" t="n">
        <v>0.7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35583-2020</t>
        </is>
      </c>
      <c r="B1780" s="1" t="n">
        <v>44043</v>
      </c>
      <c r="C1780" s="1" t="n">
        <v>45182</v>
      </c>
      <c r="D1780" t="inlineStr">
        <is>
          <t>SÖDERMANLANDS LÄN</t>
        </is>
      </c>
      <c r="E1780" t="inlineStr">
        <is>
          <t>KATRINEHOLM</t>
        </is>
      </c>
      <c r="G1780" t="n">
        <v>4.1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35698-2020</t>
        </is>
      </c>
      <c r="B1781" s="1" t="n">
        <v>44046</v>
      </c>
      <c r="C1781" s="1" t="n">
        <v>45182</v>
      </c>
      <c r="D1781" t="inlineStr">
        <is>
          <t>SÖDERMANLANDS LÄN</t>
        </is>
      </c>
      <c r="E1781" t="inlineStr">
        <is>
          <t>NYKÖPING</t>
        </is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35788-2020</t>
        </is>
      </c>
      <c r="B1782" s="1" t="n">
        <v>44046</v>
      </c>
      <c r="C1782" s="1" t="n">
        <v>45182</v>
      </c>
      <c r="D1782" t="inlineStr">
        <is>
          <t>SÖDERMANLANDS LÄN</t>
        </is>
      </c>
      <c r="E1782" t="inlineStr">
        <is>
          <t>STRÄNGNÄS</t>
        </is>
      </c>
      <c r="G1782" t="n">
        <v>2.7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35855-2020</t>
        </is>
      </c>
      <c r="B1783" s="1" t="n">
        <v>44047</v>
      </c>
      <c r="C1783" s="1" t="n">
        <v>45182</v>
      </c>
      <c r="D1783" t="inlineStr">
        <is>
          <t>SÖDERMANLANDS LÄN</t>
        </is>
      </c>
      <c r="E1783" t="inlineStr">
        <is>
          <t>NYKÖPING</t>
        </is>
      </c>
      <c r="G1783" t="n">
        <v>7.9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35817-2020</t>
        </is>
      </c>
      <c r="B1784" s="1" t="n">
        <v>44047</v>
      </c>
      <c r="C1784" s="1" t="n">
        <v>45182</v>
      </c>
      <c r="D1784" t="inlineStr">
        <is>
          <t>SÖDERMANLANDS LÄN</t>
        </is>
      </c>
      <c r="E1784" t="inlineStr">
        <is>
          <t>FLEN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35970-2020</t>
        </is>
      </c>
      <c r="B1785" s="1" t="n">
        <v>44047</v>
      </c>
      <c r="C1785" s="1" t="n">
        <v>45182</v>
      </c>
      <c r="D1785" t="inlineStr">
        <is>
          <t>SÖDERMANLANDS LÄN</t>
        </is>
      </c>
      <c r="E1785" t="inlineStr">
        <is>
          <t>KATRINEHOLM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36108-2020</t>
        </is>
      </c>
      <c r="B1786" s="1" t="n">
        <v>44048</v>
      </c>
      <c r="C1786" s="1" t="n">
        <v>45182</v>
      </c>
      <c r="D1786" t="inlineStr">
        <is>
          <t>SÖDERMANLANDS LÄN</t>
        </is>
      </c>
      <c r="E1786" t="inlineStr">
        <is>
          <t>NYKÖPING</t>
        </is>
      </c>
      <c r="G1786" t="n">
        <v>3.3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36236-2020</t>
        </is>
      </c>
      <c r="B1787" s="1" t="n">
        <v>44048</v>
      </c>
      <c r="C1787" s="1" t="n">
        <v>45182</v>
      </c>
      <c r="D1787" t="inlineStr">
        <is>
          <t>SÖDERMANLANDS LÄN</t>
        </is>
      </c>
      <c r="E1787" t="inlineStr">
        <is>
          <t>ESKILSTUNA</t>
        </is>
      </c>
      <c r="G1787" t="n">
        <v>5.9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36096-2020</t>
        </is>
      </c>
      <c r="B1788" s="1" t="n">
        <v>44048</v>
      </c>
      <c r="C1788" s="1" t="n">
        <v>45182</v>
      </c>
      <c r="D1788" t="inlineStr">
        <is>
          <t>SÖDERMANLANDS LÄN</t>
        </is>
      </c>
      <c r="E1788" t="inlineStr">
        <is>
          <t>VINGÅKER</t>
        </is>
      </c>
      <c r="G1788" t="n">
        <v>12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36120-2020</t>
        </is>
      </c>
      <c r="B1789" s="1" t="n">
        <v>44048</v>
      </c>
      <c r="C1789" s="1" t="n">
        <v>45182</v>
      </c>
      <c r="D1789" t="inlineStr">
        <is>
          <t>SÖDERMANLANDS LÄN</t>
        </is>
      </c>
      <c r="E1789" t="inlineStr">
        <is>
          <t>ESKILSTUNA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36317-2020</t>
        </is>
      </c>
      <c r="B1790" s="1" t="n">
        <v>44049</v>
      </c>
      <c r="C1790" s="1" t="n">
        <v>45182</v>
      </c>
      <c r="D1790" t="inlineStr">
        <is>
          <t>SÖDERMANLANDS LÄN</t>
        </is>
      </c>
      <c r="E1790" t="inlineStr">
        <is>
          <t>FLEN</t>
        </is>
      </c>
      <c r="G1790" t="n">
        <v>7.3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36366-2020</t>
        </is>
      </c>
      <c r="B1791" s="1" t="n">
        <v>44049</v>
      </c>
      <c r="C1791" s="1" t="n">
        <v>45182</v>
      </c>
      <c r="D1791" t="inlineStr">
        <is>
          <t>SÖDERMANLANDS LÄN</t>
        </is>
      </c>
      <c r="E1791" t="inlineStr">
        <is>
          <t>FLEN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36424-2020</t>
        </is>
      </c>
      <c r="B1792" s="1" t="n">
        <v>44049</v>
      </c>
      <c r="C1792" s="1" t="n">
        <v>45182</v>
      </c>
      <c r="D1792" t="inlineStr">
        <is>
          <t>SÖDERMANLANDS LÄN</t>
        </is>
      </c>
      <c r="E1792" t="inlineStr">
        <is>
          <t>KATRINEHOLM</t>
        </is>
      </c>
      <c r="F1792" t="inlineStr">
        <is>
          <t>Allmännings- och besparingsskogar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37028-2020</t>
        </is>
      </c>
      <c r="B1793" s="1" t="n">
        <v>44053</v>
      </c>
      <c r="C1793" s="1" t="n">
        <v>45182</v>
      </c>
      <c r="D1793" t="inlineStr">
        <is>
          <t>SÖDERMANLANDS LÄN</t>
        </is>
      </c>
      <c r="E1793" t="inlineStr">
        <is>
          <t>NYKÖPING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36766-2020</t>
        </is>
      </c>
      <c r="B1794" s="1" t="n">
        <v>44053</v>
      </c>
      <c r="C1794" s="1" t="n">
        <v>45182</v>
      </c>
      <c r="D1794" t="inlineStr">
        <is>
          <t>SÖDERMANLANDS LÄN</t>
        </is>
      </c>
      <c r="E1794" t="inlineStr">
        <is>
          <t>NYKÖPING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37029-2020</t>
        </is>
      </c>
      <c r="B1795" s="1" t="n">
        <v>44053</v>
      </c>
      <c r="C1795" s="1" t="n">
        <v>45182</v>
      </c>
      <c r="D1795" t="inlineStr">
        <is>
          <t>SÖDERMANLANDS LÄN</t>
        </is>
      </c>
      <c r="E1795" t="inlineStr">
        <is>
          <t>NYKÖPING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36880-2020</t>
        </is>
      </c>
      <c r="B1796" s="1" t="n">
        <v>44053</v>
      </c>
      <c r="C1796" s="1" t="n">
        <v>45182</v>
      </c>
      <c r="D1796" t="inlineStr">
        <is>
          <t>SÖDERMANLANDS LÄN</t>
        </is>
      </c>
      <c r="E1796" t="inlineStr">
        <is>
          <t>FLEN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36897-2020</t>
        </is>
      </c>
      <c r="B1797" s="1" t="n">
        <v>44053</v>
      </c>
      <c r="C1797" s="1" t="n">
        <v>45182</v>
      </c>
      <c r="D1797" t="inlineStr">
        <is>
          <t>SÖDERMANLANDS LÄN</t>
        </is>
      </c>
      <c r="E1797" t="inlineStr">
        <is>
          <t>NYKÖPING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36891-2020</t>
        </is>
      </c>
      <c r="B1798" s="1" t="n">
        <v>44053</v>
      </c>
      <c r="C1798" s="1" t="n">
        <v>45182</v>
      </c>
      <c r="D1798" t="inlineStr">
        <is>
          <t>SÖDERMANLANDS LÄN</t>
        </is>
      </c>
      <c r="E1798" t="inlineStr">
        <is>
          <t>FLEN</t>
        </is>
      </c>
      <c r="G1798" t="n">
        <v>1.7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37274-2020</t>
        </is>
      </c>
      <c r="B1799" s="1" t="n">
        <v>44054</v>
      </c>
      <c r="C1799" s="1" t="n">
        <v>45182</v>
      </c>
      <c r="D1799" t="inlineStr">
        <is>
          <t>SÖDERMANLANDS LÄN</t>
        </is>
      </c>
      <c r="E1799" t="inlineStr">
        <is>
          <t>FLEN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37092-2020</t>
        </is>
      </c>
      <c r="B1800" s="1" t="n">
        <v>44054</v>
      </c>
      <c r="C1800" s="1" t="n">
        <v>45182</v>
      </c>
      <c r="D1800" t="inlineStr">
        <is>
          <t>SÖDERMANLANDS LÄN</t>
        </is>
      </c>
      <c r="E1800" t="inlineStr">
        <is>
          <t>VINGÅKER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37214-2020</t>
        </is>
      </c>
      <c r="B1801" s="1" t="n">
        <v>44054</v>
      </c>
      <c r="C1801" s="1" t="n">
        <v>45182</v>
      </c>
      <c r="D1801" t="inlineStr">
        <is>
          <t>SÖDERMANLANDS LÄN</t>
        </is>
      </c>
      <c r="E1801" t="inlineStr">
        <is>
          <t>FLEN</t>
        </is>
      </c>
      <c r="G1801" t="n">
        <v>4.2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36998-2020</t>
        </is>
      </c>
      <c r="B1802" s="1" t="n">
        <v>44054</v>
      </c>
      <c r="C1802" s="1" t="n">
        <v>45182</v>
      </c>
      <c r="D1802" t="inlineStr">
        <is>
          <t>SÖDERMANLANDS LÄN</t>
        </is>
      </c>
      <c r="E1802" t="inlineStr">
        <is>
          <t>STRÄNGNÄS</t>
        </is>
      </c>
      <c r="G1802" t="n">
        <v>2.1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37272-2020</t>
        </is>
      </c>
      <c r="B1803" s="1" t="n">
        <v>44055</v>
      </c>
      <c r="C1803" s="1" t="n">
        <v>45182</v>
      </c>
      <c r="D1803" t="inlineStr">
        <is>
          <t>SÖDERMANLANDS LÄN</t>
        </is>
      </c>
      <c r="E1803" t="inlineStr">
        <is>
          <t>ESKILSTUNA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37267-2020</t>
        </is>
      </c>
      <c r="B1804" s="1" t="n">
        <v>44055</v>
      </c>
      <c r="C1804" s="1" t="n">
        <v>45182</v>
      </c>
      <c r="D1804" t="inlineStr">
        <is>
          <t>SÖDERMANLANDS LÄN</t>
        </is>
      </c>
      <c r="E1804" t="inlineStr">
        <is>
          <t>ESKILSTUNA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37438-2020</t>
        </is>
      </c>
      <c r="B1805" s="1" t="n">
        <v>44055</v>
      </c>
      <c r="C1805" s="1" t="n">
        <v>45182</v>
      </c>
      <c r="D1805" t="inlineStr">
        <is>
          <t>SÖDERMANLANDS LÄN</t>
        </is>
      </c>
      <c r="E1805" t="inlineStr">
        <is>
          <t>STRÄNGNÄS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37435-2020</t>
        </is>
      </c>
      <c r="B1806" s="1" t="n">
        <v>44055</v>
      </c>
      <c r="C1806" s="1" t="n">
        <v>45182</v>
      </c>
      <c r="D1806" t="inlineStr">
        <is>
          <t>SÖDERMANLANDS LÄN</t>
        </is>
      </c>
      <c r="E1806" t="inlineStr">
        <is>
          <t>STRÄNGNÄS</t>
        </is>
      </c>
      <c r="G1806" t="n">
        <v>8.1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37736-2020</t>
        </is>
      </c>
      <c r="B1807" s="1" t="n">
        <v>44056</v>
      </c>
      <c r="C1807" s="1" t="n">
        <v>45182</v>
      </c>
      <c r="D1807" t="inlineStr">
        <is>
          <t>SÖDERMANLANDS LÄN</t>
        </is>
      </c>
      <c r="E1807" t="inlineStr">
        <is>
          <t>FLEN</t>
        </is>
      </c>
      <c r="G1807" t="n">
        <v>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37573-2020</t>
        </is>
      </c>
      <c r="B1808" s="1" t="n">
        <v>44056</v>
      </c>
      <c r="C1808" s="1" t="n">
        <v>45182</v>
      </c>
      <c r="D1808" t="inlineStr">
        <is>
          <t>SÖDERMANLANDS LÄN</t>
        </is>
      </c>
      <c r="E1808" t="inlineStr">
        <is>
          <t>NYKÖPING</t>
        </is>
      </c>
      <c r="G1808" t="n">
        <v>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37763-2020</t>
        </is>
      </c>
      <c r="B1809" s="1" t="n">
        <v>44056</v>
      </c>
      <c r="C1809" s="1" t="n">
        <v>45182</v>
      </c>
      <c r="D1809" t="inlineStr">
        <is>
          <t>SÖDERMANLANDS LÄN</t>
        </is>
      </c>
      <c r="E1809" t="inlineStr">
        <is>
          <t>NYKÖPING</t>
        </is>
      </c>
      <c r="G1809" t="n">
        <v>4.7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37897-2020</t>
        </is>
      </c>
      <c r="B1810" s="1" t="n">
        <v>44057</v>
      </c>
      <c r="C1810" s="1" t="n">
        <v>45182</v>
      </c>
      <c r="D1810" t="inlineStr">
        <is>
          <t>SÖDERMANLANDS LÄN</t>
        </is>
      </c>
      <c r="E1810" t="inlineStr">
        <is>
          <t>FLEN</t>
        </is>
      </c>
      <c r="G1810" t="n">
        <v>6.3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37838-2020</t>
        </is>
      </c>
      <c r="B1811" s="1" t="n">
        <v>44057</v>
      </c>
      <c r="C1811" s="1" t="n">
        <v>45182</v>
      </c>
      <c r="D1811" t="inlineStr">
        <is>
          <t>SÖDERMANLANDS LÄN</t>
        </is>
      </c>
      <c r="E1811" t="inlineStr">
        <is>
          <t>NYKÖPING</t>
        </is>
      </c>
      <c r="G1811" t="n">
        <v>3.1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38126-2020</t>
        </is>
      </c>
      <c r="B1812" s="1" t="n">
        <v>44059</v>
      </c>
      <c r="C1812" s="1" t="n">
        <v>45182</v>
      </c>
      <c r="D1812" t="inlineStr">
        <is>
          <t>SÖDERMANLANDS LÄN</t>
        </is>
      </c>
      <c r="E1812" t="inlineStr">
        <is>
          <t>NYKÖPING</t>
        </is>
      </c>
      <c r="G1812" t="n">
        <v>1.2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38301-2020</t>
        </is>
      </c>
      <c r="B1813" s="1" t="n">
        <v>44060</v>
      </c>
      <c r="C1813" s="1" t="n">
        <v>45182</v>
      </c>
      <c r="D1813" t="inlineStr">
        <is>
          <t>SÖDERMANLANDS LÄN</t>
        </is>
      </c>
      <c r="E1813" t="inlineStr">
        <is>
          <t>KATRINEHOLM</t>
        </is>
      </c>
      <c r="G1813" t="n">
        <v>3.6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38279-2020</t>
        </is>
      </c>
      <c r="B1814" s="1" t="n">
        <v>44060</v>
      </c>
      <c r="C1814" s="1" t="n">
        <v>45182</v>
      </c>
      <c r="D1814" t="inlineStr">
        <is>
          <t>SÖDERMANLANDS LÄN</t>
        </is>
      </c>
      <c r="E1814" t="inlineStr">
        <is>
          <t>NYKÖPING</t>
        </is>
      </c>
      <c r="G1814" t="n">
        <v>19.9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38244-2020</t>
        </is>
      </c>
      <c r="B1815" s="1" t="n">
        <v>44060</v>
      </c>
      <c r="C1815" s="1" t="n">
        <v>45182</v>
      </c>
      <c r="D1815" t="inlineStr">
        <is>
          <t>SÖDERMANLANDS LÄN</t>
        </is>
      </c>
      <c r="E1815" t="inlineStr">
        <is>
          <t>GNESTA</t>
        </is>
      </c>
      <c r="G1815" t="n">
        <v>6.8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38450-2020</t>
        </is>
      </c>
      <c r="B1816" s="1" t="n">
        <v>44060</v>
      </c>
      <c r="C1816" s="1" t="n">
        <v>45182</v>
      </c>
      <c r="D1816" t="inlineStr">
        <is>
          <t>SÖDERMANLANDS LÄN</t>
        </is>
      </c>
      <c r="E1816" t="inlineStr">
        <is>
          <t>ESKILSTUNA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38625-2020</t>
        </is>
      </c>
      <c r="B1817" s="1" t="n">
        <v>44061</v>
      </c>
      <c r="C1817" s="1" t="n">
        <v>45182</v>
      </c>
      <c r="D1817" t="inlineStr">
        <is>
          <t>SÖDERMANLANDS LÄN</t>
        </is>
      </c>
      <c r="E1817" t="inlineStr">
        <is>
          <t>KATRINEHOLM</t>
        </is>
      </c>
      <c r="G1817" t="n">
        <v>8.300000000000001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38778-2020</t>
        </is>
      </c>
      <c r="B1818" s="1" t="n">
        <v>44061</v>
      </c>
      <c r="C1818" s="1" t="n">
        <v>45182</v>
      </c>
      <c r="D1818" t="inlineStr">
        <is>
          <t>SÖDERMANLANDS LÄN</t>
        </is>
      </c>
      <c r="E1818" t="inlineStr">
        <is>
          <t>GNESTA</t>
        </is>
      </c>
      <c r="G1818" t="n">
        <v>2.1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38584-2020</t>
        </is>
      </c>
      <c r="B1819" s="1" t="n">
        <v>44061</v>
      </c>
      <c r="C1819" s="1" t="n">
        <v>45182</v>
      </c>
      <c r="D1819" t="inlineStr">
        <is>
          <t>SÖDERMANLANDS LÄN</t>
        </is>
      </c>
      <c r="E1819" t="inlineStr">
        <is>
          <t>KATRINEHOLM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38613-2020</t>
        </is>
      </c>
      <c r="B1820" s="1" t="n">
        <v>44061</v>
      </c>
      <c r="C1820" s="1" t="n">
        <v>45182</v>
      </c>
      <c r="D1820" t="inlineStr">
        <is>
          <t>SÖDERMANLANDS LÄN</t>
        </is>
      </c>
      <c r="E1820" t="inlineStr">
        <is>
          <t>FLEN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38845-2020</t>
        </is>
      </c>
      <c r="B1821" s="1" t="n">
        <v>44062</v>
      </c>
      <c r="C1821" s="1" t="n">
        <v>45182</v>
      </c>
      <c r="D1821" t="inlineStr">
        <is>
          <t>SÖDERMANLANDS LÄN</t>
        </is>
      </c>
      <c r="E1821" t="inlineStr">
        <is>
          <t>NYKÖPING</t>
        </is>
      </c>
      <c r="G1821" t="n">
        <v>6.9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38854-2020</t>
        </is>
      </c>
      <c r="B1822" s="1" t="n">
        <v>44062</v>
      </c>
      <c r="C1822" s="1" t="n">
        <v>45182</v>
      </c>
      <c r="D1822" t="inlineStr">
        <is>
          <t>SÖDERMANLANDS LÄN</t>
        </is>
      </c>
      <c r="E1822" t="inlineStr">
        <is>
          <t>FLEN</t>
        </is>
      </c>
      <c r="G1822" t="n">
        <v>4.7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38883-2020</t>
        </is>
      </c>
      <c r="B1823" s="1" t="n">
        <v>44062</v>
      </c>
      <c r="C1823" s="1" t="n">
        <v>45182</v>
      </c>
      <c r="D1823" t="inlineStr">
        <is>
          <t>SÖDERMANLANDS LÄN</t>
        </is>
      </c>
      <c r="E1823" t="inlineStr">
        <is>
          <t>KATRINEHOLM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38849-2020</t>
        </is>
      </c>
      <c r="B1824" s="1" t="n">
        <v>44062</v>
      </c>
      <c r="C1824" s="1" t="n">
        <v>45182</v>
      </c>
      <c r="D1824" t="inlineStr">
        <is>
          <t>SÖDERMANLANDS LÄN</t>
        </is>
      </c>
      <c r="E1824" t="inlineStr">
        <is>
          <t>FLEN</t>
        </is>
      </c>
      <c r="G1824" t="n">
        <v>1.1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38877-2020</t>
        </is>
      </c>
      <c r="B1825" s="1" t="n">
        <v>44062</v>
      </c>
      <c r="C1825" s="1" t="n">
        <v>45182</v>
      </c>
      <c r="D1825" t="inlineStr">
        <is>
          <t>SÖDERMANLANDS LÄN</t>
        </is>
      </c>
      <c r="E1825" t="inlineStr">
        <is>
          <t>TROSA</t>
        </is>
      </c>
      <c r="G1825" t="n">
        <v>1.9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39197-2020</t>
        </is>
      </c>
      <c r="B1826" s="1" t="n">
        <v>44063</v>
      </c>
      <c r="C1826" s="1" t="n">
        <v>45182</v>
      </c>
      <c r="D1826" t="inlineStr">
        <is>
          <t>SÖDERMANLANDS LÄN</t>
        </is>
      </c>
      <c r="E1826" t="inlineStr">
        <is>
          <t>NYKÖPING</t>
        </is>
      </c>
      <c r="G1826" t="n">
        <v>5.3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39866-2020</t>
        </is>
      </c>
      <c r="B1827" s="1" t="n">
        <v>44064</v>
      </c>
      <c r="C1827" s="1" t="n">
        <v>45182</v>
      </c>
      <c r="D1827" t="inlineStr">
        <is>
          <t>SÖDERMANLANDS LÄN</t>
        </is>
      </c>
      <c r="E1827" t="inlineStr">
        <is>
          <t>VINGÅKER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39938-2020</t>
        </is>
      </c>
      <c r="B1828" s="1" t="n">
        <v>44067</v>
      </c>
      <c r="C1828" s="1" t="n">
        <v>45182</v>
      </c>
      <c r="D1828" t="inlineStr">
        <is>
          <t>SÖDERMANLANDS LÄN</t>
        </is>
      </c>
      <c r="E1828" t="inlineStr">
        <is>
          <t>NYKÖPING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40693-2020</t>
        </is>
      </c>
      <c r="B1829" s="1" t="n">
        <v>44067</v>
      </c>
      <c r="C1829" s="1" t="n">
        <v>45182</v>
      </c>
      <c r="D1829" t="inlineStr">
        <is>
          <t>SÖDERMANLANDS LÄN</t>
        </is>
      </c>
      <c r="E1829" t="inlineStr">
        <is>
          <t>FLEN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39772-2020</t>
        </is>
      </c>
      <c r="B1830" s="1" t="n">
        <v>44067</v>
      </c>
      <c r="C1830" s="1" t="n">
        <v>45182</v>
      </c>
      <c r="D1830" t="inlineStr">
        <is>
          <t>SÖDERMANLANDS LÄN</t>
        </is>
      </c>
      <c r="E1830" t="inlineStr">
        <is>
          <t>NYKÖPING</t>
        </is>
      </c>
      <c r="G1830" t="n">
        <v>7.6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39963-2020</t>
        </is>
      </c>
      <c r="B1831" s="1" t="n">
        <v>44067</v>
      </c>
      <c r="C1831" s="1" t="n">
        <v>45182</v>
      </c>
      <c r="D1831" t="inlineStr">
        <is>
          <t>SÖDERMANLANDS LÄN</t>
        </is>
      </c>
      <c r="E1831" t="inlineStr">
        <is>
          <t>TROSA</t>
        </is>
      </c>
      <c r="F1831" t="inlineStr">
        <is>
          <t>Kommuner</t>
        </is>
      </c>
      <c r="G1831" t="n">
        <v>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40352-2020</t>
        </is>
      </c>
      <c r="B1832" s="1" t="n">
        <v>44068</v>
      </c>
      <c r="C1832" s="1" t="n">
        <v>45182</v>
      </c>
      <c r="D1832" t="inlineStr">
        <is>
          <t>SÖDERMANLANDS LÄN</t>
        </is>
      </c>
      <c r="E1832" t="inlineStr">
        <is>
          <t>GNESTA</t>
        </is>
      </c>
      <c r="G1832" t="n">
        <v>3.2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40259-2020</t>
        </is>
      </c>
      <c r="B1833" s="1" t="n">
        <v>44068</v>
      </c>
      <c r="C1833" s="1" t="n">
        <v>45182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  <c r="U1833">
        <f>HYPERLINK("https://klasma.github.io/Logging_KATRINEHOLM/knärot/A 40259-2020.png")</f>
        <v/>
      </c>
      <c r="V1833">
        <f>HYPERLINK("https://klasma.github.io/Logging_KATRINEHOLM/klagomål/A 40259-2020.docx")</f>
        <v/>
      </c>
      <c r="W1833">
        <f>HYPERLINK("https://klasma.github.io/Logging_KATRINEHOLM/klagomålsmail/A 40259-2020.docx")</f>
        <v/>
      </c>
      <c r="X1833">
        <f>HYPERLINK("https://klasma.github.io/Logging_KATRINEHOLM/tillsyn/A 40259-2020.docx")</f>
        <v/>
      </c>
      <c r="Y1833">
        <f>HYPERLINK("https://klasma.github.io/Logging_KATRINEHOLM/tillsynsmail/A 40259-2020.docx")</f>
        <v/>
      </c>
    </row>
    <row r="1834" ht="15" customHeight="1">
      <c r="A1834" t="inlineStr">
        <is>
          <t>A 40230-2020</t>
        </is>
      </c>
      <c r="B1834" s="1" t="n">
        <v>44068</v>
      </c>
      <c r="C1834" s="1" t="n">
        <v>45182</v>
      </c>
      <c r="D1834" t="inlineStr">
        <is>
          <t>SÖDERMANLANDS LÄN</t>
        </is>
      </c>
      <c r="E1834" t="inlineStr">
        <is>
          <t>KATRINEHOLM</t>
        </is>
      </c>
      <c r="F1834" t="inlineStr">
        <is>
          <t>Kommuner</t>
        </is>
      </c>
      <c r="G1834" t="n">
        <v>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40362-2020</t>
        </is>
      </c>
      <c r="B1835" s="1" t="n">
        <v>44068</v>
      </c>
      <c r="C1835" s="1" t="n">
        <v>45182</v>
      </c>
      <c r="D1835" t="inlineStr">
        <is>
          <t>SÖDERMANLANDS LÄN</t>
        </is>
      </c>
      <c r="E1835" t="inlineStr">
        <is>
          <t>ESKILSTUNA</t>
        </is>
      </c>
      <c r="G1835" t="n">
        <v>9.199999999999999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41266-2020</t>
        </is>
      </c>
      <c r="B1836" s="1" t="n">
        <v>44069</v>
      </c>
      <c r="C1836" s="1" t="n">
        <v>45182</v>
      </c>
      <c r="D1836" t="inlineStr">
        <is>
          <t>SÖDERMANLANDS LÄN</t>
        </is>
      </c>
      <c r="E1836" t="inlineStr">
        <is>
          <t>ESKILSTUNA</t>
        </is>
      </c>
      <c r="G1836" t="n">
        <v>32.6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40428-2020</t>
        </is>
      </c>
      <c r="B1837" s="1" t="n">
        <v>44069</v>
      </c>
      <c r="C1837" s="1" t="n">
        <v>45182</v>
      </c>
      <c r="D1837" t="inlineStr">
        <is>
          <t>SÖDERMANLANDS LÄN</t>
        </is>
      </c>
      <c r="E1837" t="inlineStr">
        <is>
          <t>STRÄNGNÄS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40498-2020</t>
        </is>
      </c>
      <c r="B1838" s="1" t="n">
        <v>44069</v>
      </c>
      <c r="C1838" s="1" t="n">
        <v>45182</v>
      </c>
      <c r="D1838" t="inlineStr">
        <is>
          <t>SÖDERMANLANDS LÄN</t>
        </is>
      </c>
      <c r="E1838" t="inlineStr">
        <is>
          <t>TROSA</t>
        </is>
      </c>
      <c r="G1838" t="n">
        <v>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40722-2020</t>
        </is>
      </c>
      <c r="B1839" s="1" t="n">
        <v>44069</v>
      </c>
      <c r="C1839" s="1" t="n">
        <v>45182</v>
      </c>
      <c r="D1839" t="inlineStr">
        <is>
          <t>SÖDERMANLANDS LÄN</t>
        </is>
      </c>
      <c r="E1839" t="inlineStr">
        <is>
          <t>STRÄNGNÄS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40710-2020</t>
        </is>
      </c>
      <c r="B1840" s="1" t="n">
        <v>44069</v>
      </c>
      <c r="C1840" s="1" t="n">
        <v>45182</v>
      </c>
      <c r="D1840" t="inlineStr">
        <is>
          <t>SÖDERMANLANDS LÄN</t>
        </is>
      </c>
      <c r="E1840" t="inlineStr">
        <is>
          <t>ESKILSTUNA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41140-2020</t>
        </is>
      </c>
      <c r="B1841" s="1" t="n">
        <v>44069</v>
      </c>
      <c r="C1841" s="1" t="n">
        <v>45182</v>
      </c>
      <c r="D1841" t="inlineStr">
        <is>
          <t>SÖDERMANLANDS LÄN</t>
        </is>
      </c>
      <c r="E1841" t="inlineStr">
        <is>
          <t>STRÄNGNÄS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41293-2020</t>
        </is>
      </c>
      <c r="B1842" s="1" t="n">
        <v>44069</v>
      </c>
      <c r="C1842" s="1" t="n">
        <v>45182</v>
      </c>
      <c r="D1842" t="inlineStr">
        <is>
          <t>SÖDERMANLANDS LÄN</t>
        </is>
      </c>
      <c r="E1842" t="inlineStr">
        <is>
          <t>ESKILSTUNA</t>
        </is>
      </c>
      <c r="G1842" t="n">
        <v>29.8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40503-2020</t>
        </is>
      </c>
      <c r="B1843" s="1" t="n">
        <v>44069</v>
      </c>
      <c r="C1843" s="1" t="n">
        <v>45182</v>
      </c>
      <c r="D1843" t="inlineStr">
        <is>
          <t>SÖDERMANLANDS LÄN</t>
        </is>
      </c>
      <c r="E1843" t="inlineStr">
        <is>
          <t>NYKÖPING</t>
        </is>
      </c>
      <c r="G1843" t="n">
        <v>12.8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40840-2020</t>
        </is>
      </c>
      <c r="B1844" s="1" t="n">
        <v>44070</v>
      </c>
      <c r="C1844" s="1" t="n">
        <v>45182</v>
      </c>
      <c r="D1844" t="inlineStr">
        <is>
          <t>SÖDERMANLANDS LÄN</t>
        </is>
      </c>
      <c r="E1844" t="inlineStr">
        <is>
          <t>VINGÅKER</t>
        </is>
      </c>
      <c r="F1844" t="inlineStr">
        <is>
          <t>Övriga Aktiebolag</t>
        </is>
      </c>
      <c r="G1844" t="n">
        <v>2.2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41479-2020</t>
        </is>
      </c>
      <c r="B1845" s="1" t="n">
        <v>44070</v>
      </c>
      <c r="C1845" s="1" t="n">
        <v>45182</v>
      </c>
      <c r="D1845" t="inlineStr">
        <is>
          <t>SÖDERMANLANDS LÄN</t>
        </is>
      </c>
      <c r="E1845" t="inlineStr">
        <is>
          <t>NYKÖPING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40922-2020</t>
        </is>
      </c>
      <c r="B1846" s="1" t="n">
        <v>44070</v>
      </c>
      <c r="C1846" s="1" t="n">
        <v>45182</v>
      </c>
      <c r="D1846" t="inlineStr">
        <is>
          <t>SÖDERMANLANDS LÄN</t>
        </is>
      </c>
      <c r="E1846" t="inlineStr">
        <is>
          <t>ESKILSTUNA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41318-2020</t>
        </is>
      </c>
      <c r="B1847" s="1" t="n">
        <v>44071</v>
      </c>
      <c r="C1847" s="1" t="n">
        <v>45182</v>
      </c>
      <c r="D1847" t="inlineStr">
        <is>
          <t>SÖDERMANLANDS LÄN</t>
        </is>
      </c>
      <c r="E1847" t="inlineStr">
        <is>
          <t>STRÄNGNÄS</t>
        </is>
      </c>
      <c r="G1847" t="n">
        <v>2.2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41790-2020</t>
        </is>
      </c>
      <c r="B1848" s="1" t="n">
        <v>44074</v>
      </c>
      <c r="C1848" s="1" t="n">
        <v>45182</v>
      </c>
      <c r="D1848" t="inlineStr">
        <is>
          <t>SÖDERMANLANDS LÄN</t>
        </is>
      </c>
      <c r="E1848" t="inlineStr">
        <is>
          <t>NYKÖPING</t>
        </is>
      </c>
      <c r="F1848" t="inlineStr">
        <is>
          <t>Holmen skog AB</t>
        </is>
      </c>
      <c r="G1848" t="n">
        <v>3.9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41597-2020</t>
        </is>
      </c>
      <c r="B1849" s="1" t="n">
        <v>44074</v>
      </c>
      <c r="C1849" s="1" t="n">
        <v>45182</v>
      </c>
      <c r="D1849" t="inlineStr">
        <is>
          <t>SÖDERMANLANDS LÄN</t>
        </is>
      </c>
      <c r="E1849" t="inlineStr">
        <is>
          <t>ESKILSTUNA</t>
        </is>
      </c>
      <c r="F1849" t="inlineStr">
        <is>
          <t>Sveaskog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41821-2020</t>
        </is>
      </c>
      <c r="B1850" s="1" t="n">
        <v>44074</v>
      </c>
      <c r="C1850" s="1" t="n">
        <v>45182</v>
      </c>
      <c r="D1850" t="inlineStr">
        <is>
          <t>SÖDERMANLANDS LÄN</t>
        </is>
      </c>
      <c r="E1850" t="inlineStr">
        <is>
          <t>NYKÖPING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41950-2020</t>
        </is>
      </c>
      <c r="B1851" s="1" t="n">
        <v>44075</v>
      </c>
      <c r="C1851" s="1" t="n">
        <v>45182</v>
      </c>
      <c r="D1851" t="inlineStr">
        <is>
          <t>SÖDERMANLANDS LÄN</t>
        </is>
      </c>
      <c r="E1851" t="inlineStr">
        <is>
          <t>ESKILSTUNA</t>
        </is>
      </c>
      <c r="G1851" t="n">
        <v>1.9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42689-2020</t>
        </is>
      </c>
      <c r="B1852" s="1" t="n">
        <v>44075</v>
      </c>
      <c r="C1852" s="1" t="n">
        <v>45182</v>
      </c>
      <c r="D1852" t="inlineStr">
        <is>
          <t>SÖDERMANLANDS LÄN</t>
        </is>
      </c>
      <c r="E1852" t="inlineStr">
        <is>
          <t>KATRINEHOLM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42641-2020</t>
        </is>
      </c>
      <c r="B1853" s="1" t="n">
        <v>44075</v>
      </c>
      <c r="C1853" s="1" t="n">
        <v>45182</v>
      </c>
      <c r="D1853" t="inlineStr">
        <is>
          <t>SÖDERMANLANDS LÄN</t>
        </is>
      </c>
      <c r="E1853" t="inlineStr">
        <is>
          <t>KATRINEHOLM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42824-2020</t>
        </is>
      </c>
      <c r="B1854" s="1" t="n">
        <v>44078</v>
      </c>
      <c r="C1854" s="1" t="n">
        <v>45182</v>
      </c>
      <c r="D1854" t="inlineStr">
        <is>
          <t>SÖDERMANLANDS LÄN</t>
        </is>
      </c>
      <c r="E1854" t="inlineStr">
        <is>
          <t>NYKÖPING</t>
        </is>
      </c>
      <c r="G1854" t="n">
        <v>4.2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42829-2020</t>
        </is>
      </c>
      <c r="B1855" s="1" t="n">
        <v>44078</v>
      </c>
      <c r="C1855" s="1" t="n">
        <v>45182</v>
      </c>
      <c r="D1855" t="inlineStr">
        <is>
          <t>SÖDERMANLANDS LÄN</t>
        </is>
      </c>
      <c r="E1855" t="inlineStr">
        <is>
          <t>NYKÖPING</t>
        </is>
      </c>
      <c r="G1855" t="n">
        <v>5.3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42820-2020</t>
        </is>
      </c>
      <c r="B1856" s="1" t="n">
        <v>44078</v>
      </c>
      <c r="C1856" s="1" t="n">
        <v>45182</v>
      </c>
      <c r="D1856" t="inlineStr">
        <is>
          <t>SÖDERMANLANDS LÄN</t>
        </is>
      </c>
      <c r="E1856" t="inlineStr">
        <is>
          <t>NYKÖPING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42825-2020</t>
        </is>
      </c>
      <c r="B1857" s="1" t="n">
        <v>44078</v>
      </c>
      <c r="C1857" s="1" t="n">
        <v>45182</v>
      </c>
      <c r="D1857" t="inlineStr">
        <is>
          <t>SÖDERMANLANDS LÄN</t>
        </is>
      </c>
      <c r="E1857" t="inlineStr">
        <is>
          <t>NYKÖPING</t>
        </is>
      </c>
      <c r="G1857" t="n">
        <v>5.8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42832-2020</t>
        </is>
      </c>
      <c r="B1858" s="1" t="n">
        <v>44078</v>
      </c>
      <c r="C1858" s="1" t="n">
        <v>45182</v>
      </c>
      <c r="D1858" t="inlineStr">
        <is>
          <t>SÖDERMANLANDS LÄN</t>
        </is>
      </c>
      <c r="E1858" t="inlineStr">
        <is>
          <t>NYKÖPING</t>
        </is>
      </c>
      <c r="G1858" t="n">
        <v>6.8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42827-2020</t>
        </is>
      </c>
      <c r="B1859" s="1" t="n">
        <v>44078</v>
      </c>
      <c r="C1859" s="1" t="n">
        <v>45182</v>
      </c>
      <c r="D1859" t="inlineStr">
        <is>
          <t>SÖDERMANLANDS LÄN</t>
        </is>
      </c>
      <c r="E1859" t="inlineStr">
        <is>
          <t>NYKÖPING</t>
        </is>
      </c>
      <c r="G1859" t="n">
        <v>9.300000000000001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43583-2020</t>
        </is>
      </c>
      <c r="B1860" s="1" t="n">
        <v>44078</v>
      </c>
      <c r="C1860" s="1" t="n">
        <v>45182</v>
      </c>
      <c r="D1860" t="inlineStr">
        <is>
          <t>SÖDERMANLANDS LÄN</t>
        </is>
      </c>
      <c r="E1860" t="inlineStr">
        <is>
          <t>NYKÖPING</t>
        </is>
      </c>
      <c r="G1860" t="n">
        <v>2.2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42822-2020</t>
        </is>
      </c>
      <c r="B1861" s="1" t="n">
        <v>44078</v>
      </c>
      <c r="C1861" s="1" t="n">
        <v>45182</v>
      </c>
      <c r="D1861" t="inlineStr">
        <is>
          <t>SÖDERMANLANDS LÄN</t>
        </is>
      </c>
      <c r="E1861" t="inlineStr">
        <is>
          <t>NYKÖPING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43378-2020</t>
        </is>
      </c>
      <c r="B1862" s="1" t="n">
        <v>44081</v>
      </c>
      <c r="C1862" s="1" t="n">
        <v>45182</v>
      </c>
      <c r="D1862" t="inlineStr">
        <is>
          <t>SÖDERMANLANDS LÄN</t>
        </is>
      </c>
      <c r="E1862" t="inlineStr">
        <is>
          <t>STRÄNGNÄS</t>
        </is>
      </c>
      <c r="G1862" t="n">
        <v>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43411-2020</t>
        </is>
      </c>
      <c r="B1863" s="1" t="n">
        <v>44081</v>
      </c>
      <c r="C1863" s="1" t="n">
        <v>45182</v>
      </c>
      <c r="D1863" t="inlineStr">
        <is>
          <t>SÖDERMANLANDS LÄN</t>
        </is>
      </c>
      <c r="E1863" t="inlineStr">
        <is>
          <t>ESKILSTUNA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43569-2020</t>
        </is>
      </c>
      <c r="B1864" s="1" t="n">
        <v>44082</v>
      </c>
      <c r="C1864" s="1" t="n">
        <v>45182</v>
      </c>
      <c r="D1864" t="inlineStr">
        <is>
          <t>SÖDERMANLANDS LÄN</t>
        </is>
      </c>
      <c r="E1864" t="inlineStr">
        <is>
          <t>NYKÖPING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43639-2020</t>
        </is>
      </c>
      <c r="B1865" s="1" t="n">
        <v>44082</v>
      </c>
      <c r="C1865" s="1" t="n">
        <v>45182</v>
      </c>
      <c r="D1865" t="inlineStr">
        <is>
          <t>SÖDERMANLANDS LÄN</t>
        </is>
      </c>
      <c r="E1865" t="inlineStr">
        <is>
          <t>NYKÖPING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43649-2020</t>
        </is>
      </c>
      <c r="B1866" s="1" t="n">
        <v>44082</v>
      </c>
      <c r="C1866" s="1" t="n">
        <v>45182</v>
      </c>
      <c r="D1866" t="inlineStr">
        <is>
          <t>SÖDERMANLANDS LÄN</t>
        </is>
      </c>
      <c r="E1866" t="inlineStr">
        <is>
          <t>KATRINEHOLM</t>
        </is>
      </c>
      <c r="G1866" t="n">
        <v>6.9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44252-2020</t>
        </is>
      </c>
      <c r="B1867" s="1" t="n">
        <v>44082</v>
      </c>
      <c r="C1867" s="1" t="n">
        <v>45182</v>
      </c>
      <c r="D1867" t="inlineStr">
        <is>
          <t>SÖDERMANLANDS LÄN</t>
        </is>
      </c>
      <c r="E1867" t="inlineStr">
        <is>
          <t>VINGÅKER</t>
        </is>
      </c>
      <c r="G1867" t="n">
        <v>10.9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43597-2020</t>
        </is>
      </c>
      <c r="B1868" s="1" t="n">
        <v>44082</v>
      </c>
      <c r="C1868" s="1" t="n">
        <v>45182</v>
      </c>
      <c r="D1868" t="inlineStr">
        <is>
          <t>SÖDERMANLANDS LÄN</t>
        </is>
      </c>
      <c r="E1868" t="inlineStr">
        <is>
          <t>VINGÅKER</t>
        </is>
      </c>
      <c r="F1868" t="inlineStr">
        <is>
          <t>Övriga Aktiebolag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43693-2020</t>
        </is>
      </c>
      <c r="B1869" s="1" t="n">
        <v>44082</v>
      </c>
      <c r="C1869" s="1" t="n">
        <v>45182</v>
      </c>
      <c r="D1869" t="inlineStr">
        <is>
          <t>SÖDERMANLANDS LÄN</t>
        </is>
      </c>
      <c r="E1869" t="inlineStr">
        <is>
          <t>NYKÖPING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43886-2020</t>
        </is>
      </c>
      <c r="B1870" s="1" t="n">
        <v>44082</v>
      </c>
      <c r="C1870" s="1" t="n">
        <v>45182</v>
      </c>
      <c r="D1870" t="inlineStr">
        <is>
          <t>SÖDERMANLANDS LÄN</t>
        </is>
      </c>
      <c r="E1870" t="inlineStr">
        <is>
          <t>NYKÖPING</t>
        </is>
      </c>
      <c r="F1870" t="inlineStr">
        <is>
          <t>Kyrkan</t>
        </is>
      </c>
      <c r="G1870" t="n">
        <v>2.3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43642-2020</t>
        </is>
      </c>
      <c r="B1871" s="1" t="n">
        <v>44082</v>
      </c>
      <c r="C1871" s="1" t="n">
        <v>45182</v>
      </c>
      <c r="D1871" t="inlineStr">
        <is>
          <t>SÖDERMANLANDS LÄN</t>
        </is>
      </c>
      <c r="E1871" t="inlineStr">
        <is>
          <t>NYKÖPING</t>
        </is>
      </c>
      <c r="G1871" t="n">
        <v>3.9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44528-2020</t>
        </is>
      </c>
      <c r="B1872" s="1" t="n">
        <v>44084</v>
      </c>
      <c r="C1872" s="1" t="n">
        <v>45182</v>
      </c>
      <c r="D1872" t="inlineStr">
        <is>
          <t>SÖDERMANLANDS LÄN</t>
        </is>
      </c>
      <c r="E1872" t="inlineStr">
        <is>
          <t>GNESTA</t>
        </is>
      </c>
      <c r="G1872" t="n">
        <v>4.2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44254-2020</t>
        </is>
      </c>
      <c r="B1873" s="1" t="n">
        <v>44084</v>
      </c>
      <c r="C1873" s="1" t="n">
        <v>45182</v>
      </c>
      <c r="D1873" t="inlineStr">
        <is>
          <t>SÖDERMANLANDS LÄN</t>
        </is>
      </c>
      <c r="E1873" t="inlineStr">
        <is>
          <t>NYKÖPING</t>
        </is>
      </c>
      <c r="G1873" t="n">
        <v>3.2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44808-2020</t>
        </is>
      </c>
      <c r="B1874" s="1" t="n">
        <v>44085</v>
      </c>
      <c r="C1874" s="1" t="n">
        <v>45182</v>
      </c>
      <c r="D1874" t="inlineStr">
        <is>
          <t>SÖDERMANLANDS LÄN</t>
        </is>
      </c>
      <c r="E1874" t="inlineStr">
        <is>
          <t>GNESTA</t>
        </is>
      </c>
      <c r="G1874" t="n">
        <v>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45305-2020</t>
        </is>
      </c>
      <c r="B1875" s="1" t="n">
        <v>44085</v>
      </c>
      <c r="C1875" s="1" t="n">
        <v>45182</v>
      </c>
      <c r="D1875" t="inlineStr">
        <is>
          <t>SÖDERMANLANDS LÄN</t>
        </is>
      </c>
      <c r="E1875" t="inlineStr">
        <is>
          <t>FLEN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45315-2020</t>
        </is>
      </c>
      <c r="B1876" s="1" t="n">
        <v>44085</v>
      </c>
      <c r="C1876" s="1" t="n">
        <v>45182</v>
      </c>
      <c r="D1876" t="inlineStr">
        <is>
          <t>SÖDERMANLANDS LÄN</t>
        </is>
      </c>
      <c r="E1876" t="inlineStr">
        <is>
          <t>FLEN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45347-2020</t>
        </is>
      </c>
      <c r="B1877" s="1" t="n">
        <v>44085</v>
      </c>
      <c r="C1877" s="1" t="n">
        <v>45182</v>
      </c>
      <c r="D1877" t="inlineStr">
        <is>
          <t>SÖDERMANLANDS LÄN</t>
        </is>
      </c>
      <c r="E1877" t="inlineStr">
        <is>
          <t>FLEN</t>
        </is>
      </c>
      <c r="G1877" t="n">
        <v>3.6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44594-2020</t>
        </is>
      </c>
      <c r="B1878" s="1" t="n">
        <v>44085</v>
      </c>
      <c r="C1878" s="1" t="n">
        <v>45182</v>
      </c>
      <c r="D1878" t="inlineStr">
        <is>
          <t>SÖDERMANLANDS LÄN</t>
        </is>
      </c>
      <c r="E1878" t="inlineStr">
        <is>
          <t>STRÄNGNÄS</t>
        </is>
      </c>
      <c r="F1878" t="inlineStr">
        <is>
          <t>Övriga Aktiebolag</t>
        </is>
      </c>
      <c r="G1878" t="n">
        <v>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44768-2020</t>
        </is>
      </c>
      <c r="B1879" s="1" t="n">
        <v>44085</v>
      </c>
      <c r="C1879" s="1" t="n">
        <v>45182</v>
      </c>
      <c r="D1879" t="inlineStr">
        <is>
          <t>SÖDERMANLANDS LÄN</t>
        </is>
      </c>
      <c r="E1879" t="inlineStr">
        <is>
          <t>ESKILSTUNA</t>
        </is>
      </c>
      <c r="F1879" t="inlineStr">
        <is>
          <t>Allmännings- och besparingsskogar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44783-2020</t>
        </is>
      </c>
      <c r="B1880" s="1" t="n">
        <v>44085</v>
      </c>
      <c r="C1880" s="1" t="n">
        <v>45182</v>
      </c>
      <c r="D1880" t="inlineStr">
        <is>
          <t>SÖDERMANLANDS LÄN</t>
        </is>
      </c>
      <c r="E1880" t="inlineStr">
        <is>
          <t>KATRINEHOLM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44803-2020</t>
        </is>
      </c>
      <c r="B1881" s="1" t="n">
        <v>44085</v>
      </c>
      <c r="C1881" s="1" t="n">
        <v>45182</v>
      </c>
      <c r="D1881" t="inlineStr">
        <is>
          <t>SÖDERMANLANDS LÄN</t>
        </is>
      </c>
      <c r="E1881" t="inlineStr">
        <is>
          <t>GNESTA</t>
        </is>
      </c>
      <c r="G1881" t="n">
        <v>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44691-2020</t>
        </is>
      </c>
      <c r="B1882" s="1" t="n">
        <v>44085</v>
      </c>
      <c r="C1882" s="1" t="n">
        <v>45182</v>
      </c>
      <c r="D1882" t="inlineStr">
        <is>
          <t>SÖDERMANLANDS LÄN</t>
        </is>
      </c>
      <c r="E1882" t="inlineStr">
        <is>
          <t>KATRINEHOLM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45303-2020</t>
        </is>
      </c>
      <c r="B1883" s="1" t="n">
        <v>44085</v>
      </c>
      <c r="C1883" s="1" t="n">
        <v>45182</v>
      </c>
      <c r="D1883" t="inlineStr">
        <is>
          <t>SÖDERMANLANDS LÄN</t>
        </is>
      </c>
      <c r="E1883" t="inlineStr">
        <is>
          <t>NYKÖPING</t>
        </is>
      </c>
      <c r="G1883" t="n">
        <v>4.2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45043-2020</t>
        </is>
      </c>
      <c r="B1884" s="1" t="n">
        <v>44088</v>
      </c>
      <c r="C1884" s="1" t="n">
        <v>45182</v>
      </c>
      <c r="D1884" t="inlineStr">
        <is>
          <t>SÖDERMANLANDS LÄN</t>
        </is>
      </c>
      <c r="E1884" t="inlineStr">
        <is>
          <t>TROSA</t>
        </is>
      </c>
      <c r="G1884" t="n">
        <v>2.4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45144-2020</t>
        </is>
      </c>
      <c r="B1885" s="1" t="n">
        <v>44088</v>
      </c>
      <c r="C1885" s="1" t="n">
        <v>45182</v>
      </c>
      <c r="D1885" t="inlineStr">
        <is>
          <t>SÖDERMANLANDS LÄN</t>
        </is>
      </c>
      <c r="E1885" t="inlineStr">
        <is>
          <t>ESKILSTUNA</t>
        </is>
      </c>
      <c r="G1885" t="n">
        <v>4.8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45161-2020</t>
        </is>
      </c>
      <c r="B1886" s="1" t="n">
        <v>44088</v>
      </c>
      <c r="C1886" s="1" t="n">
        <v>45182</v>
      </c>
      <c r="D1886" t="inlineStr">
        <is>
          <t>SÖDERMANLANDS LÄN</t>
        </is>
      </c>
      <c r="E1886" t="inlineStr">
        <is>
          <t>TROSA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45016-2020</t>
        </is>
      </c>
      <c r="B1887" s="1" t="n">
        <v>44088</v>
      </c>
      <c r="C1887" s="1" t="n">
        <v>45182</v>
      </c>
      <c r="D1887" t="inlineStr">
        <is>
          <t>SÖDERMANLANDS LÄN</t>
        </is>
      </c>
      <c r="E1887" t="inlineStr">
        <is>
          <t>TROSA</t>
        </is>
      </c>
      <c r="G1887" t="n">
        <v>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45071-2020</t>
        </is>
      </c>
      <c r="B1888" s="1" t="n">
        <v>44088</v>
      </c>
      <c r="C1888" s="1" t="n">
        <v>45182</v>
      </c>
      <c r="D1888" t="inlineStr">
        <is>
          <t>SÖDERMANLANDS LÄN</t>
        </is>
      </c>
      <c r="E1888" t="inlineStr">
        <is>
          <t>TROSA</t>
        </is>
      </c>
      <c r="G1888" t="n">
        <v>2.9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45089-2020</t>
        </is>
      </c>
      <c r="B1889" s="1" t="n">
        <v>44088</v>
      </c>
      <c r="C1889" s="1" t="n">
        <v>45182</v>
      </c>
      <c r="D1889" t="inlineStr">
        <is>
          <t>SÖDERMANLANDS LÄN</t>
        </is>
      </c>
      <c r="E1889" t="inlineStr">
        <is>
          <t>TROSA</t>
        </is>
      </c>
      <c r="G1889" t="n">
        <v>3.1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45107-2020</t>
        </is>
      </c>
      <c r="B1890" s="1" t="n">
        <v>44088</v>
      </c>
      <c r="C1890" s="1" t="n">
        <v>45182</v>
      </c>
      <c r="D1890" t="inlineStr">
        <is>
          <t>SÖDERMANLANDS LÄN</t>
        </is>
      </c>
      <c r="E1890" t="inlineStr">
        <is>
          <t>TROSA</t>
        </is>
      </c>
      <c r="G1890" t="n">
        <v>7.1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45167-2020</t>
        </is>
      </c>
      <c r="B1891" s="1" t="n">
        <v>44088</v>
      </c>
      <c r="C1891" s="1" t="n">
        <v>45182</v>
      </c>
      <c r="D1891" t="inlineStr">
        <is>
          <t>SÖDERMANLANDS LÄN</t>
        </is>
      </c>
      <c r="E1891" t="inlineStr">
        <is>
          <t>VINGÅKER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45280-2020</t>
        </is>
      </c>
      <c r="B1892" s="1" t="n">
        <v>44088</v>
      </c>
      <c r="C1892" s="1" t="n">
        <v>45182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44951-2020</t>
        </is>
      </c>
      <c r="B1893" s="1" t="n">
        <v>44088</v>
      </c>
      <c r="C1893" s="1" t="n">
        <v>45182</v>
      </c>
      <c r="D1893" t="inlineStr">
        <is>
          <t>SÖDERMANLANDS LÄN</t>
        </is>
      </c>
      <c r="E1893" t="inlineStr">
        <is>
          <t>ESKILSTUNA</t>
        </is>
      </c>
      <c r="G1893" t="n">
        <v>0.6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45132-2020</t>
        </is>
      </c>
      <c r="B1894" s="1" t="n">
        <v>44088</v>
      </c>
      <c r="C1894" s="1" t="n">
        <v>45182</v>
      </c>
      <c r="D1894" t="inlineStr">
        <is>
          <t>SÖDERMANLANDS LÄN</t>
        </is>
      </c>
      <c r="E1894" t="inlineStr">
        <is>
          <t>TROSA</t>
        </is>
      </c>
      <c r="G1894" t="n">
        <v>13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45169-2020</t>
        </is>
      </c>
      <c r="B1895" s="1" t="n">
        <v>44088</v>
      </c>
      <c r="C1895" s="1" t="n">
        <v>45182</v>
      </c>
      <c r="D1895" t="inlineStr">
        <is>
          <t>SÖDERMANLANDS LÄN</t>
        </is>
      </c>
      <c r="E1895" t="inlineStr">
        <is>
          <t>TROSA</t>
        </is>
      </c>
      <c r="G1895" t="n">
        <v>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45265-2020</t>
        </is>
      </c>
      <c r="B1896" s="1" t="n">
        <v>44089</v>
      </c>
      <c r="C1896" s="1" t="n">
        <v>45182</v>
      </c>
      <c r="D1896" t="inlineStr">
        <is>
          <t>SÖDERMANLANDS LÄN</t>
        </is>
      </c>
      <c r="E1896" t="inlineStr">
        <is>
          <t>FLEN</t>
        </is>
      </c>
      <c r="F1896" t="inlineStr">
        <is>
          <t>Kommuner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45387-2020</t>
        </is>
      </c>
      <c r="B1897" s="1" t="n">
        <v>44089</v>
      </c>
      <c r="C1897" s="1" t="n">
        <v>45182</v>
      </c>
      <c r="D1897" t="inlineStr">
        <is>
          <t>SÖDERMANLANDS LÄN</t>
        </is>
      </c>
      <c r="E1897" t="inlineStr">
        <is>
          <t>VINGÅKER</t>
        </is>
      </c>
      <c r="G1897" t="n">
        <v>12.6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45474-2020</t>
        </is>
      </c>
      <c r="B1898" s="1" t="n">
        <v>44089</v>
      </c>
      <c r="C1898" s="1" t="n">
        <v>45182</v>
      </c>
      <c r="D1898" t="inlineStr">
        <is>
          <t>SÖDERMANLANDS LÄN</t>
        </is>
      </c>
      <c r="E1898" t="inlineStr">
        <is>
          <t>ESKILSTUNA</t>
        </is>
      </c>
      <c r="G1898" t="n">
        <v>10.8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45431-2020</t>
        </is>
      </c>
      <c r="B1899" s="1" t="n">
        <v>44089</v>
      </c>
      <c r="C1899" s="1" t="n">
        <v>45182</v>
      </c>
      <c r="D1899" t="inlineStr">
        <is>
          <t>SÖDERMANLANDS LÄN</t>
        </is>
      </c>
      <c r="E1899" t="inlineStr">
        <is>
          <t>VINGÅKER</t>
        </is>
      </c>
      <c r="G1899" t="n">
        <v>13.5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45461-2020</t>
        </is>
      </c>
      <c r="B1900" s="1" t="n">
        <v>44089</v>
      </c>
      <c r="C1900" s="1" t="n">
        <v>45182</v>
      </c>
      <c r="D1900" t="inlineStr">
        <is>
          <t>SÖDERMANLANDS LÄN</t>
        </is>
      </c>
      <c r="E1900" t="inlineStr">
        <is>
          <t>VINGÅKER</t>
        </is>
      </c>
      <c r="G1900" t="n">
        <v>57.8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46830-2020</t>
        </is>
      </c>
      <c r="B1901" s="1" t="n">
        <v>44089</v>
      </c>
      <c r="C1901" s="1" t="n">
        <v>45182</v>
      </c>
      <c r="D1901" t="inlineStr">
        <is>
          <t>SÖDERMANLANDS LÄN</t>
        </is>
      </c>
      <c r="E1901" t="inlineStr">
        <is>
          <t>KATRINEHOLM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45500-2020</t>
        </is>
      </c>
      <c r="B1902" s="1" t="n">
        <v>44089</v>
      </c>
      <c r="C1902" s="1" t="n">
        <v>45182</v>
      </c>
      <c r="D1902" t="inlineStr">
        <is>
          <t>SÖDERMANLANDS LÄN</t>
        </is>
      </c>
      <c r="E1902" t="inlineStr">
        <is>
          <t>VINGÅKER</t>
        </is>
      </c>
      <c r="G1902" t="n">
        <v>17.4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46833-2020</t>
        </is>
      </c>
      <c r="B1903" s="1" t="n">
        <v>44089</v>
      </c>
      <c r="C1903" s="1" t="n">
        <v>45182</v>
      </c>
      <c r="D1903" t="inlineStr">
        <is>
          <t>SÖDERMANLANDS LÄN</t>
        </is>
      </c>
      <c r="E1903" t="inlineStr">
        <is>
          <t>KATRINEHOLM</t>
        </is>
      </c>
      <c r="G1903" t="n">
        <v>1.5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45759-2020</t>
        </is>
      </c>
      <c r="B1904" s="1" t="n">
        <v>44090</v>
      </c>
      <c r="C1904" s="1" t="n">
        <v>45182</v>
      </c>
      <c r="D1904" t="inlineStr">
        <is>
          <t>SÖDERMANLANDS LÄN</t>
        </is>
      </c>
      <c r="E1904" t="inlineStr">
        <is>
          <t>ESKILSTUNA</t>
        </is>
      </c>
      <c r="G1904" t="n">
        <v>3.3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46806-2020</t>
        </is>
      </c>
      <c r="B1905" s="1" t="n">
        <v>44090</v>
      </c>
      <c r="C1905" s="1" t="n">
        <v>45182</v>
      </c>
      <c r="D1905" t="inlineStr">
        <is>
          <t>SÖDERMANLANDS LÄN</t>
        </is>
      </c>
      <c r="E1905" t="inlineStr">
        <is>
          <t>KATRINEHOLM</t>
        </is>
      </c>
      <c r="G1905" t="n">
        <v>1.4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47188-2020</t>
        </is>
      </c>
      <c r="B1906" s="1" t="n">
        <v>44091</v>
      </c>
      <c r="C1906" s="1" t="n">
        <v>45182</v>
      </c>
      <c r="D1906" t="inlineStr">
        <is>
          <t>SÖDERMANLANDS LÄN</t>
        </is>
      </c>
      <c r="E1906" t="inlineStr">
        <is>
          <t>GNESTA</t>
        </is>
      </c>
      <c r="G1906" t="n">
        <v>3.6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46471-2020</t>
        </is>
      </c>
      <c r="B1907" s="1" t="n">
        <v>44092</v>
      </c>
      <c r="C1907" s="1" t="n">
        <v>45182</v>
      </c>
      <c r="D1907" t="inlineStr">
        <is>
          <t>SÖDERMANLANDS LÄN</t>
        </is>
      </c>
      <c r="E1907" t="inlineStr">
        <is>
          <t>GNESTA</t>
        </is>
      </c>
      <c r="G1907" t="n">
        <v>4.2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46249-2020</t>
        </is>
      </c>
      <c r="B1908" s="1" t="n">
        <v>44092</v>
      </c>
      <c r="C1908" s="1" t="n">
        <v>45182</v>
      </c>
      <c r="D1908" t="inlineStr">
        <is>
          <t>SÖDERMANLANDS LÄN</t>
        </is>
      </c>
      <c r="E1908" t="inlineStr">
        <is>
          <t>NYKÖPING</t>
        </is>
      </c>
      <c r="F1908" t="inlineStr">
        <is>
          <t>Övriga Aktiebolag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46408-2020</t>
        </is>
      </c>
      <c r="B1909" s="1" t="n">
        <v>44094</v>
      </c>
      <c r="C1909" s="1" t="n">
        <v>45182</v>
      </c>
      <c r="D1909" t="inlineStr">
        <is>
          <t>SÖDERMANLANDS LÄN</t>
        </is>
      </c>
      <c r="E1909" t="inlineStr">
        <is>
          <t>ESKILSTUNA</t>
        </is>
      </c>
      <c r="F1909" t="inlineStr">
        <is>
          <t>Sveaskog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46401-2020</t>
        </is>
      </c>
      <c r="B1910" s="1" t="n">
        <v>44094</v>
      </c>
      <c r="C1910" s="1" t="n">
        <v>45182</v>
      </c>
      <c r="D1910" t="inlineStr">
        <is>
          <t>SÖDERMANLANDS LÄN</t>
        </is>
      </c>
      <c r="E1910" t="inlineStr">
        <is>
          <t>VINGÅKER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46402-2020</t>
        </is>
      </c>
      <c r="B1911" s="1" t="n">
        <v>44094</v>
      </c>
      <c r="C1911" s="1" t="n">
        <v>45182</v>
      </c>
      <c r="D1911" t="inlineStr">
        <is>
          <t>SÖDERMANLANDS LÄN</t>
        </is>
      </c>
      <c r="E1911" t="inlineStr">
        <is>
          <t>VINGÅKER</t>
        </is>
      </c>
      <c r="G1911" t="n">
        <v>0.8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46839-2020</t>
        </is>
      </c>
      <c r="B1912" s="1" t="n">
        <v>44095</v>
      </c>
      <c r="C1912" s="1" t="n">
        <v>45182</v>
      </c>
      <c r="D1912" t="inlineStr">
        <is>
          <t>SÖDERMANLANDS LÄN</t>
        </is>
      </c>
      <c r="E1912" t="inlineStr">
        <is>
          <t>GNESTA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47084-2020</t>
        </is>
      </c>
      <c r="B1913" s="1" t="n">
        <v>44096</v>
      </c>
      <c r="C1913" s="1" t="n">
        <v>45182</v>
      </c>
      <c r="D1913" t="inlineStr">
        <is>
          <t>SÖDERMANLANDS LÄN</t>
        </is>
      </c>
      <c r="E1913" t="inlineStr">
        <is>
          <t>NYKÖPING</t>
        </is>
      </c>
      <c r="G1913" t="n">
        <v>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47095-2020</t>
        </is>
      </c>
      <c r="B1914" s="1" t="n">
        <v>44096</v>
      </c>
      <c r="C1914" s="1" t="n">
        <v>45182</v>
      </c>
      <c r="D1914" t="inlineStr">
        <is>
          <t>SÖDERMANLANDS LÄN</t>
        </is>
      </c>
      <c r="E1914" t="inlineStr">
        <is>
          <t>GNESTA</t>
        </is>
      </c>
      <c r="G1914" t="n">
        <v>1.9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47098-2020</t>
        </is>
      </c>
      <c r="B1915" s="1" t="n">
        <v>44096</v>
      </c>
      <c r="C1915" s="1" t="n">
        <v>45182</v>
      </c>
      <c r="D1915" t="inlineStr">
        <is>
          <t>SÖDERMANLANDS LÄN</t>
        </is>
      </c>
      <c r="E1915" t="inlineStr">
        <is>
          <t>ESKILSTUNA</t>
        </is>
      </c>
      <c r="G1915" t="n">
        <v>1.3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47085-2020</t>
        </is>
      </c>
      <c r="B1916" s="1" t="n">
        <v>44096</v>
      </c>
      <c r="C1916" s="1" t="n">
        <v>45182</v>
      </c>
      <c r="D1916" t="inlineStr">
        <is>
          <t>SÖDERMANLANDS LÄN</t>
        </is>
      </c>
      <c r="E1916" t="inlineStr">
        <is>
          <t>GNESTA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47401-2020</t>
        </is>
      </c>
      <c r="B1917" s="1" t="n">
        <v>44097</v>
      </c>
      <c r="C1917" s="1" t="n">
        <v>45182</v>
      </c>
      <c r="D1917" t="inlineStr">
        <is>
          <t>SÖDERMANLANDS LÄN</t>
        </is>
      </c>
      <c r="E1917" t="inlineStr">
        <is>
          <t>FLEN</t>
        </is>
      </c>
      <c r="G1917" t="n">
        <v>4.5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47442-2020</t>
        </is>
      </c>
      <c r="B1918" s="1" t="n">
        <v>44097</v>
      </c>
      <c r="C1918" s="1" t="n">
        <v>45182</v>
      </c>
      <c r="D1918" t="inlineStr">
        <is>
          <t>SÖDERMANLANDS LÄN</t>
        </is>
      </c>
      <c r="E1918" t="inlineStr">
        <is>
          <t>NYKÖPING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47228-2020</t>
        </is>
      </c>
      <c r="B1919" s="1" t="n">
        <v>44097</v>
      </c>
      <c r="C1919" s="1" t="n">
        <v>45182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2.9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47249-2020</t>
        </is>
      </c>
      <c r="B1920" s="1" t="n">
        <v>44097</v>
      </c>
      <c r="C1920" s="1" t="n">
        <v>45182</v>
      </c>
      <c r="D1920" t="inlineStr">
        <is>
          <t>SÖDERMANLANDS LÄN</t>
        </is>
      </c>
      <c r="E1920" t="inlineStr">
        <is>
          <t>TROSA</t>
        </is>
      </c>
      <c r="F1920" t="inlineStr">
        <is>
          <t>Övriga Aktiebolag</t>
        </is>
      </c>
      <c r="G1920" t="n">
        <v>4.3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48323-2020</t>
        </is>
      </c>
      <c r="B1921" s="1" t="n">
        <v>44097</v>
      </c>
      <c r="C1921" s="1" t="n">
        <v>45182</v>
      </c>
      <c r="D1921" t="inlineStr">
        <is>
          <t>SÖDERMANLANDS LÄN</t>
        </is>
      </c>
      <c r="E1921" t="inlineStr">
        <is>
          <t>GNESTA</t>
        </is>
      </c>
      <c r="G1921" t="n">
        <v>5.4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47669-2020</t>
        </is>
      </c>
      <c r="B1922" s="1" t="n">
        <v>44098</v>
      </c>
      <c r="C1922" s="1" t="n">
        <v>45182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47681-2020</t>
        </is>
      </c>
      <c r="B1923" s="1" t="n">
        <v>44098</v>
      </c>
      <c r="C1923" s="1" t="n">
        <v>45182</v>
      </c>
      <c r="D1923" t="inlineStr">
        <is>
          <t>SÖDERMANLANDS LÄN</t>
        </is>
      </c>
      <c r="E1923" t="inlineStr">
        <is>
          <t>FLEN</t>
        </is>
      </c>
      <c r="F1923" t="inlineStr">
        <is>
          <t>Holmen skog AB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47916-2020</t>
        </is>
      </c>
      <c r="B1924" s="1" t="n">
        <v>44099</v>
      </c>
      <c r="C1924" s="1" t="n">
        <v>45182</v>
      </c>
      <c r="D1924" t="inlineStr">
        <is>
          <t>SÖDERMANLANDS LÄN</t>
        </is>
      </c>
      <c r="E1924" t="inlineStr">
        <is>
          <t>ESKILSTUNA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48727-2020</t>
        </is>
      </c>
      <c r="B1925" s="1" t="n">
        <v>44099</v>
      </c>
      <c r="C1925" s="1" t="n">
        <v>45182</v>
      </c>
      <c r="D1925" t="inlineStr">
        <is>
          <t>SÖDERMANLANDS LÄN</t>
        </is>
      </c>
      <c r="E1925" t="inlineStr">
        <is>
          <t>ESKILSTUNA</t>
        </is>
      </c>
      <c r="G1925" t="n">
        <v>5.9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48838-2020</t>
        </is>
      </c>
      <c r="B1926" s="1" t="n">
        <v>44099</v>
      </c>
      <c r="C1926" s="1" t="n">
        <v>45182</v>
      </c>
      <c r="D1926" t="inlineStr">
        <is>
          <t>SÖDERMANLANDS LÄN</t>
        </is>
      </c>
      <c r="E1926" t="inlineStr">
        <is>
          <t>KATRINEHOLM</t>
        </is>
      </c>
      <c r="G1926" t="n">
        <v>6.8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47886-2020</t>
        </is>
      </c>
      <c r="B1927" s="1" t="n">
        <v>44099</v>
      </c>
      <c r="C1927" s="1" t="n">
        <v>45182</v>
      </c>
      <c r="D1927" t="inlineStr">
        <is>
          <t>SÖDERMANLANDS LÄN</t>
        </is>
      </c>
      <c r="E1927" t="inlineStr">
        <is>
          <t>ESKILSTUNA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48834-2020</t>
        </is>
      </c>
      <c r="B1928" s="1" t="n">
        <v>44099</v>
      </c>
      <c r="C1928" s="1" t="n">
        <v>45182</v>
      </c>
      <c r="D1928" t="inlineStr">
        <is>
          <t>SÖDERMANLANDS LÄN</t>
        </is>
      </c>
      <c r="E1928" t="inlineStr">
        <is>
          <t>KATRINEHOLM</t>
        </is>
      </c>
      <c r="G1928" t="n">
        <v>12.9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48925-2020</t>
        </is>
      </c>
      <c r="B1929" s="1" t="n">
        <v>44099</v>
      </c>
      <c r="C1929" s="1" t="n">
        <v>45182</v>
      </c>
      <c r="D1929" t="inlineStr">
        <is>
          <t>SÖDERMANLANDS LÄN</t>
        </is>
      </c>
      <c r="E1929" t="inlineStr">
        <is>
          <t>KATRINEHOLM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48757-2020</t>
        </is>
      </c>
      <c r="B1930" s="1" t="n">
        <v>44099</v>
      </c>
      <c r="C1930" s="1" t="n">
        <v>45182</v>
      </c>
      <c r="D1930" t="inlineStr">
        <is>
          <t>SÖDERMANLANDS LÄN</t>
        </is>
      </c>
      <c r="E1930" t="inlineStr">
        <is>
          <t>STRÄNGNÄS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48225-2020</t>
        </is>
      </c>
      <c r="B1931" s="1" t="n">
        <v>44102</v>
      </c>
      <c r="C1931" s="1" t="n">
        <v>45182</v>
      </c>
      <c r="D1931" t="inlineStr">
        <is>
          <t>SÖDERMANLANDS LÄN</t>
        </is>
      </c>
      <c r="E1931" t="inlineStr">
        <is>
          <t>TROSA</t>
        </is>
      </c>
      <c r="G1931" t="n">
        <v>13.1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48254-2020</t>
        </is>
      </c>
      <c r="B1932" s="1" t="n">
        <v>44102</v>
      </c>
      <c r="C1932" s="1" t="n">
        <v>45182</v>
      </c>
      <c r="D1932" t="inlineStr">
        <is>
          <t>SÖDERMANLANDS LÄN</t>
        </is>
      </c>
      <c r="E1932" t="inlineStr">
        <is>
          <t>TROSA</t>
        </is>
      </c>
      <c r="G1932" t="n">
        <v>7.4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48247-2020</t>
        </is>
      </c>
      <c r="B1933" s="1" t="n">
        <v>44102</v>
      </c>
      <c r="C1933" s="1" t="n">
        <v>45182</v>
      </c>
      <c r="D1933" t="inlineStr">
        <is>
          <t>SÖDERMANLANDS LÄN</t>
        </is>
      </c>
      <c r="E1933" t="inlineStr">
        <is>
          <t>TROSA</t>
        </is>
      </c>
      <c r="G1933" t="n">
        <v>10.5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48279-2020</t>
        </is>
      </c>
      <c r="B1934" s="1" t="n">
        <v>44102</v>
      </c>
      <c r="C1934" s="1" t="n">
        <v>45182</v>
      </c>
      <c r="D1934" t="inlineStr">
        <is>
          <t>SÖDERMANLANDS LÄN</t>
        </is>
      </c>
      <c r="E1934" t="inlineStr">
        <is>
          <t>TROSA</t>
        </is>
      </c>
      <c r="G1934" t="n">
        <v>32.8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48926-2020</t>
        </is>
      </c>
      <c r="B1935" s="1" t="n">
        <v>44102</v>
      </c>
      <c r="C1935" s="1" t="n">
        <v>45182</v>
      </c>
      <c r="D1935" t="inlineStr">
        <is>
          <t>SÖDERMANLANDS LÄN</t>
        </is>
      </c>
      <c r="E1935" t="inlineStr">
        <is>
          <t>NYKÖPING</t>
        </is>
      </c>
      <c r="G1935" t="n">
        <v>4.3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49089-2020</t>
        </is>
      </c>
      <c r="B1936" s="1" t="n">
        <v>44102</v>
      </c>
      <c r="C1936" s="1" t="n">
        <v>45182</v>
      </c>
      <c r="D1936" t="inlineStr">
        <is>
          <t>SÖDERMANLANDS LÄN</t>
        </is>
      </c>
      <c r="E1936" t="inlineStr">
        <is>
          <t>KATRINEHOLM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48642-2020</t>
        </is>
      </c>
      <c r="B1937" s="1" t="n">
        <v>44103</v>
      </c>
      <c r="C1937" s="1" t="n">
        <v>45182</v>
      </c>
      <c r="D1937" t="inlineStr">
        <is>
          <t>SÖDERMANLANDS LÄN</t>
        </is>
      </c>
      <c r="E1937" t="inlineStr">
        <is>
          <t>GNESTA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48576-2020</t>
        </is>
      </c>
      <c r="B1938" s="1" t="n">
        <v>44103</v>
      </c>
      <c r="C1938" s="1" t="n">
        <v>45182</v>
      </c>
      <c r="D1938" t="inlineStr">
        <is>
          <t>SÖDERMANLANDS LÄN</t>
        </is>
      </c>
      <c r="E1938" t="inlineStr">
        <is>
          <t>KATRINEHOLM</t>
        </is>
      </c>
      <c r="G1938" t="n">
        <v>6.3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48619-2020</t>
        </is>
      </c>
      <c r="B1939" s="1" t="n">
        <v>44103</v>
      </c>
      <c r="C1939" s="1" t="n">
        <v>45182</v>
      </c>
      <c r="D1939" t="inlineStr">
        <is>
          <t>SÖDERMANLANDS LÄN</t>
        </is>
      </c>
      <c r="E1939" t="inlineStr">
        <is>
          <t>KATRINEHOLM</t>
        </is>
      </c>
      <c r="F1939" t="inlineStr">
        <is>
          <t>Övriga statliga verk och myndigheter</t>
        </is>
      </c>
      <c r="G1939" t="n">
        <v>0.9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48849-2020</t>
        </is>
      </c>
      <c r="B1940" s="1" t="n">
        <v>44104</v>
      </c>
      <c r="C1940" s="1" t="n">
        <v>45182</v>
      </c>
      <c r="D1940" t="inlineStr">
        <is>
          <t>SÖDERMANLANDS LÄN</t>
        </is>
      </c>
      <c r="E1940" t="inlineStr">
        <is>
          <t>NYKÖPING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49029-2020</t>
        </is>
      </c>
      <c r="B1941" s="1" t="n">
        <v>44104</v>
      </c>
      <c r="C1941" s="1" t="n">
        <v>45182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50176-2020</t>
        </is>
      </c>
      <c r="B1942" s="1" t="n">
        <v>44104</v>
      </c>
      <c r="C1942" s="1" t="n">
        <v>45182</v>
      </c>
      <c r="D1942" t="inlineStr">
        <is>
          <t>SÖDERMANLANDS LÄN</t>
        </is>
      </c>
      <c r="E1942" t="inlineStr">
        <is>
          <t>NYKÖPING</t>
        </is>
      </c>
      <c r="F1942" t="inlineStr">
        <is>
          <t>Holmen skog AB</t>
        </is>
      </c>
      <c r="G1942" t="n">
        <v>0.6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48869-2020</t>
        </is>
      </c>
      <c r="B1943" s="1" t="n">
        <v>44104</v>
      </c>
      <c r="C1943" s="1" t="n">
        <v>45182</v>
      </c>
      <c r="D1943" t="inlineStr">
        <is>
          <t>SÖDERMANLANDS LÄN</t>
        </is>
      </c>
      <c r="E1943" t="inlineStr">
        <is>
          <t>FLEN</t>
        </is>
      </c>
      <c r="F1943" t="inlineStr">
        <is>
          <t>Holmen skog AB</t>
        </is>
      </c>
      <c r="G1943" t="n">
        <v>1.9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49258-2020</t>
        </is>
      </c>
      <c r="B1944" s="1" t="n">
        <v>44105</v>
      </c>
      <c r="C1944" s="1" t="n">
        <v>45182</v>
      </c>
      <c r="D1944" t="inlineStr">
        <is>
          <t>SÖDERMANLANDS LÄN</t>
        </is>
      </c>
      <c r="E1944" t="inlineStr">
        <is>
          <t>GNESTA</t>
        </is>
      </c>
      <c r="G1944" t="n">
        <v>0.2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49412-2020</t>
        </is>
      </c>
      <c r="B1945" s="1" t="n">
        <v>44105</v>
      </c>
      <c r="C1945" s="1" t="n">
        <v>45182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49444-2020</t>
        </is>
      </c>
      <c r="B1946" s="1" t="n">
        <v>44105</v>
      </c>
      <c r="C1946" s="1" t="n">
        <v>45182</v>
      </c>
      <c r="D1946" t="inlineStr">
        <is>
          <t>SÖDERMANLANDS LÄN</t>
        </is>
      </c>
      <c r="E1946" t="inlineStr">
        <is>
          <t>ESKILSTUNA</t>
        </is>
      </c>
      <c r="G1946" t="n">
        <v>7.3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  <c r="U1946">
        <f>HYPERLINK("https://klasma.github.io/Logging_ESKILSTUNA/knärot/A 49444-2020.png")</f>
        <v/>
      </c>
      <c r="V1946">
        <f>HYPERLINK("https://klasma.github.io/Logging_ESKILSTUNA/klagomål/A 49444-2020.docx")</f>
        <v/>
      </c>
      <c r="W1946">
        <f>HYPERLINK("https://klasma.github.io/Logging_ESKILSTUNA/klagomålsmail/A 49444-2020.docx")</f>
        <v/>
      </c>
      <c r="X1946">
        <f>HYPERLINK("https://klasma.github.io/Logging_ESKILSTUNA/tillsyn/A 49444-2020.docx")</f>
        <v/>
      </c>
      <c r="Y1946">
        <f>HYPERLINK("https://klasma.github.io/Logging_ESKILSTUNA/tillsynsmail/A 49444-2020.docx")</f>
        <v/>
      </c>
    </row>
    <row r="1947" ht="15" customHeight="1">
      <c r="A1947" t="inlineStr">
        <is>
          <t>A 49454-2020</t>
        </is>
      </c>
      <c r="B1947" s="1" t="n">
        <v>44105</v>
      </c>
      <c r="C1947" s="1" t="n">
        <v>45182</v>
      </c>
      <c r="D1947" t="inlineStr">
        <is>
          <t>SÖDERMANLANDS LÄN</t>
        </is>
      </c>
      <c r="E1947" t="inlineStr">
        <is>
          <t>ESKILSTUNA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50769-2020</t>
        </is>
      </c>
      <c r="B1948" s="1" t="n">
        <v>44105</v>
      </c>
      <c r="C1948" s="1" t="n">
        <v>45182</v>
      </c>
      <c r="D1948" t="inlineStr">
        <is>
          <t>SÖDERMANLANDS LÄN</t>
        </is>
      </c>
      <c r="E1948" t="inlineStr">
        <is>
          <t>STRÄNGNÄS</t>
        </is>
      </c>
      <c r="G1948" t="n">
        <v>5.1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49450-2020</t>
        </is>
      </c>
      <c r="B1949" s="1" t="n">
        <v>44105</v>
      </c>
      <c r="C1949" s="1" t="n">
        <v>45182</v>
      </c>
      <c r="D1949" t="inlineStr">
        <is>
          <t>SÖDERMANLANDS LÄN</t>
        </is>
      </c>
      <c r="E1949" t="inlineStr">
        <is>
          <t>ESKILSTUNA</t>
        </is>
      </c>
      <c r="G1949" t="n">
        <v>4.1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50757-2020</t>
        </is>
      </c>
      <c r="B1950" s="1" t="n">
        <v>44105</v>
      </c>
      <c r="C1950" s="1" t="n">
        <v>45182</v>
      </c>
      <c r="D1950" t="inlineStr">
        <is>
          <t>SÖDERMANLANDS LÄN</t>
        </is>
      </c>
      <c r="E1950" t="inlineStr">
        <is>
          <t>STRÄNGNÄS</t>
        </is>
      </c>
      <c r="G1950" t="n">
        <v>5.3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51315-2020</t>
        </is>
      </c>
      <c r="B1951" s="1" t="n">
        <v>44106</v>
      </c>
      <c r="C1951" s="1" t="n">
        <v>45182</v>
      </c>
      <c r="D1951" t="inlineStr">
        <is>
          <t>SÖDERMANLANDS LÄN</t>
        </is>
      </c>
      <c r="E1951" t="inlineStr">
        <is>
          <t>FLEN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50130-2020</t>
        </is>
      </c>
      <c r="B1952" s="1" t="n">
        <v>44109</v>
      </c>
      <c r="C1952" s="1" t="n">
        <v>45182</v>
      </c>
      <c r="D1952" t="inlineStr">
        <is>
          <t>SÖDERMANLANDS LÄN</t>
        </is>
      </c>
      <c r="E1952" t="inlineStr">
        <is>
          <t>NYKÖPING</t>
        </is>
      </c>
      <c r="F1952" t="inlineStr">
        <is>
          <t>Holmen skog AB</t>
        </is>
      </c>
      <c r="G1952" t="n">
        <v>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49933-2020</t>
        </is>
      </c>
      <c r="B1953" s="1" t="n">
        <v>44109</v>
      </c>
      <c r="C1953" s="1" t="n">
        <v>45182</v>
      </c>
      <c r="D1953" t="inlineStr">
        <is>
          <t>SÖDERMANLANDS LÄN</t>
        </is>
      </c>
      <c r="E1953" t="inlineStr">
        <is>
          <t>GNESTA</t>
        </is>
      </c>
      <c r="G1953" t="n">
        <v>18.8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50067-2020</t>
        </is>
      </c>
      <c r="B1954" s="1" t="n">
        <v>44109</v>
      </c>
      <c r="C1954" s="1" t="n">
        <v>45182</v>
      </c>
      <c r="D1954" t="inlineStr">
        <is>
          <t>SÖDERMANLANDS LÄN</t>
        </is>
      </c>
      <c r="E1954" t="inlineStr">
        <is>
          <t>STRÄNGNÄS</t>
        </is>
      </c>
      <c r="G1954" t="n">
        <v>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50165-2020</t>
        </is>
      </c>
      <c r="B1955" s="1" t="n">
        <v>44109</v>
      </c>
      <c r="C1955" s="1" t="n">
        <v>45182</v>
      </c>
      <c r="D1955" t="inlineStr">
        <is>
          <t>SÖDERMANLANDS LÄN</t>
        </is>
      </c>
      <c r="E1955" t="inlineStr">
        <is>
          <t>ESKILSTUNA</t>
        </is>
      </c>
      <c r="G1955" t="n">
        <v>4.4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51658-2020</t>
        </is>
      </c>
      <c r="B1956" s="1" t="n">
        <v>44109</v>
      </c>
      <c r="C1956" s="1" t="n">
        <v>45182</v>
      </c>
      <c r="D1956" t="inlineStr">
        <is>
          <t>SÖDERMANLANDS LÄN</t>
        </is>
      </c>
      <c r="E1956" t="inlineStr">
        <is>
          <t>GNESTA</t>
        </is>
      </c>
      <c r="G1956" t="n">
        <v>1.7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51836-2020</t>
        </is>
      </c>
      <c r="B1957" s="1" t="n">
        <v>44109</v>
      </c>
      <c r="C1957" s="1" t="n">
        <v>45182</v>
      </c>
      <c r="D1957" t="inlineStr">
        <is>
          <t>SÖDERMANLANDS LÄN</t>
        </is>
      </c>
      <c r="E1957" t="inlineStr">
        <is>
          <t>FLEN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51933-2020</t>
        </is>
      </c>
      <c r="B1958" s="1" t="n">
        <v>44109</v>
      </c>
      <c r="C1958" s="1" t="n">
        <v>45182</v>
      </c>
      <c r="D1958" t="inlineStr">
        <is>
          <t>SÖDERMANLANDS LÄN</t>
        </is>
      </c>
      <c r="E1958" t="inlineStr">
        <is>
          <t>FLEN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50467-2020</t>
        </is>
      </c>
      <c r="B1959" s="1" t="n">
        <v>44110</v>
      </c>
      <c r="C1959" s="1" t="n">
        <v>45182</v>
      </c>
      <c r="D1959" t="inlineStr">
        <is>
          <t>SÖDERMANLANDS LÄN</t>
        </is>
      </c>
      <c r="E1959" t="inlineStr">
        <is>
          <t>FLEN</t>
        </is>
      </c>
      <c r="F1959" t="inlineStr">
        <is>
          <t>Holmen skog AB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50510-2020</t>
        </is>
      </c>
      <c r="B1960" s="1" t="n">
        <v>44110</v>
      </c>
      <c r="C1960" s="1" t="n">
        <v>45182</v>
      </c>
      <c r="D1960" t="inlineStr">
        <is>
          <t>SÖDERMANLANDS LÄN</t>
        </is>
      </c>
      <c r="E1960" t="inlineStr">
        <is>
          <t>NYKÖPING</t>
        </is>
      </c>
      <c r="G1960" t="n">
        <v>2.9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50516-2020</t>
        </is>
      </c>
      <c r="B1961" s="1" t="n">
        <v>44110</v>
      </c>
      <c r="C1961" s="1" t="n">
        <v>45182</v>
      </c>
      <c r="D1961" t="inlineStr">
        <is>
          <t>SÖDERMANLANDS LÄN</t>
        </is>
      </c>
      <c r="E1961" t="inlineStr">
        <is>
          <t>NYKÖPING</t>
        </is>
      </c>
      <c r="G1961" t="n">
        <v>4.1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50569-2020</t>
        </is>
      </c>
      <c r="B1962" s="1" t="n">
        <v>44110</v>
      </c>
      <c r="C1962" s="1" t="n">
        <v>45182</v>
      </c>
      <c r="D1962" t="inlineStr">
        <is>
          <t>SÖDERMANLANDS LÄN</t>
        </is>
      </c>
      <c r="E1962" t="inlineStr">
        <is>
          <t>NYKÖPING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52134-2020</t>
        </is>
      </c>
      <c r="B1963" s="1" t="n">
        <v>44110</v>
      </c>
      <c r="C1963" s="1" t="n">
        <v>45182</v>
      </c>
      <c r="D1963" t="inlineStr">
        <is>
          <t>SÖDERMANLANDS LÄN</t>
        </is>
      </c>
      <c r="E1963" t="inlineStr">
        <is>
          <t>KATRINEHOLM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50948-2020</t>
        </is>
      </c>
      <c r="B1964" s="1" t="n">
        <v>44111</v>
      </c>
      <c r="C1964" s="1" t="n">
        <v>45182</v>
      </c>
      <c r="D1964" t="inlineStr">
        <is>
          <t>SÖDERMANLANDS LÄN</t>
        </is>
      </c>
      <c r="E1964" t="inlineStr">
        <is>
          <t>NYKÖPING</t>
        </is>
      </c>
      <c r="F1964" t="inlineStr">
        <is>
          <t>Övriga Aktiebolag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50703-2020</t>
        </is>
      </c>
      <c r="B1965" s="1" t="n">
        <v>44111</v>
      </c>
      <c r="C1965" s="1" t="n">
        <v>45182</v>
      </c>
      <c r="D1965" t="inlineStr">
        <is>
          <t>SÖDERMANLANDS LÄN</t>
        </is>
      </c>
      <c r="E1965" t="inlineStr">
        <is>
          <t>NYKÖPING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50695-2020</t>
        </is>
      </c>
      <c r="B1966" s="1" t="n">
        <v>44111</v>
      </c>
      <c r="C1966" s="1" t="n">
        <v>45182</v>
      </c>
      <c r="D1966" t="inlineStr">
        <is>
          <t>SÖDERMANLANDS LÄN</t>
        </is>
      </c>
      <c r="E1966" t="inlineStr">
        <is>
          <t>NYKÖPING</t>
        </is>
      </c>
      <c r="G1966" t="n">
        <v>1.2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51218-2020</t>
        </is>
      </c>
      <c r="B1967" s="1" t="n">
        <v>44112</v>
      </c>
      <c r="C1967" s="1" t="n">
        <v>45182</v>
      </c>
      <c r="D1967" t="inlineStr">
        <is>
          <t>SÖDERMANLANDS LÄN</t>
        </is>
      </c>
      <c r="E1967" t="inlineStr">
        <is>
          <t>KATRINEHOLM</t>
        </is>
      </c>
      <c r="F1967" t="inlineStr">
        <is>
          <t>Kommuner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52458-2020</t>
        </is>
      </c>
      <c r="B1968" s="1" t="n">
        <v>44113</v>
      </c>
      <c r="C1968" s="1" t="n">
        <v>45182</v>
      </c>
      <c r="D1968" t="inlineStr">
        <is>
          <t>SÖDERMANLANDS LÄN</t>
        </is>
      </c>
      <c r="E1968" t="inlineStr">
        <is>
          <t>VINGÅKER</t>
        </is>
      </c>
      <c r="G1968" t="n">
        <v>6.9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51864-2020</t>
        </is>
      </c>
      <c r="B1969" s="1" t="n">
        <v>44113</v>
      </c>
      <c r="C1969" s="1" t="n">
        <v>45182</v>
      </c>
      <c r="D1969" t="inlineStr">
        <is>
          <t>SÖDERMANLANDS LÄN</t>
        </is>
      </c>
      <c r="E1969" t="inlineStr">
        <is>
          <t>FLEN</t>
        </is>
      </c>
      <c r="G1969" t="n">
        <v>0.7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52454-2020</t>
        </is>
      </c>
      <c r="B1970" s="1" t="n">
        <v>44113</v>
      </c>
      <c r="C1970" s="1" t="n">
        <v>45182</v>
      </c>
      <c r="D1970" t="inlineStr">
        <is>
          <t>SÖDERMANLANDS LÄN</t>
        </is>
      </c>
      <c r="E1970" t="inlineStr">
        <is>
          <t>VINGÅKER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51766-2020</t>
        </is>
      </c>
      <c r="B1971" s="1" t="n">
        <v>44115</v>
      </c>
      <c r="C1971" s="1" t="n">
        <v>45182</v>
      </c>
      <c r="D1971" t="inlineStr">
        <is>
          <t>SÖDERMANLANDS LÄN</t>
        </is>
      </c>
      <c r="E1971" t="inlineStr">
        <is>
          <t>KATRINEHOLM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52064-2020</t>
        </is>
      </c>
      <c r="B1972" s="1" t="n">
        <v>44117</v>
      </c>
      <c r="C1972" s="1" t="n">
        <v>45182</v>
      </c>
      <c r="D1972" t="inlineStr">
        <is>
          <t>SÖDERMANLANDS LÄN</t>
        </is>
      </c>
      <c r="E1972" t="inlineStr">
        <is>
          <t>VINGÅKER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52609-2020</t>
        </is>
      </c>
      <c r="B1973" s="1" t="n">
        <v>44118</v>
      </c>
      <c r="C1973" s="1" t="n">
        <v>45182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0.8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52521-2020</t>
        </is>
      </c>
      <c r="B1974" s="1" t="n">
        <v>44118</v>
      </c>
      <c r="C1974" s="1" t="n">
        <v>45182</v>
      </c>
      <c r="D1974" t="inlineStr">
        <is>
          <t>SÖDERMANLANDS LÄN</t>
        </is>
      </c>
      <c r="E1974" t="inlineStr">
        <is>
          <t>NYKÖPING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52822-2020</t>
        </is>
      </c>
      <c r="B1975" s="1" t="n">
        <v>44119</v>
      </c>
      <c r="C1975" s="1" t="n">
        <v>45182</v>
      </c>
      <c r="D1975" t="inlineStr">
        <is>
          <t>SÖDERMANLANDS LÄN</t>
        </is>
      </c>
      <c r="E1975" t="inlineStr">
        <is>
          <t>NYKÖPING</t>
        </is>
      </c>
      <c r="G1975" t="n">
        <v>6.1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52840-2020</t>
        </is>
      </c>
      <c r="B1976" s="1" t="n">
        <v>44119</v>
      </c>
      <c r="C1976" s="1" t="n">
        <v>45182</v>
      </c>
      <c r="D1976" t="inlineStr">
        <is>
          <t>SÖDERMANLANDS LÄN</t>
        </is>
      </c>
      <c r="E1976" t="inlineStr">
        <is>
          <t>GNESTA</t>
        </is>
      </c>
      <c r="G1976" t="n">
        <v>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52808-2020</t>
        </is>
      </c>
      <c r="B1977" s="1" t="n">
        <v>44119</v>
      </c>
      <c r="C1977" s="1" t="n">
        <v>45182</v>
      </c>
      <c r="D1977" t="inlineStr">
        <is>
          <t>SÖDERMANLANDS LÄN</t>
        </is>
      </c>
      <c r="E1977" t="inlineStr">
        <is>
          <t>NYKÖPING</t>
        </is>
      </c>
      <c r="G1977" t="n">
        <v>6.4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52834-2020</t>
        </is>
      </c>
      <c r="B1978" s="1" t="n">
        <v>44119</v>
      </c>
      <c r="C1978" s="1" t="n">
        <v>45182</v>
      </c>
      <c r="D1978" t="inlineStr">
        <is>
          <t>SÖDERMANLANDS LÄN</t>
        </is>
      </c>
      <c r="E1978" t="inlineStr">
        <is>
          <t>GNESTA</t>
        </is>
      </c>
      <c r="G1978" t="n">
        <v>1.3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53092-2020</t>
        </is>
      </c>
      <c r="B1979" s="1" t="n">
        <v>44120</v>
      </c>
      <c r="C1979" s="1" t="n">
        <v>45182</v>
      </c>
      <c r="D1979" t="inlineStr">
        <is>
          <t>SÖDERMANLANDS LÄN</t>
        </is>
      </c>
      <c r="E1979" t="inlineStr">
        <is>
          <t>NYKÖPING</t>
        </is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53085-2020</t>
        </is>
      </c>
      <c r="B1980" s="1" t="n">
        <v>44120</v>
      </c>
      <c r="C1980" s="1" t="n">
        <v>45182</v>
      </c>
      <c r="D1980" t="inlineStr">
        <is>
          <t>SÖDERMANLANDS LÄN</t>
        </is>
      </c>
      <c r="E1980" t="inlineStr">
        <is>
          <t>ESKILSTUNA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53897-2020</t>
        </is>
      </c>
      <c r="B1981" s="1" t="n">
        <v>44124</v>
      </c>
      <c r="C1981" s="1" t="n">
        <v>45182</v>
      </c>
      <c r="D1981" t="inlineStr">
        <is>
          <t>SÖDERMANLANDS LÄN</t>
        </is>
      </c>
      <c r="E1981" t="inlineStr">
        <is>
          <t>STRÄNGNÄS</t>
        </is>
      </c>
      <c r="G1981" t="n">
        <v>6.3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53659-2020</t>
        </is>
      </c>
      <c r="B1982" s="1" t="n">
        <v>44124</v>
      </c>
      <c r="C1982" s="1" t="n">
        <v>45182</v>
      </c>
      <c r="D1982" t="inlineStr">
        <is>
          <t>SÖDERMANLANDS LÄN</t>
        </is>
      </c>
      <c r="E1982" t="inlineStr">
        <is>
          <t>NYKÖPING</t>
        </is>
      </c>
      <c r="G1982" t="n">
        <v>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53767-2020</t>
        </is>
      </c>
      <c r="B1983" s="1" t="n">
        <v>44124</v>
      </c>
      <c r="C1983" s="1" t="n">
        <v>45182</v>
      </c>
      <c r="D1983" t="inlineStr">
        <is>
          <t>SÖDERMANLANDS LÄN</t>
        </is>
      </c>
      <c r="E1983" t="inlineStr">
        <is>
          <t>VINGÅKER</t>
        </is>
      </c>
      <c r="G1983" t="n">
        <v>2.5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53805-2020</t>
        </is>
      </c>
      <c r="B1984" s="1" t="n">
        <v>44124</v>
      </c>
      <c r="C1984" s="1" t="n">
        <v>45182</v>
      </c>
      <c r="D1984" t="inlineStr">
        <is>
          <t>SÖDERMANLANDS LÄN</t>
        </is>
      </c>
      <c r="E1984" t="inlineStr">
        <is>
          <t>ESKILSTUNA</t>
        </is>
      </c>
      <c r="G1984" t="n">
        <v>10.9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53812-2020</t>
        </is>
      </c>
      <c r="B1985" s="1" t="n">
        <v>44124</v>
      </c>
      <c r="C1985" s="1" t="n">
        <v>45182</v>
      </c>
      <c r="D1985" t="inlineStr">
        <is>
          <t>SÖDERMANLANDS LÄN</t>
        </is>
      </c>
      <c r="E1985" t="inlineStr">
        <is>
          <t>STRÄNGNÄS</t>
        </is>
      </c>
      <c r="F1985" t="inlineStr">
        <is>
          <t>Allmännings- och besparingsskogar</t>
        </is>
      </c>
      <c r="G1985" t="n">
        <v>10.8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53885-2020</t>
        </is>
      </c>
      <c r="B1986" s="1" t="n">
        <v>44124</v>
      </c>
      <c r="C1986" s="1" t="n">
        <v>45182</v>
      </c>
      <c r="D1986" t="inlineStr">
        <is>
          <t>SÖDERMANLANDS LÄN</t>
        </is>
      </c>
      <c r="E1986" t="inlineStr">
        <is>
          <t>STRÄNGNÄS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53634-2020</t>
        </is>
      </c>
      <c r="B1987" s="1" t="n">
        <v>44124</v>
      </c>
      <c r="C1987" s="1" t="n">
        <v>45182</v>
      </c>
      <c r="D1987" t="inlineStr">
        <is>
          <t>SÖDERMANLANDS LÄN</t>
        </is>
      </c>
      <c r="E1987" t="inlineStr">
        <is>
          <t>KATRINEHOLM</t>
        </is>
      </c>
      <c r="G1987" t="n">
        <v>2.5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54129-2020</t>
        </is>
      </c>
      <c r="B1988" s="1" t="n">
        <v>44124</v>
      </c>
      <c r="C1988" s="1" t="n">
        <v>45182</v>
      </c>
      <c r="D1988" t="inlineStr">
        <is>
          <t>SÖDERMANLANDS LÄN</t>
        </is>
      </c>
      <c r="E1988" t="inlineStr">
        <is>
          <t>VINGÅKER</t>
        </is>
      </c>
      <c r="G1988" t="n">
        <v>4.3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54115-2020</t>
        </is>
      </c>
      <c r="B1989" s="1" t="n">
        <v>44124</v>
      </c>
      <c r="C1989" s="1" t="n">
        <v>45182</v>
      </c>
      <c r="D1989" t="inlineStr">
        <is>
          <t>SÖDERMANLANDS LÄN</t>
        </is>
      </c>
      <c r="E1989" t="inlineStr">
        <is>
          <t>VINGÅKER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54341-2020</t>
        </is>
      </c>
      <c r="B1990" s="1" t="n">
        <v>44126</v>
      </c>
      <c r="C1990" s="1" t="n">
        <v>45182</v>
      </c>
      <c r="D1990" t="inlineStr">
        <is>
          <t>SÖDERMANLANDS LÄN</t>
        </is>
      </c>
      <c r="E1990" t="inlineStr">
        <is>
          <t>STRÄNGNÄS</t>
        </is>
      </c>
      <c r="G1990" t="n">
        <v>2.3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54353-2020</t>
        </is>
      </c>
      <c r="B1991" s="1" t="n">
        <v>44126</v>
      </c>
      <c r="C1991" s="1" t="n">
        <v>45182</v>
      </c>
      <c r="D1991" t="inlineStr">
        <is>
          <t>SÖDERMANLANDS LÄN</t>
        </is>
      </c>
      <c r="E1991" t="inlineStr">
        <is>
          <t>STRÄNGNÄS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54846-2020</t>
        </is>
      </c>
      <c r="B1992" s="1" t="n">
        <v>44126</v>
      </c>
      <c r="C1992" s="1" t="n">
        <v>45182</v>
      </c>
      <c r="D1992" t="inlineStr">
        <is>
          <t>SÖDERMANLANDS LÄN</t>
        </is>
      </c>
      <c r="E1992" t="inlineStr">
        <is>
          <t>NYKÖPING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54914-2020</t>
        </is>
      </c>
      <c r="B1993" s="1" t="n">
        <v>44127</v>
      </c>
      <c r="C1993" s="1" t="n">
        <v>45182</v>
      </c>
      <c r="D1993" t="inlineStr">
        <is>
          <t>SÖDERMANLANDS LÄN</t>
        </is>
      </c>
      <c r="E1993" t="inlineStr">
        <is>
          <t>VINGÅKER</t>
        </is>
      </c>
      <c r="G1993" t="n">
        <v>4.8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54919-2020</t>
        </is>
      </c>
      <c r="B1994" s="1" t="n">
        <v>44127</v>
      </c>
      <c r="C1994" s="1" t="n">
        <v>45182</v>
      </c>
      <c r="D1994" t="inlineStr">
        <is>
          <t>SÖDERMANLANDS LÄN</t>
        </is>
      </c>
      <c r="E1994" t="inlineStr">
        <is>
          <t>FLEN</t>
        </is>
      </c>
      <c r="G1994" t="n">
        <v>1.6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54918-2020</t>
        </is>
      </c>
      <c r="B1995" s="1" t="n">
        <v>44127</v>
      </c>
      <c r="C1995" s="1" t="n">
        <v>45182</v>
      </c>
      <c r="D1995" t="inlineStr">
        <is>
          <t>SÖDERMANLANDS LÄN</t>
        </is>
      </c>
      <c r="E1995" t="inlineStr">
        <is>
          <t>FLEN</t>
        </is>
      </c>
      <c r="G1995" t="n">
        <v>9.5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54905-2020</t>
        </is>
      </c>
      <c r="B1996" s="1" t="n">
        <v>44128</v>
      </c>
      <c r="C1996" s="1" t="n">
        <v>45182</v>
      </c>
      <c r="D1996" t="inlineStr">
        <is>
          <t>SÖDERMANLANDS LÄN</t>
        </is>
      </c>
      <c r="E1996" t="inlineStr">
        <is>
          <t>KATRINEHOLM</t>
        </is>
      </c>
      <c r="G1996" t="n">
        <v>6.9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55033-2020</t>
        </is>
      </c>
      <c r="B1997" s="1" t="n">
        <v>44130</v>
      </c>
      <c r="C1997" s="1" t="n">
        <v>45182</v>
      </c>
      <c r="D1997" t="inlineStr">
        <is>
          <t>SÖDERMANLANDS LÄN</t>
        </is>
      </c>
      <c r="E1997" t="inlineStr">
        <is>
          <t>KATRINEHOLM</t>
        </is>
      </c>
      <c r="G1997" t="n">
        <v>2.2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55074-2020</t>
        </is>
      </c>
      <c r="B1998" s="1" t="n">
        <v>44130</v>
      </c>
      <c r="C1998" s="1" t="n">
        <v>45182</v>
      </c>
      <c r="D1998" t="inlineStr">
        <is>
          <t>SÖDERMANLANDS LÄN</t>
        </is>
      </c>
      <c r="E1998" t="inlineStr">
        <is>
          <t>KATRINEHOLM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55040-2020</t>
        </is>
      </c>
      <c r="B1999" s="1" t="n">
        <v>44130</v>
      </c>
      <c r="C1999" s="1" t="n">
        <v>45182</v>
      </c>
      <c r="D1999" t="inlineStr">
        <is>
          <t>SÖDERMANLANDS LÄN</t>
        </is>
      </c>
      <c r="E1999" t="inlineStr">
        <is>
          <t>KATRINEHOLM</t>
        </is>
      </c>
      <c r="G1999" t="n">
        <v>3.7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55038-2020</t>
        </is>
      </c>
      <c r="B2000" s="1" t="n">
        <v>44130</v>
      </c>
      <c r="C2000" s="1" t="n">
        <v>45182</v>
      </c>
      <c r="D2000" t="inlineStr">
        <is>
          <t>SÖDERMANLANDS LÄN</t>
        </is>
      </c>
      <c r="E2000" t="inlineStr">
        <is>
          <t>KATRINEHOLM</t>
        </is>
      </c>
      <c r="G2000" t="n">
        <v>3.2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55031-2020</t>
        </is>
      </c>
      <c r="B2001" s="1" t="n">
        <v>44130</v>
      </c>
      <c r="C2001" s="1" t="n">
        <v>45182</v>
      </c>
      <c r="D2001" t="inlineStr">
        <is>
          <t>SÖDERMANLANDS LÄN</t>
        </is>
      </c>
      <c r="E2001" t="inlineStr">
        <is>
          <t>KATRINEHOLM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55136-2020</t>
        </is>
      </c>
      <c r="B2002" s="1" t="n">
        <v>44130</v>
      </c>
      <c r="C2002" s="1" t="n">
        <v>45182</v>
      </c>
      <c r="D2002" t="inlineStr">
        <is>
          <t>SÖDERMANLANDS LÄN</t>
        </is>
      </c>
      <c r="E2002" t="inlineStr">
        <is>
          <t>KATRINEHOLM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55308-2020</t>
        </is>
      </c>
      <c r="B2003" s="1" t="n">
        <v>44130</v>
      </c>
      <c r="C2003" s="1" t="n">
        <v>45182</v>
      </c>
      <c r="D2003" t="inlineStr">
        <is>
          <t>SÖDERMANLANDS LÄN</t>
        </is>
      </c>
      <c r="E2003" t="inlineStr">
        <is>
          <t>ESKILSTUNA</t>
        </is>
      </c>
      <c r="F2003" t="inlineStr">
        <is>
          <t>Allmännings- och besparingsskogar</t>
        </is>
      </c>
      <c r="G2003" t="n">
        <v>2.1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55686-2020</t>
        </is>
      </c>
      <c r="B2004" s="1" t="n">
        <v>44131</v>
      </c>
      <c r="C2004" s="1" t="n">
        <v>45182</v>
      </c>
      <c r="D2004" t="inlineStr">
        <is>
          <t>SÖDERMANLANDS LÄN</t>
        </is>
      </c>
      <c r="E2004" t="inlineStr">
        <is>
          <t>STRÄNGNÄS</t>
        </is>
      </c>
      <c r="G2004" t="n">
        <v>2.5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55746-2020</t>
        </is>
      </c>
      <c r="B2005" s="1" t="n">
        <v>44132</v>
      </c>
      <c r="C2005" s="1" t="n">
        <v>45182</v>
      </c>
      <c r="D2005" t="inlineStr">
        <is>
          <t>SÖDERMANLANDS LÄN</t>
        </is>
      </c>
      <c r="E2005" t="inlineStr">
        <is>
          <t>TROSA</t>
        </is>
      </c>
      <c r="F2005" t="inlineStr">
        <is>
          <t>Kommuner</t>
        </is>
      </c>
      <c r="G2005" t="n">
        <v>1.6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55971-2020</t>
        </is>
      </c>
      <c r="B2006" s="1" t="n">
        <v>44132</v>
      </c>
      <c r="C2006" s="1" t="n">
        <v>45182</v>
      </c>
      <c r="D2006" t="inlineStr">
        <is>
          <t>SÖDERMANLANDS LÄN</t>
        </is>
      </c>
      <c r="E2006" t="inlineStr">
        <is>
          <t>ESKILSTUNA</t>
        </is>
      </c>
      <c r="F2006" t="inlineStr">
        <is>
          <t>Kyrkan</t>
        </is>
      </c>
      <c r="G2006" t="n">
        <v>3.2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55713-2020</t>
        </is>
      </c>
      <c r="B2007" s="1" t="n">
        <v>44132</v>
      </c>
      <c r="C2007" s="1" t="n">
        <v>45182</v>
      </c>
      <c r="D2007" t="inlineStr">
        <is>
          <t>SÖDERMANLANDS LÄN</t>
        </is>
      </c>
      <c r="E2007" t="inlineStr">
        <is>
          <t>NYKÖPING</t>
        </is>
      </c>
      <c r="F2007" t="inlineStr">
        <is>
          <t>Kommuner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55719-2020</t>
        </is>
      </c>
      <c r="B2008" s="1" t="n">
        <v>44132</v>
      </c>
      <c r="C2008" s="1" t="n">
        <v>45182</v>
      </c>
      <c r="D2008" t="inlineStr">
        <is>
          <t>SÖDERMANLANDS LÄN</t>
        </is>
      </c>
      <c r="E2008" t="inlineStr">
        <is>
          <t>TROSA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55696-2020</t>
        </is>
      </c>
      <c r="B2009" s="1" t="n">
        <v>44132</v>
      </c>
      <c r="C2009" s="1" t="n">
        <v>45182</v>
      </c>
      <c r="D2009" t="inlineStr">
        <is>
          <t>SÖDERMANLANDS LÄN</t>
        </is>
      </c>
      <c r="E2009" t="inlineStr">
        <is>
          <t>NYKÖPING</t>
        </is>
      </c>
      <c r="G2009" t="n">
        <v>4.2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55709-2020</t>
        </is>
      </c>
      <c r="B2010" s="1" t="n">
        <v>44132</v>
      </c>
      <c r="C2010" s="1" t="n">
        <v>45182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3.2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55716-2020</t>
        </is>
      </c>
      <c r="B2011" s="1" t="n">
        <v>44132</v>
      </c>
      <c r="C2011" s="1" t="n">
        <v>45182</v>
      </c>
      <c r="D2011" t="inlineStr">
        <is>
          <t>SÖDERMANLANDS LÄN</t>
        </is>
      </c>
      <c r="E2011" t="inlineStr">
        <is>
          <t>NYKÖPING</t>
        </is>
      </c>
      <c r="F2011" t="inlineStr">
        <is>
          <t>Kommuner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55753-2020</t>
        </is>
      </c>
      <c r="B2012" s="1" t="n">
        <v>44132</v>
      </c>
      <c r="C2012" s="1" t="n">
        <v>45182</v>
      </c>
      <c r="D2012" t="inlineStr">
        <is>
          <t>SÖDERMANLANDS LÄN</t>
        </is>
      </c>
      <c r="E2012" t="inlineStr">
        <is>
          <t>TROSA</t>
        </is>
      </c>
      <c r="G2012" t="n">
        <v>8.5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55914-2020</t>
        </is>
      </c>
      <c r="B2013" s="1" t="n">
        <v>44132</v>
      </c>
      <c r="C2013" s="1" t="n">
        <v>45182</v>
      </c>
      <c r="D2013" t="inlineStr">
        <is>
          <t>SÖDERMANLANDS LÄN</t>
        </is>
      </c>
      <c r="E2013" t="inlineStr">
        <is>
          <t>ESKILSTUNA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55976-2020</t>
        </is>
      </c>
      <c r="B2014" s="1" t="n">
        <v>44132</v>
      </c>
      <c r="C2014" s="1" t="n">
        <v>45182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55877-2020</t>
        </is>
      </c>
      <c r="B2015" s="1" t="n">
        <v>44132</v>
      </c>
      <c r="C2015" s="1" t="n">
        <v>45182</v>
      </c>
      <c r="D2015" t="inlineStr">
        <is>
          <t>SÖDERMANLANDS LÄN</t>
        </is>
      </c>
      <c r="E2015" t="inlineStr">
        <is>
          <t>STRÄNGNÄS</t>
        </is>
      </c>
      <c r="F2015" t="inlineStr">
        <is>
          <t>Allmännings- och besparingsskogar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55968-2020</t>
        </is>
      </c>
      <c r="B2016" s="1" t="n">
        <v>44132</v>
      </c>
      <c r="C2016" s="1" t="n">
        <v>45182</v>
      </c>
      <c r="D2016" t="inlineStr">
        <is>
          <t>SÖDERMANLANDS LÄN</t>
        </is>
      </c>
      <c r="E2016" t="inlineStr">
        <is>
          <t>ESKILSTUNA</t>
        </is>
      </c>
      <c r="F2016" t="inlineStr">
        <is>
          <t>Kyrkan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56133-2020</t>
        </is>
      </c>
      <c r="B2017" s="1" t="n">
        <v>44133</v>
      </c>
      <c r="C2017" s="1" t="n">
        <v>45182</v>
      </c>
      <c r="D2017" t="inlineStr">
        <is>
          <t>SÖDERMANLANDS LÄN</t>
        </is>
      </c>
      <c r="E2017" t="inlineStr">
        <is>
          <t>VINGÅKER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56179-2020</t>
        </is>
      </c>
      <c r="B2018" s="1" t="n">
        <v>44133</v>
      </c>
      <c r="C2018" s="1" t="n">
        <v>45182</v>
      </c>
      <c r="D2018" t="inlineStr">
        <is>
          <t>SÖDERMANLANDS LÄN</t>
        </is>
      </c>
      <c r="E2018" t="inlineStr">
        <is>
          <t>TROSA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56556-2020</t>
        </is>
      </c>
      <c r="B2019" s="1" t="n">
        <v>44134</v>
      </c>
      <c r="C2019" s="1" t="n">
        <v>45182</v>
      </c>
      <c r="D2019" t="inlineStr">
        <is>
          <t>SÖDERMANLANDS LÄN</t>
        </is>
      </c>
      <c r="E2019" t="inlineStr">
        <is>
          <t>ESKILSTUNA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56449-2020</t>
        </is>
      </c>
      <c r="B2020" s="1" t="n">
        <v>44134</v>
      </c>
      <c r="C2020" s="1" t="n">
        <v>45182</v>
      </c>
      <c r="D2020" t="inlineStr">
        <is>
          <t>SÖDERMANLANDS LÄN</t>
        </is>
      </c>
      <c r="E2020" t="inlineStr">
        <is>
          <t>ESKILSTUNA</t>
        </is>
      </c>
      <c r="G2020" t="n">
        <v>1.1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56390-2020</t>
        </is>
      </c>
      <c r="B2021" s="1" t="n">
        <v>44136</v>
      </c>
      <c r="C2021" s="1" t="n">
        <v>45182</v>
      </c>
      <c r="D2021" t="inlineStr">
        <is>
          <t>SÖDERMANLANDS LÄN</t>
        </is>
      </c>
      <c r="E2021" t="inlineStr">
        <is>
          <t>GNESTA</t>
        </is>
      </c>
      <c r="G2021" t="n">
        <v>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56615-2020</t>
        </is>
      </c>
      <c r="B2022" s="1" t="n">
        <v>44137</v>
      </c>
      <c r="C2022" s="1" t="n">
        <v>45182</v>
      </c>
      <c r="D2022" t="inlineStr">
        <is>
          <t>SÖDERMANLANDS LÄN</t>
        </is>
      </c>
      <c r="E2022" t="inlineStr">
        <is>
          <t>NYKÖPING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56617-2020</t>
        </is>
      </c>
      <c r="B2023" s="1" t="n">
        <v>44137</v>
      </c>
      <c r="C2023" s="1" t="n">
        <v>45182</v>
      </c>
      <c r="D2023" t="inlineStr">
        <is>
          <t>SÖDERMANLANDS LÄN</t>
        </is>
      </c>
      <c r="E2023" t="inlineStr">
        <is>
          <t>NYKÖPING</t>
        </is>
      </c>
      <c r="G2023" t="n">
        <v>0.3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57125-2020</t>
        </is>
      </c>
      <c r="B2024" s="1" t="n">
        <v>44138</v>
      </c>
      <c r="C2024" s="1" t="n">
        <v>45182</v>
      </c>
      <c r="D2024" t="inlineStr">
        <is>
          <t>SÖDERMANLANDS LÄN</t>
        </is>
      </c>
      <c r="E2024" t="inlineStr">
        <is>
          <t>KATRINEHOLM</t>
        </is>
      </c>
      <c r="G2024" t="n">
        <v>1.6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57156-2020</t>
        </is>
      </c>
      <c r="B2025" s="1" t="n">
        <v>44138</v>
      </c>
      <c r="C2025" s="1" t="n">
        <v>45182</v>
      </c>
      <c r="D2025" t="inlineStr">
        <is>
          <t>SÖDERMANLANDS LÄN</t>
        </is>
      </c>
      <c r="E2025" t="inlineStr">
        <is>
          <t>NYKÖPING</t>
        </is>
      </c>
      <c r="G2025" t="n">
        <v>12.4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56905-2020</t>
        </is>
      </c>
      <c r="B2026" s="1" t="n">
        <v>44138</v>
      </c>
      <c r="C2026" s="1" t="n">
        <v>45182</v>
      </c>
      <c r="D2026" t="inlineStr">
        <is>
          <t>SÖDERMANLANDS LÄN</t>
        </is>
      </c>
      <c r="E2026" t="inlineStr">
        <is>
          <t>STRÄNGNÄS</t>
        </is>
      </c>
      <c r="G2026" t="n">
        <v>4.5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57140-2020</t>
        </is>
      </c>
      <c r="B2027" s="1" t="n">
        <v>44138</v>
      </c>
      <c r="C2027" s="1" t="n">
        <v>45182</v>
      </c>
      <c r="D2027" t="inlineStr">
        <is>
          <t>SÖDERMANLANDS LÄN</t>
        </is>
      </c>
      <c r="E2027" t="inlineStr">
        <is>
          <t>NYKÖPING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57165-2020</t>
        </is>
      </c>
      <c r="B2028" s="1" t="n">
        <v>44138</v>
      </c>
      <c r="C2028" s="1" t="n">
        <v>45182</v>
      </c>
      <c r="D2028" t="inlineStr">
        <is>
          <t>SÖDERMANLANDS LÄN</t>
        </is>
      </c>
      <c r="E2028" t="inlineStr">
        <is>
          <t>FLEN</t>
        </is>
      </c>
      <c r="G2028" t="n">
        <v>0.8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57128-2020</t>
        </is>
      </c>
      <c r="B2029" s="1" t="n">
        <v>44138</v>
      </c>
      <c r="C2029" s="1" t="n">
        <v>45182</v>
      </c>
      <c r="D2029" t="inlineStr">
        <is>
          <t>SÖDERMANLANDS LÄN</t>
        </is>
      </c>
      <c r="E2029" t="inlineStr">
        <is>
          <t>NYKÖPING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56863-2020</t>
        </is>
      </c>
      <c r="B2030" s="1" t="n">
        <v>44138</v>
      </c>
      <c r="C2030" s="1" t="n">
        <v>45182</v>
      </c>
      <c r="D2030" t="inlineStr">
        <is>
          <t>SÖDERMANLANDS LÄN</t>
        </is>
      </c>
      <c r="E2030" t="inlineStr">
        <is>
          <t>FLEN</t>
        </is>
      </c>
      <c r="G2030" t="n">
        <v>2.5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57123-2020</t>
        </is>
      </c>
      <c r="B2031" s="1" t="n">
        <v>44138</v>
      </c>
      <c r="C2031" s="1" t="n">
        <v>45182</v>
      </c>
      <c r="D2031" t="inlineStr">
        <is>
          <t>SÖDERMANLANDS LÄN</t>
        </is>
      </c>
      <c r="E2031" t="inlineStr">
        <is>
          <t>NYKÖPING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57148-2020</t>
        </is>
      </c>
      <c r="B2032" s="1" t="n">
        <v>44138</v>
      </c>
      <c r="C2032" s="1" t="n">
        <v>45182</v>
      </c>
      <c r="D2032" t="inlineStr">
        <is>
          <t>SÖDERMANLANDS LÄN</t>
        </is>
      </c>
      <c r="E2032" t="inlineStr">
        <is>
          <t>NYKÖPING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57173-2020</t>
        </is>
      </c>
      <c r="B2033" s="1" t="n">
        <v>44138</v>
      </c>
      <c r="C2033" s="1" t="n">
        <v>45182</v>
      </c>
      <c r="D2033" t="inlineStr">
        <is>
          <t>SÖDERMANLANDS LÄN</t>
        </is>
      </c>
      <c r="E2033" t="inlineStr">
        <is>
          <t>FLEN</t>
        </is>
      </c>
      <c r="G2033" t="n">
        <v>4.8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57591-2020</t>
        </is>
      </c>
      <c r="B2034" s="1" t="n">
        <v>44139</v>
      </c>
      <c r="C2034" s="1" t="n">
        <v>45182</v>
      </c>
      <c r="D2034" t="inlineStr">
        <is>
          <t>SÖDERMANLANDS LÄN</t>
        </is>
      </c>
      <c r="E2034" t="inlineStr">
        <is>
          <t>VINGÅKER</t>
        </is>
      </c>
      <c r="G2034" t="n">
        <v>3.5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57118-2020</t>
        </is>
      </c>
      <c r="B2035" s="1" t="n">
        <v>44139</v>
      </c>
      <c r="C2035" s="1" t="n">
        <v>45182</v>
      </c>
      <c r="D2035" t="inlineStr">
        <is>
          <t>SÖDERMANLANDS LÄN</t>
        </is>
      </c>
      <c r="E2035" t="inlineStr">
        <is>
          <t>GNESTA</t>
        </is>
      </c>
      <c r="G2035" t="n">
        <v>4.4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57132-2020</t>
        </is>
      </c>
      <c r="B2036" s="1" t="n">
        <v>44139</v>
      </c>
      <c r="C2036" s="1" t="n">
        <v>45182</v>
      </c>
      <c r="D2036" t="inlineStr">
        <is>
          <t>SÖDERMANLANDS LÄN</t>
        </is>
      </c>
      <c r="E2036" t="inlineStr">
        <is>
          <t>KATRINEHOLM</t>
        </is>
      </c>
      <c r="G2036" t="n">
        <v>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57251-2020</t>
        </is>
      </c>
      <c r="B2037" s="1" t="n">
        <v>44139</v>
      </c>
      <c r="C2037" s="1" t="n">
        <v>45182</v>
      </c>
      <c r="D2037" t="inlineStr">
        <is>
          <t>SÖDERMANLANDS LÄN</t>
        </is>
      </c>
      <c r="E2037" t="inlineStr">
        <is>
          <t>FLEN</t>
        </is>
      </c>
      <c r="G2037" t="n">
        <v>8.4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57266-2020</t>
        </is>
      </c>
      <c r="B2038" s="1" t="n">
        <v>44139</v>
      </c>
      <c r="C2038" s="1" t="n">
        <v>45182</v>
      </c>
      <c r="D2038" t="inlineStr">
        <is>
          <t>SÖDERMANLANDS LÄN</t>
        </is>
      </c>
      <c r="E2038" t="inlineStr">
        <is>
          <t>ESKILSTUNA</t>
        </is>
      </c>
      <c r="F2038" t="inlineStr">
        <is>
          <t>Kommuner</t>
        </is>
      </c>
      <c r="G2038" t="n">
        <v>11.9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57682-2020</t>
        </is>
      </c>
      <c r="B2039" s="1" t="n">
        <v>44140</v>
      </c>
      <c r="C2039" s="1" t="n">
        <v>45182</v>
      </c>
      <c r="D2039" t="inlineStr">
        <is>
          <t>SÖDERMANLANDS LÄN</t>
        </is>
      </c>
      <c r="E2039" t="inlineStr">
        <is>
          <t>FLEN</t>
        </is>
      </c>
      <c r="F2039" t="inlineStr">
        <is>
          <t>Kyrkan</t>
        </is>
      </c>
      <c r="G2039" t="n">
        <v>4.6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57462-2020</t>
        </is>
      </c>
      <c r="B2040" s="1" t="n">
        <v>44140</v>
      </c>
      <c r="C2040" s="1" t="n">
        <v>45182</v>
      </c>
      <c r="D2040" t="inlineStr">
        <is>
          <t>SÖDERMANLANDS LÄN</t>
        </is>
      </c>
      <c r="E2040" t="inlineStr">
        <is>
          <t>KATRINEHOLM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57519-2020</t>
        </is>
      </c>
      <c r="B2041" s="1" t="n">
        <v>44140</v>
      </c>
      <c r="C2041" s="1" t="n">
        <v>45182</v>
      </c>
      <c r="D2041" t="inlineStr">
        <is>
          <t>SÖDERMANLANDS LÄN</t>
        </is>
      </c>
      <c r="E2041" t="inlineStr">
        <is>
          <t>STRÄNGNÄS</t>
        </is>
      </c>
      <c r="F2041" t="inlineStr">
        <is>
          <t>Allmännings- och besparingsskogar</t>
        </is>
      </c>
      <c r="G2041" t="n">
        <v>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57577-2020</t>
        </is>
      </c>
      <c r="B2042" s="1" t="n">
        <v>44140</v>
      </c>
      <c r="C2042" s="1" t="n">
        <v>45182</v>
      </c>
      <c r="D2042" t="inlineStr">
        <is>
          <t>SÖDERMANLANDS LÄN</t>
        </is>
      </c>
      <c r="E2042" t="inlineStr">
        <is>
          <t>ESKILSTUNA</t>
        </is>
      </c>
      <c r="F2042" t="inlineStr">
        <is>
          <t>Allmännings- och besparingsskogar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57642-2020</t>
        </is>
      </c>
      <c r="B2043" s="1" t="n">
        <v>44140</v>
      </c>
      <c r="C2043" s="1" t="n">
        <v>45182</v>
      </c>
      <c r="D2043" t="inlineStr">
        <is>
          <t>SÖDERMANLANDS LÄN</t>
        </is>
      </c>
      <c r="E2043" t="inlineStr">
        <is>
          <t>STRÄNGNÄS</t>
        </is>
      </c>
      <c r="F2043" t="inlineStr">
        <is>
          <t>Allmännings- och besparingsskogar</t>
        </is>
      </c>
      <c r="G2043" t="n">
        <v>5.9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  <c r="U2043">
        <f>HYPERLINK("https://klasma.github.io/Logging_STRANGNAS/knärot/A 57642-2020.png")</f>
        <v/>
      </c>
      <c r="V2043">
        <f>HYPERLINK("https://klasma.github.io/Logging_STRANGNAS/klagomål/A 57642-2020.docx")</f>
        <v/>
      </c>
      <c r="W2043">
        <f>HYPERLINK("https://klasma.github.io/Logging_STRANGNAS/klagomålsmail/A 57642-2020.docx")</f>
        <v/>
      </c>
      <c r="X2043">
        <f>HYPERLINK("https://klasma.github.io/Logging_STRANGNAS/tillsyn/A 57642-2020.docx")</f>
        <v/>
      </c>
      <c r="Y2043">
        <f>HYPERLINK("https://klasma.github.io/Logging_STRANGNAS/tillsynsmail/A 57642-2020.docx")</f>
        <v/>
      </c>
    </row>
    <row r="2044" ht="15" customHeight="1">
      <c r="A2044" t="inlineStr">
        <is>
          <t>A 57693-2020</t>
        </is>
      </c>
      <c r="B2044" s="1" t="n">
        <v>44140</v>
      </c>
      <c r="C2044" s="1" t="n">
        <v>45182</v>
      </c>
      <c r="D2044" t="inlineStr">
        <is>
          <t>SÖDERMANLANDS LÄN</t>
        </is>
      </c>
      <c r="E2044" t="inlineStr">
        <is>
          <t>KATRINEHOLM</t>
        </is>
      </c>
      <c r="G2044" t="n">
        <v>2.3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57689-2020</t>
        </is>
      </c>
      <c r="B2045" s="1" t="n">
        <v>44140</v>
      </c>
      <c r="C2045" s="1" t="n">
        <v>45182</v>
      </c>
      <c r="D2045" t="inlineStr">
        <is>
          <t>SÖDERMANLANDS LÄN</t>
        </is>
      </c>
      <c r="E2045" t="inlineStr">
        <is>
          <t>FLEN</t>
        </is>
      </c>
      <c r="F2045" t="inlineStr">
        <is>
          <t>Kyrkan</t>
        </is>
      </c>
      <c r="G2045" t="n">
        <v>5.5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57414-2020</t>
        </is>
      </c>
      <c r="B2046" s="1" t="n">
        <v>44140</v>
      </c>
      <c r="C2046" s="1" t="n">
        <v>45182</v>
      </c>
      <c r="D2046" t="inlineStr">
        <is>
          <t>SÖDERMANLANDS LÄN</t>
        </is>
      </c>
      <c r="E2046" t="inlineStr">
        <is>
          <t>NYKÖPING</t>
        </is>
      </c>
      <c r="G2046" t="n">
        <v>12.7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57687-2020</t>
        </is>
      </c>
      <c r="B2047" s="1" t="n">
        <v>44140</v>
      </c>
      <c r="C2047" s="1" t="n">
        <v>45182</v>
      </c>
      <c r="D2047" t="inlineStr">
        <is>
          <t>SÖDERMANLANDS LÄN</t>
        </is>
      </c>
      <c r="E2047" t="inlineStr">
        <is>
          <t>KATRINEHOLM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57745-2020</t>
        </is>
      </c>
      <c r="B2048" s="1" t="n">
        <v>44141</v>
      </c>
      <c r="C2048" s="1" t="n">
        <v>45182</v>
      </c>
      <c r="D2048" t="inlineStr">
        <is>
          <t>SÖDERMANLANDS LÄN</t>
        </is>
      </c>
      <c r="E2048" t="inlineStr">
        <is>
          <t>KATRINEHOLM</t>
        </is>
      </c>
      <c r="G2048" t="n">
        <v>1.8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57947-2020</t>
        </is>
      </c>
      <c r="B2049" s="1" t="n">
        <v>44142</v>
      </c>
      <c r="C2049" s="1" t="n">
        <v>45182</v>
      </c>
      <c r="D2049" t="inlineStr">
        <is>
          <t>SÖDERMANLANDS LÄN</t>
        </is>
      </c>
      <c r="E2049" t="inlineStr">
        <is>
          <t>KATRINEHOLM</t>
        </is>
      </c>
      <c r="G2049" t="n">
        <v>9.6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58475-2020</t>
        </is>
      </c>
      <c r="B2050" s="1" t="n">
        <v>44144</v>
      </c>
      <c r="C2050" s="1" t="n">
        <v>45182</v>
      </c>
      <c r="D2050" t="inlineStr">
        <is>
          <t>SÖDERMANLANDS LÄN</t>
        </is>
      </c>
      <c r="E2050" t="inlineStr">
        <is>
          <t>ESKILSTUNA</t>
        </is>
      </c>
      <c r="G2050" t="n">
        <v>5.6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58163-2020</t>
        </is>
      </c>
      <c r="B2051" s="1" t="n">
        <v>44144</v>
      </c>
      <c r="C2051" s="1" t="n">
        <v>45182</v>
      </c>
      <c r="D2051" t="inlineStr">
        <is>
          <t>SÖDERMANLANDS LÄN</t>
        </is>
      </c>
      <c r="E2051" t="inlineStr">
        <is>
          <t>NYKÖPING</t>
        </is>
      </c>
      <c r="F2051" t="inlineStr">
        <is>
          <t>Holmen skog AB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58247-2020</t>
        </is>
      </c>
      <c r="B2052" s="1" t="n">
        <v>44144</v>
      </c>
      <c r="C2052" s="1" t="n">
        <v>45182</v>
      </c>
      <c r="D2052" t="inlineStr">
        <is>
          <t>SÖDERMANLANDS LÄN</t>
        </is>
      </c>
      <c r="E2052" t="inlineStr">
        <is>
          <t>VINGÅKER</t>
        </is>
      </c>
      <c r="G2052" t="n">
        <v>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58154-2020</t>
        </is>
      </c>
      <c r="B2053" s="1" t="n">
        <v>44144</v>
      </c>
      <c r="C2053" s="1" t="n">
        <v>45182</v>
      </c>
      <c r="D2053" t="inlineStr">
        <is>
          <t>SÖDERMANLANDS LÄN</t>
        </is>
      </c>
      <c r="E2053" t="inlineStr">
        <is>
          <t>NYKÖPING</t>
        </is>
      </c>
      <c r="F2053" t="inlineStr">
        <is>
          <t>Holmen skog AB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58624-2020</t>
        </is>
      </c>
      <c r="B2054" s="1" t="n">
        <v>44145</v>
      </c>
      <c r="C2054" s="1" t="n">
        <v>45182</v>
      </c>
      <c r="D2054" t="inlineStr">
        <is>
          <t>SÖDERMANLANDS LÄN</t>
        </is>
      </c>
      <c r="E2054" t="inlineStr">
        <is>
          <t>ESKILSTUNA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58620-2020</t>
        </is>
      </c>
      <c r="B2055" s="1" t="n">
        <v>44145</v>
      </c>
      <c r="C2055" s="1" t="n">
        <v>45182</v>
      </c>
      <c r="D2055" t="inlineStr">
        <is>
          <t>SÖDERMANLANDS LÄN</t>
        </is>
      </c>
      <c r="E2055" t="inlineStr">
        <is>
          <t>ESKILSTUNA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58436-2020</t>
        </is>
      </c>
      <c r="B2056" s="1" t="n">
        <v>44145</v>
      </c>
      <c r="C2056" s="1" t="n">
        <v>45182</v>
      </c>
      <c r="D2056" t="inlineStr">
        <is>
          <t>SÖDERMANLANDS LÄN</t>
        </is>
      </c>
      <c r="E2056" t="inlineStr">
        <is>
          <t>VINGÅKER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58592-2020</t>
        </is>
      </c>
      <c r="B2057" s="1" t="n">
        <v>44145</v>
      </c>
      <c r="C2057" s="1" t="n">
        <v>45182</v>
      </c>
      <c r="D2057" t="inlineStr">
        <is>
          <t>SÖDERMANLANDS LÄN</t>
        </is>
      </c>
      <c r="E2057" t="inlineStr">
        <is>
          <t>FLEN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58622-2020</t>
        </is>
      </c>
      <c r="B2058" s="1" t="n">
        <v>44145</v>
      </c>
      <c r="C2058" s="1" t="n">
        <v>45182</v>
      </c>
      <c r="D2058" t="inlineStr">
        <is>
          <t>SÖDERMANLANDS LÄN</t>
        </is>
      </c>
      <c r="E2058" t="inlineStr">
        <is>
          <t>ESKILSTUNA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58686-2020</t>
        </is>
      </c>
      <c r="B2059" s="1" t="n">
        <v>44146</v>
      </c>
      <c r="C2059" s="1" t="n">
        <v>45182</v>
      </c>
      <c r="D2059" t="inlineStr">
        <is>
          <t>SÖDERMANLANDS LÄN</t>
        </is>
      </c>
      <c r="E2059" t="inlineStr">
        <is>
          <t>NYKÖPING</t>
        </is>
      </c>
      <c r="G2059" t="n">
        <v>8.699999999999999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58884-2020</t>
        </is>
      </c>
      <c r="B2060" s="1" t="n">
        <v>44146</v>
      </c>
      <c r="C2060" s="1" t="n">
        <v>45182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58899-2020</t>
        </is>
      </c>
      <c r="B2061" s="1" t="n">
        <v>44146</v>
      </c>
      <c r="C2061" s="1" t="n">
        <v>45182</v>
      </c>
      <c r="D2061" t="inlineStr">
        <is>
          <t>SÖDERMANLANDS LÄN</t>
        </is>
      </c>
      <c r="E2061" t="inlineStr">
        <is>
          <t>NYKÖPING</t>
        </is>
      </c>
      <c r="G2061" t="n">
        <v>17.4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58921-2020</t>
        </is>
      </c>
      <c r="B2062" s="1" t="n">
        <v>44146</v>
      </c>
      <c r="C2062" s="1" t="n">
        <v>45182</v>
      </c>
      <c r="D2062" t="inlineStr">
        <is>
          <t>SÖDERMANLANDS LÄN</t>
        </is>
      </c>
      <c r="E2062" t="inlineStr">
        <is>
          <t>NYKÖPING</t>
        </is>
      </c>
      <c r="G2062" t="n">
        <v>0.4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58923-2020</t>
        </is>
      </c>
      <c r="B2063" s="1" t="n">
        <v>44146</v>
      </c>
      <c r="C2063" s="1" t="n">
        <v>45182</v>
      </c>
      <c r="D2063" t="inlineStr">
        <is>
          <t>SÖDERMANLANDS LÄN</t>
        </is>
      </c>
      <c r="E2063" t="inlineStr">
        <is>
          <t>NYKÖPING</t>
        </is>
      </c>
      <c r="G2063" t="n">
        <v>7.8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58948-2020</t>
        </is>
      </c>
      <c r="B2064" s="1" t="n">
        <v>44146</v>
      </c>
      <c r="C2064" s="1" t="n">
        <v>45182</v>
      </c>
      <c r="D2064" t="inlineStr">
        <is>
          <t>SÖDERMANLANDS LÄN</t>
        </is>
      </c>
      <c r="E2064" t="inlineStr">
        <is>
          <t>FLEN</t>
        </is>
      </c>
      <c r="G2064" t="n">
        <v>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58958-2020</t>
        </is>
      </c>
      <c r="B2065" s="1" t="n">
        <v>44146</v>
      </c>
      <c r="C2065" s="1" t="n">
        <v>45182</v>
      </c>
      <c r="D2065" t="inlineStr">
        <is>
          <t>SÖDERMANLANDS LÄN</t>
        </is>
      </c>
      <c r="E2065" t="inlineStr">
        <is>
          <t>KATRINEHOLM</t>
        </is>
      </c>
      <c r="F2065" t="inlineStr">
        <is>
          <t>Holmen skog AB</t>
        </is>
      </c>
      <c r="G2065" t="n">
        <v>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59079-2020</t>
        </is>
      </c>
      <c r="B2066" s="1" t="n">
        <v>44146</v>
      </c>
      <c r="C2066" s="1" t="n">
        <v>45182</v>
      </c>
      <c r="D2066" t="inlineStr">
        <is>
          <t>SÖDERMANLANDS LÄN</t>
        </is>
      </c>
      <c r="E2066" t="inlineStr">
        <is>
          <t>ESKILSTUNA</t>
        </is>
      </c>
      <c r="G2066" t="n">
        <v>6.7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59308-2020</t>
        </is>
      </c>
      <c r="B2067" s="1" t="n">
        <v>44147</v>
      </c>
      <c r="C2067" s="1" t="n">
        <v>45182</v>
      </c>
      <c r="D2067" t="inlineStr">
        <is>
          <t>SÖDERMANLANDS LÄN</t>
        </is>
      </c>
      <c r="E2067" t="inlineStr">
        <is>
          <t>KATRINEHOLM</t>
        </is>
      </c>
      <c r="G2067" t="n">
        <v>2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59117-2020</t>
        </is>
      </c>
      <c r="B2068" s="1" t="n">
        <v>44147</v>
      </c>
      <c r="C2068" s="1" t="n">
        <v>45182</v>
      </c>
      <c r="D2068" t="inlineStr">
        <is>
          <t>SÖDERMANLANDS LÄN</t>
        </is>
      </c>
      <c r="E2068" t="inlineStr">
        <is>
          <t>GNESTA</t>
        </is>
      </c>
      <c r="G2068" t="n">
        <v>0.1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59460-2020</t>
        </is>
      </c>
      <c r="B2069" s="1" t="n">
        <v>44148</v>
      </c>
      <c r="C2069" s="1" t="n">
        <v>45182</v>
      </c>
      <c r="D2069" t="inlineStr">
        <is>
          <t>SÖDERMANLANDS LÄN</t>
        </is>
      </c>
      <c r="E2069" t="inlineStr">
        <is>
          <t>VINGÅKER</t>
        </is>
      </c>
      <c r="G2069" t="n">
        <v>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59379-2020</t>
        </is>
      </c>
      <c r="B2070" s="1" t="n">
        <v>44148</v>
      </c>
      <c r="C2070" s="1" t="n">
        <v>45182</v>
      </c>
      <c r="D2070" t="inlineStr">
        <is>
          <t>SÖDERMANLANDS LÄN</t>
        </is>
      </c>
      <c r="E2070" t="inlineStr">
        <is>
          <t>ESKILSTUNA</t>
        </is>
      </c>
      <c r="F2070" t="inlineStr">
        <is>
          <t>Kyrkan</t>
        </is>
      </c>
      <c r="G2070" t="n">
        <v>4.2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59887-2020</t>
        </is>
      </c>
      <c r="B2071" s="1" t="n">
        <v>44151</v>
      </c>
      <c r="C2071" s="1" t="n">
        <v>45182</v>
      </c>
      <c r="D2071" t="inlineStr">
        <is>
          <t>SÖDERMANLANDS LÄN</t>
        </is>
      </c>
      <c r="E2071" t="inlineStr">
        <is>
          <t>KATRINEHOLM</t>
        </is>
      </c>
      <c r="G2071" t="n">
        <v>3.1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59927-2020</t>
        </is>
      </c>
      <c r="B2072" s="1" t="n">
        <v>44151</v>
      </c>
      <c r="C2072" s="1" t="n">
        <v>45182</v>
      </c>
      <c r="D2072" t="inlineStr">
        <is>
          <t>SÖDERMANLANDS LÄN</t>
        </is>
      </c>
      <c r="E2072" t="inlineStr">
        <is>
          <t>TROSA</t>
        </is>
      </c>
      <c r="G2072" t="n">
        <v>4.1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59749-2020</t>
        </is>
      </c>
      <c r="B2073" s="1" t="n">
        <v>44151</v>
      </c>
      <c r="C2073" s="1" t="n">
        <v>45182</v>
      </c>
      <c r="D2073" t="inlineStr">
        <is>
          <t>SÖDERMANLANDS LÄN</t>
        </is>
      </c>
      <c r="E2073" t="inlineStr">
        <is>
          <t>KATRINEHOLM</t>
        </is>
      </c>
      <c r="G2073" t="n">
        <v>2.1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59856-2020</t>
        </is>
      </c>
      <c r="B2074" s="1" t="n">
        <v>44151</v>
      </c>
      <c r="C2074" s="1" t="n">
        <v>45182</v>
      </c>
      <c r="D2074" t="inlineStr">
        <is>
          <t>SÖDERMANLANDS LÄN</t>
        </is>
      </c>
      <c r="E2074" t="inlineStr">
        <is>
          <t>NYKÖPING</t>
        </is>
      </c>
      <c r="G2074" t="n">
        <v>0.7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59877-2020</t>
        </is>
      </c>
      <c r="B2075" s="1" t="n">
        <v>44151</v>
      </c>
      <c r="C2075" s="1" t="n">
        <v>45182</v>
      </c>
      <c r="D2075" t="inlineStr">
        <is>
          <t>SÖDERMANLANDS LÄN</t>
        </is>
      </c>
      <c r="E2075" t="inlineStr">
        <is>
          <t>KATRINEHOLM</t>
        </is>
      </c>
      <c r="G2075" t="n">
        <v>0.8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60232-2020</t>
        </is>
      </c>
      <c r="B2076" s="1" t="n">
        <v>44152</v>
      </c>
      <c r="C2076" s="1" t="n">
        <v>45182</v>
      </c>
      <c r="D2076" t="inlineStr">
        <is>
          <t>SÖDERMANLANDS LÄN</t>
        </is>
      </c>
      <c r="E2076" t="inlineStr">
        <is>
          <t>NYKÖPING</t>
        </is>
      </c>
      <c r="G2076" t="n">
        <v>2.4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60409-2020</t>
        </is>
      </c>
      <c r="B2077" s="1" t="n">
        <v>44152</v>
      </c>
      <c r="C2077" s="1" t="n">
        <v>45182</v>
      </c>
      <c r="D2077" t="inlineStr">
        <is>
          <t>SÖDERMANLANDS LÄN</t>
        </is>
      </c>
      <c r="E2077" t="inlineStr">
        <is>
          <t>FLEN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60576-2020</t>
        </is>
      </c>
      <c r="B2078" s="1" t="n">
        <v>44152</v>
      </c>
      <c r="C2078" s="1" t="n">
        <v>45182</v>
      </c>
      <c r="D2078" t="inlineStr">
        <is>
          <t>SÖDERMANLANDS LÄN</t>
        </is>
      </c>
      <c r="E2078" t="inlineStr">
        <is>
          <t>ESKILSTUNA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60274-2020</t>
        </is>
      </c>
      <c r="B2079" s="1" t="n">
        <v>44152</v>
      </c>
      <c r="C2079" s="1" t="n">
        <v>45182</v>
      </c>
      <c r="D2079" t="inlineStr">
        <is>
          <t>SÖDERMANLANDS LÄN</t>
        </is>
      </c>
      <c r="E2079" t="inlineStr">
        <is>
          <t>NYKÖPING</t>
        </is>
      </c>
      <c r="F2079" t="inlineStr">
        <is>
          <t>Holmen skog AB</t>
        </is>
      </c>
      <c r="G2079" t="n">
        <v>2.1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61003-2020</t>
        </is>
      </c>
      <c r="B2080" s="1" t="n">
        <v>44153</v>
      </c>
      <c r="C2080" s="1" t="n">
        <v>45182</v>
      </c>
      <c r="D2080" t="inlineStr">
        <is>
          <t>SÖDERMANLANDS LÄN</t>
        </is>
      </c>
      <c r="E2080" t="inlineStr">
        <is>
          <t>NYKÖPING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60562-2020</t>
        </is>
      </c>
      <c r="B2081" s="1" t="n">
        <v>44153</v>
      </c>
      <c r="C2081" s="1" t="n">
        <v>45182</v>
      </c>
      <c r="D2081" t="inlineStr">
        <is>
          <t>SÖDERMANLANDS LÄN</t>
        </is>
      </c>
      <c r="E2081" t="inlineStr">
        <is>
          <t>VINGÅKER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60464-2020</t>
        </is>
      </c>
      <c r="B2082" s="1" t="n">
        <v>44153</v>
      </c>
      <c r="C2082" s="1" t="n">
        <v>45182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60478-2020</t>
        </is>
      </c>
      <c r="B2083" s="1" t="n">
        <v>44153</v>
      </c>
      <c r="C2083" s="1" t="n">
        <v>45182</v>
      </c>
      <c r="D2083" t="inlineStr">
        <is>
          <t>SÖDERMANLANDS LÄN</t>
        </is>
      </c>
      <c r="E2083" t="inlineStr">
        <is>
          <t>NYKÖPING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61006-2020</t>
        </is>
      </c>
      <c r="B2084" s="1" t="n">
        <v>44153</v>
      </c>
      <c r="C2084" s="1" t="n">
        <v>45182</v>
      </c>
      <c r="D2084" t="inlineStr">
        <is>
          <t>SÖDERMANLANDS LÄN</t>
        </is>
      </c>
      <c r="E2084" t="inlineStr">
        <is>
          <t>NYKÖPING</t>
        </is>
      </c>
      <c r="G2084" t="n">
        <v>13.6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61167-2020</t>
        </is>
      </c>
      <c r="B2085" s="1" t="n">
        <v>44155</v>
      </c>
      <c r="C2085" s="1" t="n">
        <v>45182</v>
      </c>
      <c r="D2085" t="inlineStr">
        <is>
          <t>SÖDERMANLANDS LÄN</t>
        </is>
      </c>
      <c r="E2085" t="inlineStr">
        <is>
          <t>KATRINEHOLM</t>
        </is>
      </c>
      <c r="G2085" t="n">
        <v>3.8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61219-2020</t>
        </is>
      </c>
      <c r="B2086" s="1" t="n">
        <v>44155</v>
      </c>
      <c r="C2086" s="1" t="n">
        <v>45182</v>
      </c>
      <c r="D2086" t="inlineStr">
        <is>
          <t>SÖDERMANLANDS LÄN</t>
        </is>
      </c>
      <c r="E2086" t="inlineStr">
        <is>
          <t>ESKILSTUNA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61348-2020</t>
        </is>
      </c>
      <c r="B2087" s="1" t="n">
        <v>44155</v>
      </c>
      <c r="C2087" s="1" t="n">
        <v>45182</v>
      </c>
      <c r="D2087" t="inlineStr">
        <is>
          <t>SÖDERMANLANDS LÄN</t>
        </is>
      </c>
      <c r="E2087" t="inlineStr">
        <is>
          <t>ESKILSTUNA</t>
        </is>
      </c>
      <c r="F2087" t="inlineStr">
        <is>
          <t>Kyrkan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61162-2020</t>
        </is>
      </c>
      <c r="B2088" s="1" t="n">
        <v>44155</v>
      </c>
      <c r="C2088" s="1" t="n">
        <v>45182</v>
      </c>
      <c r="D2088" t="inlineStr">
        <is>
          <t>SÖDERMANLANDS LÄN</t>
        </is>
      </c>
      <c r="E2088" t="inlineStr">
        <is>
          <t>ESKILSTUNA</t>
        </is>
      </c>
      <c r="G2088" t="n">
        <v>7.7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61697-2020</t>
        </is>
      </c>
      <c r="B2089" s="1" t="n">
        <v>44158</v>
      </c>
      <c r="C2089" s="1" t="n">
        <v>45182</v>
      </c>
      <c r="D2089" t="inlineStr">
        <is>
          <t>SÖDERMANLANDS LÄN</t>
        </is>
      </c>
      <c r="E2089" t="inlineStr">
        <is>
          <t>FLEN</t>
        </is>
      </c>
      <c r="G2089" t="n">
        <v>2.8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61750-2020</t>
        </is>
      </c>
      <c r="B2090" s="1" t="n">
        <v>44158</v>
      </c>
      <c r="C2090" s="1" t="n">
        <v>45182</v>
      </c>
      <c r="D2090" t="inlineStr">
        <is>
          <t>SÖDERMANLANDS LÄN</t>
        </is>
      </c>
      <c r="E2090" t="inlineStr">
        <is>
          <t>STRÄNGNÄS</t>
        </is>
      </c>
      <c r="F2090" t="inlineStr">
        <is>
          <t>Sveaskog</t>
        </is>
      </c>
      <c r="G2090" t="n">
        <v>1.2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61905-2020</t>
        </is>
      </c>
      <c r="B2091" s="1" t="n">
        <v>44158</v>
      </c>
      <c r="C2091" s="1" t="n">
        <v>45182</v>
      </c>
      <c r="D2091" t="inlineStr">
        <is>
          <t>SÖDERMANLANDS LÄN</t>
        </is>
      </c>
      <c r="E2091" t="inlineStr">
        <is>
          <t>NYKÖPING</t>
        </is>
      </c>
      <c r="F2091" t="inlineStr">
        <is>
          <t>Kyrkan</t>
        </is>
      </c>
      <c r="G2091" t="n">
        <v>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61674-2020</t>
        </is>
      </c>
      <c r="B2092" s="1" t="n">
        <v>44158</v>
      </c>
      <c r="C2092" s="1" t="n">
        <v>45182</v>
      </c>
      <c r="D2092" t="inlineStr">
        <is>
          <t>SÖDERMANLANDS LÄN</t>
        </is>
      </c>
      <c r="E2092" t="inlineStr">
        <is>
          <t>KATRINEHOLM</t>
        </is>
      </c>
      <c r="F2092" t="inlineStr">
        <is>
          <t>Holmen skog AB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61713-2020</t>
        </is>
      </c>
      <c r="B2093" s="1" t="n">
        <v>44158</v>
      </c>
      <c r="C2093" s="1" t="n">
        <v>45182</v>
      </c>
      <c r="D2093" t="inlineStr">
        <is>
          <t>SÖDERMANLANDS LÄN</t>
        </is>
      </c>
      <c r="E2093" t="inlineStr">
        <is>
          <t>FLEN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61867-2020</t>
        </is>
      </c>
      <c r="B2094" s="1" t="n">
        <v>44159</v>
      </c>
      <c r="C2094" s="1" t="n">
        <v>45182</v>
      </c>
      <c r="D2094" t="inlineStr">
        <is>
          <t>SÖDERMANLANDS LÄN</t>
        </is>
      </c>
      <c r="E2094" t="inlineStr">
        <is>
          <t>KATRINEHOLM</t>
        </is>
      </c>
      <c r="G2094" t="n">
        <v>2.9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62142-2020</t>
        </is>
      </c>
      <c r="B2095" s="1" t="n">
        <v>44159</v>
      </c>
      <c r="C2095" s="1" t="n">
        <v>45182</v>
      </c>
      <c r="D2095" t="inlineStr">
        <is>
          <t>SÖDERMANLANDS LÄN</t>
        </is>
      </c>
      <c r="E2095" t="inlineStr">
        <is>
          <t>GNESTA</t>
        </is>
      </c>
      <c r="F2095" t="inlineStr">
        <is>
          <t>Holmen skog AB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62512-2020</t>
        </is>
      </c>
      <c r="B2096" s="1" t="n">
        <v>44160</v>
      </c>
      <c r="C2096" s="1" t="n">
        <v>45182</v>
      </c>
      <c r="D2096" t="inlineStr">
        <is>
          <t>SÖDERMANLANDS LÄN</t>
        </is>
      </c>
      <c r="E2096" t="inlineStr">
        <is>
          <t>FLEN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62372-2020</t>
        </is>
      </c>
      <c r="B2097" s="1" t="n">
        <v>44160</v>
      </c>
      <c r="C2097" s="1" t="n">
        <v>45182</v>
      </c>
      <c r="D2097" t="inlineStr">
        <is>
          <t>SÖDERMANLANDS LÄN</t>
        </is>
      </c>
      <c r="E2097" t="inlineStr">
        <is>
          <t>GNESTA</t>
        </is>
      </c>
      <c r="F2097" t="inlineStr">
        <is>
          <t>Holmen skog AB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62424-2020</t>
        </is>
      </c>
      <c r="B2098" s="1" t="n">
        <v>44160</v>
      </c>
      <c r="C2098" s="1" t="n">
        <v>45182</v>
      </c>
      <c r="D2098" t="inlineStr">
        <is>
          <t>SÖDERMANLANDS LÄN</t>
        </is>
      </c>
      <c r="E2098" t="inlineStr">
        <is>
          <t>KATRINEHOLM</t>
        </is>
      </c>
      <c r="G2098" t="n">
        <v>2.4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62630-2020</t>
        </is>
      </c>
      <c r="B2099" s="1" t="n">
        <v>44160</v>
      </c>
      <c r="C2099" s="1" t="n">
        <v>45182</v>
      </c>
      <c r="D2099" t="inlineStr">
        <is>
          <t>SÖDERMANLANDS LÄN</t>
        </is>
      </c>
      <c r="E2099" t="inlineStr">
        <is>
          <t>VINGÅKER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63079-2020</t>
        </is>
      </c>
      <c r="B2100" s="1" t="n">
        <v>44162</v>
      </c>
      <c r="C2100" s="1" t="n">
        <v>45182</v>
      </c>
      <c r="D2100" t="inlineStr">
        <is>
          <t>SÖDERMANLANDS LÄN</t>
        </is>
      </c>
      <c r="E2100" t="inlineStr">
        <is>
          <t>VINGÅKER</t>
        </is>
      </c>
      <c r="G2100" t="n">
        <v>6.8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63454-2020</t>
        </is>
      </c>
      <c r="B2101" s="1" t="n">
        <v>44165</v>
      </c>
      <c r="C2101" s="1" t="n">
        <v>45182</v>
      </c>
      <c r="D2101" t="inlineStr">
        <is>
          <t>SÖDERMANLANDS LÄN</t>
        </is>
      </c>
      <c r="E2101" t="inlineStr">
        <is>
          <t>VINGÅKER</t>
        </is>
      </c>
      <c r="G2101" t="n">
        <v>0.3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63291-2020</t>
        </is>
      </c>
      <c r="B2102" s="1" t="n">
        <v>44165</v>
      </c>
      <c r="C2102" s="1" t="n">
        <v>45182</v>
      </c>
      <c r="D2102" t="inlineStr">
        <is>
          <t>SÖDERMANLANDS LÄN</t>
        </is>
      </c>
      <c r="E2102" t="inlineStr">
        <is>
          <t>ESKILSTUNA</t>
        </is>
      </c>
      <c r="F2102" t="inlineStr">
        <is>
          <t>Kyrkan</t>
        </is>
      </c>
      <c r="G2102" t="n">
        <v>20.6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64360-2020</t>
        </is>
      </c>
      <c r="B2103" s="1" t="n">
        <v>44166</v>
      </c>
      <c r="C2103" s="1" t="n">
        <v>45182</v>
      </c>
      <c r="D2103" t="inlineStr">
        <is>
          <t>SÖDERMANLANDS LÄN</t>
        </is>
      </c>
      <c r="E2103" t="inlineStr">
        <is>
          <t>ESKILSTUNA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63682-2020</t>
        </is>
      </c>
      <c r="B2104" s="1" t="n">
        <v>44166</v>
      </c>
      <c r="C2104" s="1" t="n">
        <v>45182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63677-2020</t>
        </is>
      </c>
      <c r="B2105" s="1" t="n">
        <v>44166</v>
      </c>
      <c r="C2105" s="1" t="n">
        <v>45182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63694-2020</t>
        </is>
      </c>
      <c r="B2106" s="1" t="n">
        <v>44166</v>
      </c>
      <c r="C2106" s="1" t="n">
        <v>45182</v>
      </c>
      <c r="D2106" t="inlineStr">
        <is>
          <t>SÖDERMANLANDS LÄN</t>
        </is>
      </c>
      <c r="E2106" t="inlineStr">
        <is>
          <t>KATRINEHOLM</t>
        </is>
      </c>
      <c r="F2106" t="inlineStr">
        <is>
          <t>Holmen skog AB</t>
        </is>
      </c>
      <c r="G2106" t="n">
        <v>1.7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63954-2020</t>
        </is>
      </c>
      <c r="B2107" s="1" t="n">
        <v>44167</v>
      </c>
      <c r="C2107" s="1" t="n">
        <v>45182</v>
      </c>
      <c r="D2107" t="inlineStr">
        <is>
          <t>SÖDERMANLANDS LÄN</t>
        </is>
      </c>
      <c r="E2107" t="inlineStr">
        <is>
          <t>KATRINEHOLM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64027-2020</t>
        </is>
      </c>
      <c r="B2108" s="1" t="n">
        <v>44167</v>
      </c>
      <c r="C2108" s="1" t="n">
        <v>45182</v>
      </c>
      <c r="D2108" t="inlineStr">
        <is>
          <t>SÖDERMANLANDS LÄN</t>
        </is>
      </c>
      <c r="E2108" t="inlineStr">
        <is>
          <t>KATRINEHOLM</t>
        </is>
      </c>
      <c r="F2108" t="inlineStr">
        <is>
          <t>Holmen skog AB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64151-2020</t>
        </is>
      </c>
      <c r="B2109" s="1" t="n">
        <v>44167</v>
      </c>
      <c r="C2109" s="1" t="n">
        <v>45182</v>
      </c>
      <c r="D2109" t="inlineStr">
        <is>
          <t>SÖDERMANLANDS LÄN</t>
        </is>
      </c>
      <c r="E2109" t="inlineStr">
        <is>
          <t>NYKÖPING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64177-2020</t>
        </is>
      </c>
      <c r="B2110" s="1" t="n">
        <v>44167</v>
      </c>
      <c r="C2110" s="1" t="n">
        <v>45182</v>
      </c>
      <c r="D2110" t="inlineStr">
        <is>
          <t>SÖDERMANLANDS LÄN</t>
        </is>
      </c>
      <c r="E2110" t="inlineStr">
        <is>
          <t>ESKILSTUNA</t>
        </is>
      </c>
      <c r="G2110" t="n">
        <v>1.1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64463-2020</t>
        </is>
      </c>
      <c r="B2111" s="1" t="n">
        <v>44168</v>
      </c>
      <c r="C2111" s="1" t="n">
        <v>45182</v>
      </c>
      <c r="D2111" t="inlineStr">
        <is>
          <t>SÖDERMANLANDS LÄN</t>
        </is>
      </c>
      <c r="E2111" t="inlineStr">
        <is>
          <t>KATRINEHOLM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65093-2020</t>
        </is>
      </c>
      <c r="B2112" s="1" t="n">
        <v>44168</v>
      </c>
      <c r="C2112" s="1" t="n">
        <v>45182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64626-2020</t>
        </is>
      </c>
      <c r="B2113" s="1" t="n">
        <v>44169</v>
      </c>
      <c r="C2113" s="1" t="n">
        <v>45182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64633-2020</t>
        </is>
      </c>
      <c r="B2114" s="1" t="n">
        <v>44169</v>
      </c>
      <c r="C2114" s="1" t="n">
        <v>45182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64657-2020</t>
        </is>
      </c>
      <c r="B2115" s="1" t="n">
        <v>44169</v>
      </c>
      <c r="C2115" s="1" t="n">
        <v>45182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7.6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64680-2020</t>
        </is>
      </c>
      <c r="B2116" s="1" t="n">
        <v>44169</v>
      </c>
      <c r="C2116" s="1" t="n">
        <v>45182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Kyrkan</t>
        </is>
      </c>
      <c r="G2116" t="n">
        <v>19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64738-2020</t>
        </is>
      </c>
      <c r="B2117" s="1" t="n">
        <v>44169</v>
      </c>
      <c r="C2117" s="1" t="n">
        <v>45182</v>
      </c>
      <c r="D2117" t="inlineStr">
        <is>
          <t>SÖDERMANLANDS LÄN</t>
        </is>
      </c>
      <c r="E2117" t="inlineStr">
        <is>
          <t>KATRINEHOLM</t>
        </is>
      </c>
      <c r="G2117" t="n">
        <v>6.3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65186-2020</t>
        </is>
      </c>
      <c r="B2118" s="1" t="n">
        <v>44172</v>
      </c>
      <c r="C2118" s="1" t="n">
        <v>45182</v>
      </c>
      <c r="D2118" t="inlineStr">
        <is>
          <t>SÖDERMANLANDS LÄN</t>
        </is>
      </c>
      <c r="E2118" t="inlineStr">
        <is>
          <t>KATRINEHOLM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65203-2020</t>
        </is>
      </c>
      <c r="B2119" s="1" t="n">
        <v>44172</v>
      </c>
      <c r="C2119" s="1" t="n">
        <v>45182</v>
      </c>
      <c r="D2119" t="inlineStr">
        <is>
          <t>SÖDERMANLANDS LÄN</t>
        </is>
      </c>
      <c r="E2119" t="inlineStr">
        <is>
          <t>ESKILSTUNA</t>
        </is>
      </c>
      <c r="G2119" t="n">
        <v>2.4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65233-2020</t>
        </is>
      </c>
      <c r="B2120" s="1" t="n">
        <v>44172</v>
      </c>
      <c r="C2120" s="1" t="n">
        <v>45182</v>
      </c>
      <c r="D2120" t="inlineStr">
        <is>
          <t>SÖDERMANLANDS LÄN</t>
        </is>
      </c>
      <c r="E2120" t="inlineStr">
        <is>
          <t>FLEN</t>
        </is>
      </c>
      <c r="G2120" t="n">
        <v>9.300000000000001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65077-2020</t>
        </is>
      </c>
      <c r="B2121" s="1" t="n">
        <v>44172</v>
      </c>
      <c r="C2121" s="1" t="n">
        <v>45182</v>
      </c>
      <c r="D2121" t="inlineStr">
        <is>
          <t>SÖDERMANLANDS LÄN</t>
        </is>
      </c>
      <c r="E2121" t="inlineStr">
        <is>
          <t>KATRINEHOLM</t>
        </is>
      </c>
      <c r="G2121" t="n">
        <v>1.6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65202-2020</t>
        </is>
      </c>
      <c r="B2122" s="1" t="n">
        <v>44172</v>
      </c>
      <c r="C2122" s="1" t="n">
        <v>45182</v>
      </c>
      <c r="D2122" t="inlineStr">
        <is>
          <t>SÖDERMANLANDS LÄN</t>
        </is>
      </c>
      <c r="E2122" t="inlineStr">
        <is>
          <t>ESKILSTUNA</t>
        </is>
      </c>
      <c r="G2122" t="n">
        <v>1.1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65117-2020</t>
        </is>
      </c>
      <c r="B2123" s="1" t="n">
        <v>44172</v>
      </c>
      <c r="C2123" s="1" t="n">
        <v>45182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65152-2020</t>
        </is>
      </c>
      <c r="B2124" s="1" t="n">
        <v>44172</v>
      </c>
      <c r="C2124" s="1" t="n">
        <v>45182</v>
      </c>
      <c r="D2124" t="inlineStr">
        <is>
          <t>SÖDERMANLANDS LÄN</t>
        </is>
      </c>
      <c r="E2124" t="inlineStr">
        <is>
          <t>KATRINEHOLM</t>
        </is>
      </c>
      <c r="G2124" t="n">
        <v>1.2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65212-2020</t>
        </is>
      </c>
      <c r="B2125" s="1" t="n">
        <v>44172</v>
      </c>
      <c r="C2125" s="1" t="n">
        <v>45182</v>
      </c>
      <c r="D2125" t="inlineStr">
        <is>
          <t>SÖDERMANLANDS LÄN</t>
        </is>
      </c>
      <c r="E2125" t="inlineStr">
        <is>
          <t>ESKILSTUNA</t>
        </is>
      </c>
      <c r="G2125" t="n">
        <v>2.4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65312-2020</t>
        </is>
      </c>
      <c r="B2126" s="1" t="n">
        <v>44173</v>
      </c>
      <c r="C2126" s="1" t="n">
        <v>45182</v>
      </c>
      <c r="D2126" t="inlineStr">
        <is>
          <t>SÖDERMANLANDS LÄN</t>
        </is>
      </c>
      <c r="E2126" t="inlineStr">
        <is>
          <t>KATRINEHOLM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65358-2020</t>
        </is>
      </c>
      <c r="B2127" s="1" t="n">
        <v>44173</v>
      </c>
      <c r="C2127" s="1" t="n">
        <v>45182</v>
      </c>
      <c r="D2127" t="inlineStr">
        <is>
          <t>SÖDERMANLANDS LÄN</t>
        </is>
      </c>
      <c r="E2127" t="inlineStr">
        <is>
          <t>KATRINEHOLM</t>
        </is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65485-2020</t>
        </is>
      </c>
      <c r="B2128" s="1" t="n">
        <v>44173</v>
      </c>
      <c r="C2128" s="1" t="n">
        <v>45182</v>
      </c>
      <c r="D2128" t="inlineStr">
        <is>
          <t>SÖDERMANLANDS LÄN</t>
        </is>
      </c>
      <c r="E2128" t="inlineStr">
        <is>
          <t>KATRINEHOLM</t>
        </is>
      </c>
      <c r="F2128" t="inlineStr">
        <is>
          <t>Holmen skog AB</t>
        </is>
      </c>
      <c r="G2128" t="n">
        <v>1.3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66302-2020</t>
        </is>
      </c>
      <c r="B2129" s="1" t="n">
        <v>44174</v>
      </c>
      <c r="C2129" s="1" t="n">
        <v>45182</v>
      </c>
      <c r="D2129" t="inlineStr">
        <is>
          <t>SÖDERMANLANDS LÄN</t>
        </is>
      </c>
      <c r="E2129" t="inlineStr">
        <is>
          <t>STRÄNGNÄS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66330-2020</t>
        </is>
      </c>
      <c r="B2130" s="1" t="n">
        <v>44174</v>
      </c>
      <c r="C2130" s="1" t="n">
        <v>45182</v>
      </c>
      <c r="D2130" t="inlineStr">
        <is>
          <t>SÖDERMANLANDS LÄN</t>
        </is>
      </c>
      <c r="E2130" t="inlineStr">
        <is>
          <t>ESKILSTUNA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66319-2020</t>
        </is>
      </c>
      <c r="B2131" s="1" t="n">
        <v>44174</v>
      </c>
      <c r="C2131" s="1" t="n">
        <v>45182</v>
      </c>
      <c r="D2131" t="inlineStr">
        <is>
          <t>SÖDERMANLANDS LÄN</t>
        </is>
      </c>
      <c r="E2131" t="inlineStr">
        <is>
          <t>ESKILSTUNA</t>
        </is>
      </c>
      <c r="G2131" t="n">
        <v>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66312-2020</t>
        </is>
      </c>
      <c r="B2132" s="1" t="n">
        <v>44174</v>
      </c>
      <c r="C2132" s="1" t="n">
        <v>45182</v>
      </c>
      <c r="D2132" t="inlineStr">
        <is>
          <t>SÖDERMANLANDS LÄN</t>
        </is>
      </c>
      <c r="E2132" t="inlineStr">
        <is>
          <t>ESKILSTUNA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66025-2020</t>
        </is>
      </c>
      <c r="B2133" s="1" t="n">
        <v>44175</v>
      </c>
      <c r="C2133" s="1" t="n">
        <v>45182</v>
      </c>
      <c r="D2133" t="inlineStr">
        <is>
          <t>SÖDERMANLANDS LÄN</t>
        </is>
      </c>
      <c r="E2133" t="inlineStr">
        <is>
          <t>KATRINEHOLM</t>
        </is>
      </c>
      <c r="G2133" t="n">
        <v>9.800000000000001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66000-2020</t>
        </is>
      </c>
      <c r="B2134" s="1" t="n">
        <v>44175</v>
      </c>
      <c r="C2134" s="1" t="n">
        <v>45182</v>
      </c>
      <c r="D2134" t="inlineStr">
        <is>
          <t>SÖDERMANLANDS LÄN</t>
        </is>
      </c>
      <c r="E2134" t="inlineStr">
        <is>
          <t>STRÄNGNÄS</t>
        </is>
      </c>
      <c r="F2134" t="inlineStr">
        <is>
          <t>Övriga statliga verk och myndigheter</t>
        </is>
      </c>
      <c r="G2134" t="n">
        <v>4.2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66041-2020</t>
        </is>
      </c>
      <c r="B2135" s="1" t="n">
        <v>44175</v>
      </c>
      <c r="C2135" s="1" t="n">
        <v>45182</v>
      </c>
      <c r="D2135" t="inlineStr">
        <is>
          <t>SÖDERMANLANDS LÄN</t>
        </is>
      </c>
      <c r="E2135" t="inlineStr">
        <is>
          <t>ESKILSTUNA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66353-2020</t>
        </is>
      </c>
      <c r="B2136" s="1" t="n">
        <v>44176</v>
      </c>
      <c r="C2136" s="1" t="n">
        <v>45182</v>
      </c>
      <c r="D2136" t="inlineStr">
        <is>
          <t>SÖDERMANLANDS LÄN</t>
        </is>
      </c>
      <c r="E2136" t="inlineStr">
        <is>
          <t>GNESTA</t>
        </is>
      </c>
      <c r="G2136" t="n">
        <v>0.8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66453-2020</t>
        </is>
      </c>
      <c r="B2137" s="1" t="n">
        <v>44176</v>
      </c>
      <c r="C2137" s="1" t="n">
        <v>45182</v>
      </c>
      <c r="D2137" t="inlineStr">
        <is>
          <t>SÖDERMANLANDS LÄN</t>
        </is>
      </c>
      <c r="E2137" t="inlineStr">
        <is>
          <t>ESKILSTUNA</t>
        </is>
      </c>
      <c r="G2137" t="n">
        <v>10.5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66511-2020</t>
        </is>
      </c>
      <c r="B2138" s="1" t="n">
        <v>44178</v>
      </c>
      <c r="C2138" s="1" t="n">
        <v>45182</v>
      </c>
      <c r="D2138" t="inlineStr">
        <is>
          <t>SÖDERMANLANDS LÄN</t>
        </is>
      </c>
      <c r="E2138" t="inlineStr">
        <is>
          <t>FLEN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66583-2020</t>
        </is>
      </c>
      <c r="B2139" s="1" t="n">
        <v>44179</v>
      </c>
      <c r="C2139" s="1" t="n">
        <v>45182</v>
      </c>
      <c r="D2139" t="inlineStr">
        <is>
          <t>SÖDERMANLANDS LÄN</t>
        </is>
      </c>
      <c r="E2139" t="inlineStr">
        <is>
          <t>STRÄNGNÄS</t>
        </is>
      </c>
      <c r="G2139" t="n">
        <v>1.9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66796-2020</t>
        </is>
      </c>
      <c r="B2140" s="1" t="n">
        <v>44179</v>
      </c>
      <c r="C2140" s="1" t="n">
        <v>45182</v>
      </c>
      <c r="D2140" t="inlineStr">
        <is>
          <t>SÖDERMANLANDS LÄN</t>
        </is>
      </c>
      <c r="E2140" t="inlineStr">
        <is>
          <t>KATRINEHOLM</t>
        </is>
      </c>
      <c r="F2140" t="inlineStr">
        <is>
          <t>Holmen skog AB</t>
        </is>
      </c>
      <c r="G2140" t="n">
        <v>6.2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66896-2020</t>
        </is>
      </c>
      <c r="B2141" s="1" t="n">
        <v>44180</v>
      </c>
      <c r="C2141" s="1" t="n">
        <v>45182</v>
      </c>
      <c r="D2141" t="inlineStr">
        <is>
          <t>SÖDERMANLANDS LÄN</t>
        </is>
      </c>
      <c r="E2141" t="inlineStr">
        <is>
          <t>KATRINEHOLM</t>
        </is>
      </c>
      <c r="G2141" t="n">
        <v>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66936-2020</t>
        </is>
      </c>
      <c r="B2142" s="1" t="n">
        <v>44180</v>
      </c>
      <c r="C2142" s="1" t="n">
        <v>45182</v>
      </c>
      <c r="D2142" t="inlineStr">
        <is>
          <t>SÖDERMANLANDS LÄN</t>
        </is>
      </c>
      <c r="E2142" t="inlineStr">
        <is>
          <t>ESKILSTUNA</t>
        </is>
      </c>
      <c r="G2142" t="n">
        <v>35.1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67543-2020</t>
        </is>
      </c>
      <c r="B2143" s="1" t="n">
        <v>44181</v>
      </c>
      <c r="C2143" s="1" t="n">
        <v>45182</v>
      </c>
      <c r="D2143" t="inlineStr">
        <is>
          <t>SÖDERMANLANDS LÄN</t>
        </is>
      </c>
      <c r="E2143" t="inlineStr">
        <is>
          <t>NYKÖPING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67682-2020</t>
        </is>
      </c>
      <c r="B2144" s="1" t="n">
        <v>44181</v>
      </c>
      <c r="C2144" s="1" t="n">
        <v>45182</v>
      </c>
      <c r="D2144" t="inlineStr">
        <is>
          <t>SÖDERMANLANDS LÄN</t>
        </is>
      </c>
      <c r="E2144" t="inlineStr">
        <is>
          <t>NYKÖPING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67856-2020</t>
        </is>
      </c>
      <c r="B2145" s="1" t="n">
        <v>44182</v>
      </c>
      <c r="C2145" s="1" t="n">
        <v>45182</v>
      </c>
      <c r="D2145" t="inlineStr">
        <is>
          <t>SÖDERMANLANDS LÄN</t>
        </is>
      </c>
      <c r="E2145" t="inlineStr">
        <is>
          <t>GNESTA</t>
        </is>
      </c>
      <c r="G2145" t="n">
        <v>7.2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67957-2020</t>
        </is>
      </c>
      <c r="B2146" s="1" t="n">
        <v>44182</v>
      </c>
      <c r="C2146" s="1" t="n">
        <v>45182</v>
      </c>
      <c r="D2146" t="inlineStr">
        <is>
          <t>SÖDERMANLANDS LÄN</t>
        </is>
      </c>
      <c r="E2146" t="inlineStr">
        <is>
          <t>KATRINEHOLM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67959-2020</t>
        </is>
      </c>
      <c r="B2147" s="1" t="n">
        <v>44182</v>
      </c>
      <c r="C2147" s="1" t="n">
        <v>45182</v>
      </c>
      <c r="D2147" t="inlineStr">
        <is>
          <t>SÖDERMANLANDS LÄN</t>
        </is>
      </c>
      <c r="E2147" t="inlineStr">
        <is>
          <t>KATRINEHOLM</t>
        </is>
      </c>
      <c r="G2147" t="n">
        <v>11.5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68177-2020</t>
        </is>
      </c>
      <c r="B2148" s="1" t="n">
        <v>44183</v>
      </c>
      <c r="C2148" s="1" t="n">
        <v>45182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68178-2020</t>
        </is>
      </c>
      <c r="B2149" s="1" t="n">
        <v>44183</v>
      </c>
      <c r="C2149" s="1" t="n">
        <v>45182</v>
      </c>
      <c r="D2149" t="inlineStr">
        <is>
          <t>SÖDERMANLANDS LÄN</t>
        </is>
      </c>
      <c r="E2149" t="inlineStr">
        <is>
          <t>VINGÅKER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68611-2020</t>
        </is>
      </c>
      <c r="B2150" s="1" t="n">
        <v>44186</v>
      </c>
      <c r="C2150" s="1" t="n">
        <v>45182</v>
      </c>
      <c r="D2150" t="inlineStr">
        <is>
          <t>SÖDERMANLANDS LÄN</t>
        </is>
      </c>
      <c r="E2150" t="inlineStr">
        <is>
          <t>STRÄNGNÄS</t>
        </is>
      </c>
      <c r="G2150" t="n">
        <v>3.8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68613-2020</t>
        </is>
      </c>
      <c r="B2151" s="1" t="n">
        <v>44186</v>
      </c>
      <c r="C2151" s="1" t="n">
        <v>45182</v>
      </c>
      <c r="D2151" t="inlineStr">
        <is>
          <t>SÖDERMANLANDS LÄN</t>
        </is>
      </c>
      <c r="E2151" t="inlineStr">
        <is>
          <t>STRÄNGNÄS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68698-2020</t>
        </is>
      </c>
      <c r="B2152" s="1" t="n">
        <v>44187</v>
      </c>
      <c r="C2152" s="1" t="n">
        <v>45182</v>
      </c>
      <c r="D2152" t="inlineStr">
        <is>
          <t>SÖDERMANLANDS LÄN</t>
        </is>
      </c>
      <c r="E2152" t="inlineStr">
        <is>
          <t>GNESTA</t>
        </is>
      </c>
      <c r="G2152" t="n">
        <v>3.7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68739-2020</t>
        </is>
      </c>
      <c r="B2153" s="1" t="n">
        <v>44187</v>
      </c>
      <c r="C2153" s="1" t="n">
        <v>45182</v>
      </c>
      <c r="D2153" t="inlineStr">
        <is>
          <t>SÖDERMANLANDS LÄN</t>
        </is>
      </c>
      <c r="E2153" t="inlineStr">
        <is>
          <t>VINGÅKER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69019-2020</t>
        </is>
      </c>
      <c r="B2154" s="1" t="n">
        <v>44187</v>
      </c>
      <c r="C2154" s="1" t="n">
        <v>45182</v>
      </c>
      <c r="D2154" t="inlineStr">
        <is>
          <t>SÖDERMANLANDS LÄN</t>
        </is>
      </c>
      <c r="E2154" t="inlineStr">
        <is>
          <t>FLEN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69143-2020</t>
        </is>
      </c>
      <c r="B2155" s="1" t="n">
        <v>44188</v>
      </c>
      <c r="C2155" s="1" t="n">
        <v>45182</v>
      </c>
      <c r="D2155" t="inlineStr">
        <is>
          <t>SÖDERMANLANDS LÄN</t>
        </is>
      </c>
      <c r="E2155" t="inlineStr">
        <is>
          <t>ESKILSTUNA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69015-2020</t>
        </is>
      </c>
      <c r="B2156" s="1" t="n">
        <v>44188</v>
      </c>
      <c r="C2156" s="1" t="n">
        <v>45182</v>
      </c>
      <c r="D2156" t="inlineStr">
        <is>
          <t>SÖDERMANLANDS LÄN</t>
        </is>
      </c>
      <c r="E2156" t="inlineStr">
        <is>
          <t>FLEN</t>
        </is>
      </c>
      <c r="F2156" t="inlineStr">
        <is>
          <t>Holmen skog AB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69077-2020</t>
        </is>
      </c>
      <c r="B2157" s="1" t="n">
        <v>44188</v>
      </c>
      <c r="C2157" s="1" t="n">
        <v>45182</v>
      </c>
      <c r="D2157" t="inlineStr">
        <is>
          <t>SÖDERMANLANDS LÄN</t>
        </is>
      </c>
      <c r="E2157" t="inlineStr">
        <is>
          <t>NYKÖPING</t>
        </is>
      </c>
      <c r="G2157" t="n">
        <v>4.4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69047-2020</t>
        </is>
      </c>
      <c r="B2158" s="1" t="n">
        <v>44188</v>
      </c>
      <c r="C2158" s="1" t="n">
        <v>45182</v>
      </c>
      <c r="D2158" t="inlineStr">
        <is>
          <t>SÖDERMANLANDS LÄN</t>
        </is>
      </c>
      <c r="E2158" t="inlineStr">
        <is>
          <t>STRÄNGNÄS</t>
        </is>
      </c>
      <c r="F2158" t="inlineStr">
        <is>
          <t>Allmännings- och besparingsskogar</t>
        </is>
      </c>
      <c r="G2158" t="n">
        <v>7.7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69197-2020</t>
        </is>
      </c>
      <c r="B2159" s="1" t="n">
        <v>44191</v>
      </c>
      <c r="C2159" s="1" t="n">
        <v>45182</v>
      </c>
      <c r="D2159" t="inlineStr">
        <is>
          <t>SÖDERMANLANDS LÄN</t>
        </is>
      </c>
      <c r="E2159" t="inlineStr">
        <is>
          <t>VINGÅKER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69388-2020</t>
        </is>
      </c>
      <c r="B2160" s="1" t="n">
        <v>44193</v>
      </c>
      <c r="C2160" s="1" t="n">
        <v>45182</v>
      </c>
      <c r="D2160" t="inlineStr">
        <is>
          <t>SÖDERMANLANDS LÄN</t>
        </is>
      </c>
      <c r="E2160" t="inlineStr">
        <is>
          <t>FLEN</t>
        </is>
      </c>
      <c r="F2160" t="inlineStr">
        <is>
          <t>Övriga statliga verk och myndigheter</t>
        </is>
      </c>
      <c r="G2160" t="n">
        <v>2.9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69563-2020</t>
        </is>
      </c>
      <c r="B2161" s="1" t="n">
        <v>44194</v>
      </c>
      <c r="C2161" s="1" t="n">
        <v>45182</v>
      </c>
      <c r="D2161" t="inlineStr">
        <is>
          <t>SÖDERMANLANDS LÄN</t>
        </is>
      </c>
      <c r="E2161" t="inlineStr">
        <is>
          <t>ESKILSTUNA</t>
        </is>
      </c>
      <c r="G2161" t="n">
        <v>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69439-2020</t>
        </is>
      </c>
      <c r="B2162" s="1" t="n">
        <v>44194</v>
      </c>
      <c r="C2162" s="1" t="n">
        <v>45182</v>
      </c>
      <c r="D2162" t="inlineStr">
        <is>
          <t>SÖDERMANLANDS LÄN</t>
        </is>
      </c>
      <c r="E2162" t="inlineStr">
        <is>
          <t>VINGÅKER</t>
        </is>
      </c>
      <c r="G2162" t="n">
        <v>12.3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69607-2020</t>
        </is>
      </c>
      <c r="B2163" s="1" t="n">
        <v>44195</v>
      </c>
      <c r="C2163" s="1" t="n">
        <v>45182</v>
      </c>
      <c r="D2163" t="inlineStr">
        <is>
          <t>SÖDERMANLANDS LÄN</t>
        </is>
      </c>
      <c r="E2163" t="inlineStr">
        <is>
          <t>VINGÅKER</t>
        </is>
      </c>
      <c r="G2163" t="n">
        <v>8.300000000000001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69600-2020</t>
        </is>
      </c>
      <c r="B2164" s="1" t="n">
        <v>44195</v>
      </c>
      <c r="C2164" s="1" t="n">
        <v>45182</v>
      </c>
      <c r="D2164" t="inlineStr">
        <is>
          <t>SÖDERMANLANDS LÄN</t>
        </is>
      </c>
      <c r="E2164" t="inlineStr">
        <is>
          <t>KATRINEHOLM</t>
        </is>
      </c>
      <c r="G2164" t="n">
        <v>11.3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21-2021</t>
        </is>
      </c>
      <c r="B2165" s="1" t="n">
        <v>44197</v>
      </c>
      <c r="C2165" s="1" t="n">
        <v>45182</v>
      </c>
      <c r="D2165" t="inlineStr">
        <is>
          <t>SÖDERMANLANDS LÄN</t>
        </is>
      </c>
      <c r="E2165" t="inlineStr">
        <is>
          <t>NYKÖPING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16-2021</t>
        </is>
      </c>
      <c r="B2166" s="1" t="n">
        <v>44197</v>
      </c>
      <c r="C2166" s="1" t="n">
        <v>45182</v>
      </c>
      <c r="D2166" t="inlineStr">
        <is>
          <t>SÖDERMANLANDS LÄN</t>
        </is>
      </c>
      <c r="E2166" t="inlineStr">
        <is>
          <t>NYKÖPING</t>
        </is>
      </c>
      <c r="G2166" t="n">
        <v>4.9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38-2021</t>
        </is>
      </c>
      <c r="B2167" s="1" t="n">
        <v>44198</v>
      </c>
      <c r="C2167" s="1" t="n">
        <v>45182</v>
      </c>
      <c r="D2167" t="inlineStr">
        <is>
          <t>SÖDERMANLANDS LÄN</t>
        </is>
      </c>
      <c r="E2167" t="inlineStr">
        <is>
          <t>NYKÖPING</t>
        </is>
      </c>
      <c r="G2167" t="n">
        <v>4.3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37-2021</t>
        </is>
      </c>
      <c r="B2168" s="1" t="n">
        <v>44198</v>
      </c>
      <c r="C2168" s="1" t="n">
        <v>45182</v>
      </c>
      <c r="D2168" t="inlineStr">
        <is>
          <t>SÖDERMANLANDS LÄN</t>
        </is>
      </c>
      <c r="E2168" t="inlineStr">
        <is>
          <t>NYKÖPING</t>
        </is>
      </c>
      <c r="G2168" t="n">
        <v>1.8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40-2021</t>
        </is>
      </c>
      <c r="B2169" s="1" t="n">
        <v>44198</v>
      </c>
      <c r="C2169" s="1" t="n">
        <v>45182</v>
      </c>
      <c r="D2169" t="inlineStr">
        <is>
          <t>SÖDERMANLANDS LÄN</t>
        </is>
      </c>
      <c r="E2169" t="inlineStr">
        <is>
          <t>NYKÖPING</t>
        </is>
      </c>
      <c r="G2169" t="n">
        <v>3.1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60-2021</t>
        </is>
      </c>
      <c r="B2170" s="1" t="n">
        <v>44199</v>
      </c>
      <c r="C2170" s="1" t="n">
        <v>45182</v>
      </c>
      <c r="D2170" t="inlineStr">
        <is>
          <t>SÖDERMANLANDS LÄN</t>
        </is>
      </c>
      <c r="E2170" t="inlineStr">
        <is>
          <t>NYKÖPING</t>
        </is>
      </c>
      <c r="G2170" t="n">
        <v>2.2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67-2021</t>
        </is>
      </c>
      <c r="B2171" s="1" t="n">
        <v>44199</v>
      </c>
      <c r="C2171" s="1" t="n">
        <v>45182</v>
      </c>
      <c r="D2171" t="inlineStr">
        <is>
          <t>SÖDERMANLANDS LÄN</t>
        </is>
      </c>
      <c r="E2171" t="inlineStr">
        <is>
          <t>NYKÖPING</t>
        </is>
      </c>
      <c r="G2171" t="n">
        <v>8.199999999999999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63-2021</t>
        </is>
      </c>
      <c r="B2172" s="1" t="n">
        <v>44199</v>
      </c>
      <c r="C2172" s="1" t="n">
        <v>45182</v>
      </c>
      <c r="D2172" t="inlineStr">
        <is>
          <t>SÖDERMANLANDS LÄN</t>
        </is>
      </c>
      <c r="E2172" t="inlineStr">
        <is>
          <t>NYKÖPING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64-2021</t>
        </is>
      </c>
      <c r="B2173" s="1" t="n">
        <v>44199</v>
      </c>
      <c r="C2173" s="1" t="n">
        <v>45182</v>
      </c>
      <c r="D2173" t="inlineStr">
        <is>
          <t>SÖDERMANLANDS LÄN</t>
        </is>
      </c>
      <c r="E2173" t="inlineStr">
        <is>
          <t>NYKÖPING</t>
        </is>
      </c>
      <c r="G2173" t="n">
        <v>2.8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61-2021</t>
        </is>
      </c>
      <c r="B2174" s="1" t="n">
        <v>44199</v>
      </c>
      <c r="C2174" s="1" t="n">
        <v>45182</v>
      </c>
      <c r="D2174" t="inlineStr">
        <is>
          <t>SÖDERMANLANDS LÄN</t>
        </is>
      </c>
      <c r="E2174" t="inlineStr">
        <is>
          <t>NYKÖPING</t>
        </is>
      </c>
      <c r="G2174" t="n">
        <v>2.4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68-2021</t>
        </is>
      </c>
      <c r="B2175" s="1" t="n">
        <v>44199</v>
      </c>
      <c r="C2175" s="1" t="n">
        <v>45182</v>
      </c>
      <c r="D2175" t="inlineStr">
        <is>
          <t>SÖDERMANLANDS LÄN</t>
        </is>
      </c>
      <c r="E2175" t="inlineStr">
        <is>
          <t>NYKÖPING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75-2021</t>
        </is>
      </c>
      <c r="B2176" s="1" t="n">
        <v>44200</v>
      </c>
      <c r="C2176" s="1" t="n">
        <v>45182</v>
      </c>
      <c r="D2176" t="inlineStr">
        <is>
          <t>SÖDERMANLANDS LÄN</t>
        </is>
      </c>
      <c r="E2176" t="inlineStr">
        <is>
          <t>NYKÖPING</t>
        </is>
      </c>
      <c r="G2176" t="n">
        <v>2.6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358-2021</t>
        </is>
      </c>
      <c r="B2177" s="1" t="n">
        <v>44200</v>
      </c>
      <c r="C2177" s="1" t="n">
        <v>45182</v>
      </c>
      <c r="D2177" t="inlineStr">
        <is>
          <t>SÖDERMANLANDS LÄN</t>
        </is>
      </c>
      <c r="E2177" t="inlineStr">
        <is>
          <t>NYKÖPING</t>
        </is>
      </c>
      <c r="G2177" t="n">
        <v>4.8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73-2021</t>
        </is>
      </c>
      <c r="B2178" s="1" t="n">
        <v>44200</v>
      </c>
      <c r="C2178" s="1" t="n">
        <v>45182</v>
      </c>
      <c r="D2178" t="inlineStr">
        <is>
          <t>SÖDERMANLANDS LÄN</t>
        </is>
      </c>
      <c r="E2178" t="inlineStr">
        <is>
          <t>NYKÖPING</t>
        </is>
      </c>
      <c r="G2178" t="n">
        <v>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162-2021</t>
        </is>
      </c>
      <c r="B2179" s="1" t="n">
        <v>44200</v>
      </c>
      <c r="C2179" s="1" t="n">
        <v>45182</v>
      </c>
      <c r="D2179" t="inlineStr">
        <is>
          <t>SÖDERMANLANDS LÄN</t>
        </is>
      </c>
      <c r="E2179" t="inlineStr">
        <is>
          <t>GNESTA</t>
        </is>
      </c>
      <c r="F2179" t="inlineStr">
        <is>
          <t>Holmen skog AB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346-2021</t>
        </is>
      </c>
      <c r="B2180" s="1" t="n">
        <v>44200</v>
      </c>
      <c r="C2180" s="1" t="n">
        <v>45182</v>
      </c>
      <c r="D2180" t="inlineStr">
        <is>
          <t>SÖDERMANLANDS LÄN</t>
        </is>
      </c>
      <c r="E2180" t="inlineStr">
        <is>
          <t>NYKÖPING</t>
        </is>
      </c>
      <c r="F2180" t="inlineStr">
        <is>
          <t>Allmännings- och besparingsskogar</t>
        </is>
      </c>
      <c r="G2180" t="n">
        <v>18.1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70-2021</t>
        </is>
      </c>
      <c r="B2181" s="1" t="n">
        <v>44200</v>
      </c>
      <c r="C2181" s="1" t="n">
        <v>45182</v>
      </c>
      <c r="D2181" t="inlineStr">
        <is>
          <t>SÖDERMANLANDS LÄN</t>
        </is>
      </c>
      <c r="E2181" t="inlineStr">
        <is>
          <t>NYKÖPING</t>
        </is>
      </c>
      <c r="G2181" t="n">
        <v>2.5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69-2021</t>
        </is>
      </c>
      <c r="B2182" s="1" t="n">
        <v>44200</v>
      </c>
      <c r="C2182" s="1" t="n">
        <v>45182</v>
      </c>
      <c r="D2182" t="inlineStr">
        <is>
          <t>SÖDERMANLANDS LÄN</t>
        </is>
      </c>
      <c r="E2182" t="inlineStr">
        <is>
          <t>NYKÖPING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76-2021</t>
        </is>
      </c>
      <c r="B2183" s="1" t="n">
        <v>44200</v>
      </c>
      <c r="C2183" s="1" t="n">
        <v>45182</v>
      </c>
      <c r="D2183" t="inlineStr">
        <is>
          <t>SÖDERMANLANDS LÄN</t>
        </is>
      </c>
      <c r="E2183" t="inlineStr">
        <is>
          <t>NYKÖPING</t>
        </is>
      </c>
      <c r="G2183" t="n">
        <v>6.9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229-2021</t>
        </is>
      </c>
      <c r="B2184" s="1" t="n">
        <v>44200</v>
      </c>
      <c r="C2184" s="1" t="n">
        <v>45182</v>
      </c>
      <c r="D2184" t="inlineStr">
        <is>
          <t>SÖDERMANLANDS LÄN</t>
        </is>
      </c>
      <c r="E2184" t="inlineStr">
        <is>
          <t>NYKÖPING</t>
        </is>
      </c>
      <c r="F2184" t="inlineStr">
        <is>
          <t>Holmen skog AB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527-2021</t>
        </is>
      </c>
      <c r="B2185" s="1" t="n">
        <v>44201</v>
      </c>
      <c r="C2185" s="1" t="n">
        <v>45182</v>
      </c>
      <c r="D2185" t="inlineStr">
        <is>
          <t>SÖDERMANLANDS LÄN</t>
        </is>
      </c>
      <c r="E2185" t="inlineStr">
        <is>
          <t>FLEN</t>
        </is>
      </c>
      <c r="F2185" t="inlineStr">
        <is>
          <t>Övriga statliga verk och myndigheter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473-2021</t>
        </is>
      </c>
      <c r="B2186" s="1" t="n">
        <v>44203</v>
      </c>
      <c r="C2186" s="1" t="n">
        <v>45182</v>
      </c>
      <c r="D2186" t="inlineStr">
        <is>
          <t>SÖDERMANLANDS LÄN</t>
        </is>
      </c>
      <c r="E2186" t="inlineStr">
        <is>
          <t>ESKILSTUNA</t>
        </is>
      </c>
      <c r="F2186" t="inlineStr">
        <is>
          <t>Kyrkan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587-2021</t>
        </is>
      </c>
      <c r="B2187" s="1" t="n">
        <v>44203</v>
      </c>
      <c r="C2187" s="1" t="n">
        <v>45182</v>
      </c>
      <c r="D2187" t="inlineStr">
        <is>
          <t>SÖDERMANLANDS LÄN</t>
        </is>
      </c>
      <c r="E2187" t="inlineStr">
        <is>
          <t>FLEN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471-2021</t>
        </is>
      </c>
      <c r="B2188" s="1" t="n">
        <v>44203</v>
      </c>
      <c r="C2188" s="1" t="n">
        <v>45182</v>
      </c>
      <c r="D2188" t="inlineStr">
        <is>
          <t>SÖDERMANLANDS LÄN</t>
        </is>
      </c>
      <c r="E2188" t="inlineStr">
        <is>
          <t>ESKILSTUNA</t>
        </is>
      </c>
      <c r="F2188" t="inlineStr">
        <is>
          <t>Kyrkan</t>
        </is>
      </c>
      <c r="G2188" t="n">
        <v>3.9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1083-2021</t>
        </is>
      </c>
      <c r="B2189" s="1" t="n">
        <v>44207</v>
      </c>
      <c r="C2189" s="1" t="n">
        <v>45182</v>
      </c>
      <c r="D2189" t="inlineStr">
        <is>
          <t>SÖDERMANLANDS LÄN</t>
        </is>
      </c>
      <c r="E2189" t="inlineStr">
        <is>
          <t>NYKÖPING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1038-2021</t>
        </is>
      </c>
      <c r="B2190" s="1" t="n">
        <v>44207</v>
      </c>
      <c r="C2190" s="1" t="n">
        <v>45182</v>
      </c>
      <c r="D2190" t="inlineStr">
        <is>
          <t>SÖDERMANLANDS LÄN</t>
        </is>
      </c>
      <c r="E2190" t="inlineStr">
        <is>
          <t>GNESTA</t>
        </is>
      </c>
      <c r="G2190" t="n">
        <v>2.2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1330-2021</t>
        </is>
      </c>
      <c r="B2191" s="1" t="n">
        <v>44208</v>
      </c>
      <c r="C2191" s="1" t="n">
        <v>45182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1329-2021</t>
        </is>
      </c>
      <c r="B2192" s="1" t="n">
        <v>44208</v>
      </c>
      <c r="C2192" s="1" t="n">
        <v>45182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13.1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1333-2021</t>
        </is>
      </c>
      <c r="B2193" s="1" t="n">
        <v>44208</v>
      </c>
      <c r="C2193" s="1" t="n">
        <v>45182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1518-2021</t>
        </is>
      </c>
      <c r="B2194" s="1" t="n">
        <v>44208</v>
      </c>
      <c r="C2194" s="1" t="n">
        <v>45182</v>
      </c>
      <c r="D2194" t="inlineStr">
        <is>
          <t>SÖDERMANLANDS LÄN</t>
        </is>
      </c>
      <c r="E2194" t="inlineStr">
        <is>
          <t>STRÄNGNÄS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1547-2021</t>
        </is>
      </c>
      <c r="B2195" s="1" t="n">
        <v>44209</v>
      </c>
      <c r="C2195" s="1" t="n">
        <v>45182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1605-2021</t>
        </is>
      </c>
      <c r="B2196" s="1" t="n">
        <v>44209</v>
      </c>
      <c r="C2196" s="1" t="n">
        <v>45182</v>
      </c>
      <c r="D2196" t="inlineStr">
        <is>
          <t>SÖDERMANLANDS LÄN</t>
        </is>
      </c>
      <c r="E2196" t="inlineStr">
        <is>
          <t>NYKÖPING</t>
        </is>
      </c>
      <c r="F2196" t="inlineStr">
        <is>
          <t>Holmen skog AB</t>
        </is>
      </c>
      <c r="G2196" t="n">
        <v>0.3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1565-2021</t>
        </is>
      </c>
      <c r="B2197" s="1" t="n">
        <v>44209</v>
      </c>
      <c r="C2197" s="1" t="n">
        <v>45182</v>
      </c>
      <c r="D2197" t="inlineStr">
        <is>
          <t>SÖDERMANLANDS LÄN</t>
        </is>
      </c>
      <c r="E2197" t="inlineStr">
        <is>
          <t>FLEN</t>
        </is>
      </c>
      <c r="F2197" t="inlineStr">
        <is>
          <t>Holmen skog AB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1694-2021</t>
        </is>
      </c>
      <c r="B2198" s="1" t="n">
        <v>44209</v>
      </c>
      <c r="C2198" s="1" t="n">
        <v>45182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0.9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1655-2021</t>
        </is>
      </c>
      <c r="B2199" s="1" t="n">
        <v>44209</v>
      </c>
      <c r="C2199" s="1" t="n">
        <v>45182</v>
      </c>
      <c r="D2199" t="inlineStr">
        <is>
          <t>SÖDERMANLANDS LÄN</t>
        </is>
      </c>
      <c r="E2199" t="inlineStr">
        <is>
          <t>ESKILSTUNA</t>
        </is>
      </c>
      <c r="F2199" t="inlineStr">
        <is>
          <t>Allmännings- och besparingsskogar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1783-2021</t>
        </is>
      </c>
      <c r="B2200" s="1" t="n">
        <v>44210</v>
      </c>
      <c r="C2200" s="1" t="n">
        <v>45182</v>
      </c>
      <c r="D2200" t="inlineStr">
        <is>
          <t>SÖDERMANLANDS LÄN</t>
        </is>
      </c>
      <c r="E2200" t="inlineStr">
        <is>
          <t>STRÄNGNÄS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1869-2021</t>
        </is>
      </c>
      <c r="B2201" s="1" t="n">
        <v>44210</v>
      </c>
      <c r="C2201" s="1" t="n">
        <v>45182</v>
      </c>
      <c r="D2201" t="inlineStr">
        <is>
          <t>SÖDERMANLANDS LÄN</t>
        </is>
      </c>
      <c r="E2201" t="inlineStr">
        <is>
          <t>STRÄNGNÄS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1818-2021</t>
        </is>
      </c>
      <c r="B2202" s="1" t="n">
        <v>44210</v>
      </c>
      <c r="C2202" s="1" t="n">
        <v>45182</v>
      </c>
      <c r="D2202" t="inlineStr">
        <is>
          <t>SÖDERMANLANDS LÄN</t>
        </is>
      </c>
      <c r="E2202" t="inlineStr">
        <is>
          <t>STRÄNGNÄS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1865-2021</t>
        </is>
      </c>
      <c r="B2203" s="1" t="n">
        <v>44210</v>
      </c>
      <c r="C2203" s="1" t="n">
        <v>45182</v>
      </c>
      <c r="D2203" t="inlineStr">
        <is>
          <t>SÖDERMANLANDS LÄN</t>
        </is>
      </c>
      <c r="E2203" t="inlineStr">
        <is>
          <t>STRÄNGNÄS</t>
        </is>
      </c>
      <c r="G2203" t="n">
        <v>1.1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1787-2021</t>
        </is>
      </c>
      <c r="B2204" s="1" t="n">
        <v>44210</v>
      </c>
      <c r="C2204" s="1" t="n">
        <v>45182</v>
      </c>
      <c r="D2204" t="inlineStr">
        <is>
          <t>SÖDERMANLANDS LÄN</t>
        </is>
      </c>
      <c r="E2204" t="inlineStr">
        <is>
          <t>STRÄNGNÄS</t>
        </is>
      </c>
      <c r="G2204" t="n">
        <v>2.6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1816-2021</t>
        </is>
      </c>
      <c r="B2205" s="1" t="n">
        <v>44210</v>
      </c>
      <c r="C2205" s="1" t="n">
        <v>45182</v>
      </c>
      <c r="D2205" t="inlineStr">
        <is>
          <t>SÖDERMANLANDS LÄN</t>
        </is>
      </c>
      <c r="E2205" t="inlineStr">
        <is>
          <t>STRÄNGNÄS</t>
        </is>
      </c>
      <c r="G2205" t="n">
        <v>3.1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1856-2021</t>
        </is>
      </c>
      <c r="B2206" s="1" t="n">
        <v>44210</v>
      </c>
      <c r="C2206" s="1" t="n">
        <v>45182</v>
      </c>
      <c r="D2206" t="inlineStr">
        <is>
          <t>SÖDERMANLANDS LÄN</t>
        </is>
      </c>
      <c r="E2206" t="inlineStr">
        <is>
          <t>STRÄNGNÄS</t>
        </is>
      </c>
      <c r="G2206" t="n">
        <v>2.2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1860-2021</t>
        </is>
      </c>
      <c r="B2207" s="1" t="n">
        <v>44210</v>
      </c>
      <c r="C2207" s="1" t="n">
        <v>45182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1866-2021</t>
        </is>
      </c>
      <c r="B2208" s="1" t="n">
        <v>44210</v>
      </c>
      <c r="C2208" s="1" t="n">
        <v>45182</v>
      </c>
      <c r="D2208" t="inlineStr">
        <is>
          <t>SÖDERMANLANDS LÄN</t>
        </is>
      </c>
      <c r="E2208" t="inlineStr">
        <is>
          <t>STRÄNGNÄS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2071-2021</t>
        </is>
      </c>
      <c r="B2209" s="1" t="n">
        <v>44211</v>
      </c>
      <c r="C2209" s="1" t="n">
        <v>45182</v>
      </c>
      <c r="D2209" t="inlineStr">
        <is>
          <t>SÖDERMANLANDS LÄN</t>
        </is>
      </c>
      <c r="E2209" t="inlineStr">
        <is>
          <t>ESKILSTUNA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2113-2021</t>
        </is>
      </c>
      <c r="B2210" s="1" t="n">
        <v>44211</v>
      </c>
      <c r="C2210" s="1" t="n">
        <v>45182</v>
      </c>
      <c r="D2210" t="inlineStr">
        <is>
          <t>SÖDERMANLANDS LÄN</t>
        </is>
      </c>
      <c r="E2210" t="inlineStr">
        <is>
          <t>ESKILSTUNA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2297-2021</t>
        </is>
      </c>
      <c r="B2211" s="1" t="n">
        <v>44212</v>
      </c>
      <c r="C2211" s="1" t="n">
        <v>45182</v>
      </c>
      <c r="D2211" t="inlineStr">
        <is>
          <t>SÖDERMANLANDS LÄN</t>
        </is>
      </c>
      <c r="E2211" t="inlineStr">
        <is>
          <t>KATRINEHOLM</t>
        </is>
      </c>
      <c r="G2211" t="n">
        <v>14.4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2298-2021</t>
        </is>
      </c>
      <c r="B2212" s="1" t="n">
        <v>44212</v>
      </c>
      <c r="C2212" s="1" t="n">
        <v>45182</v>
      </c>
      <c r="D2212" t="inlineStr">
        <is>
          <t>SÖDERMANLANDS LÄN</t>
        </is>
      </c>
      <c r="E2212" t="inlineStr">
        <is>
          <t>KATRINEHOLM</t>
        </is>
      </c>
      <c r="G2212" t="n">
        <v>3.4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2488-2021</t>
        </is>
      </c>
      <c r="B2213" s="1" t="n">
        <v>44214</v>
      </c>
      <c r="C2213" s="1" t="n">
        <v>45182</v>
      </c>
      <c r="D2213" t="inlineStr">
        <is>
          <t>SÖDERMANLANDS LÄN</t>
        </is>
      </c>
      <c r="E2213" t="inlineStr">
        <is>
          <t>FLEN</t>
        </is>
      </c>
      <c r="G2213" t="n">
        <v>4.3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2362-2021</t>
        </is>
      </c>
      <c r="B2214" s="1" t="n">
        <v>44214</v>
      </c>
      <c r="C2214" s="1" t="n">
        <v>45182</v>
      </c>
      <c r="D2214" t="inlineStr">
        <is>
          <t>SÖDERMANLANDS LÄN</t>
        </is>
      </c>
      <c r="E2214" t="inlineStr">
        <is>
          <t>ESKILSTUNA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2435-2021</t>
        </is>
      </c>
      <c r="B2215" s="1" t="n">
        <v>44214</v>
      </c>
      <c r="C2215" s="1" t="n">
        <v>45182</v>
      </c>
      <c r="D2215" t="inlineStr">
        <is>
          <t>SÖDERMANLANDS LÄN</t>
        </is>
      </c>
      <c r="E2215" t="inlineStr">
        <is>
          <t>KATRINEHOLM</t>
        </is>
      </c>
      <c r="G2215" t="n">
        <v>3.6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2541-2021</t>
        </is>
      </c>
      <c r="B2216" s="1" t="n">
        <v>44214</v>
      </c>
      <c r="C2216" s="1" t="n">
        <v>45182</v>
      </c>
      <c r="D2216" t="inlineStr">
        <is>
          <t>SÖDERMANLANDS LÄN</t>
        </is>
      </c>
      <c r="E2216" t="inlineStr">
        <is>
          <t>NYKÖPING</t>
        </is>
      </c>
      <c r="F2216" t="inlineStr">
        <is>
          <t>Holmen skog AB</t>
        </is>
      </c>
      <c r="G2216" t="n">
        <v>1.3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2945-2021</t>
        </is>
      </c>
      <c r="B2217" s="1" t="n">
        <v>44216</v>
      </c>
      <c r="C2217" s="1" t="n">
        <v>45182</v>
      </c>
      <c r="D2217" t="inlineStr">
        <is>
          <t>SÖDERMANLANDS LÄN</t>
        </is>
      </c>
      <c r="E2217" t="inlineStr">
        <is>
          <t>ESKILSTUNA</t>
        </is>
      </c>
      <c r="F2217" t="inlineStr">
        <is>
          <t>Allmännings- och besparingsskogar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2851-2021</t>
        </is>
      </c>
      <c r="B2218" s="1" t="n">
        <v>44216</v>
      </c>
      <c r="C2218" s="1" t="n">
        <v>45182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2863-2021</t>
        </is>
      </c>
      <c r="B2219" s="1" t="n">
        <v>44216</v>
      </c>
      <c r="C2219" s="1" t="n">
        <v>45182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2866-2021</t>
        </is>
      </c>
      <c r="B2220" s="1" t="n">
        <v>44216</v>
      </c>
      <c r="C2220" s="1" t="n">
        <v>45182</v>
      </c>
      <c r="D2220" t="inlineStr">
        <is>
          <t>SÖDERMANLANDS LÄN</t>
        </is>
      </c>
      <c r="E2220" t="inlineStr">
        <is>
          <t>NYKÖPING</t>
        </is>
      </c>
      <c r="F2220" t="inlineStr">
        <is>
          <t>Holmen skog AB</t>
        </is>
      </c>
      <c r="G2220" t="n">
        <v>0.1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3068-2021</t>
        </is>
      </c>
      <c r="B2221" s="1" t="n">
        <v>44216</v>
      </c>
      <c r="C2221" s="1" t="n">
        <v>45182</v>
      </c>
      <c r="D2221" t="inlineStr">
        <is>
          <t>SÖDERMANLANDS LÄN</t>
        </is>
      </c>
      <c r="E2221" t="inlineStr">
        <is>
          <t>NYKÖPING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3169-2021</t>
        </is>
      </c>
      <c r="B2222" s="1" t="n">
        <v>44217</v>
      </c>
      <c r="C2222" s="1" t="n">
        <v>45182</v>
      </c>
      <c r="D2222" t="inlineStr">
        <is>
          <t>SÖDERMANLANDS LÄN</t>
        </is>
      </c>
      <c r="E2222" t="inlineStr">
        <is>
          <t>FLEN</t>
        </is>
      </c>
      <c r="F2222" t="inlineStr">
        <is>
          <t>Holmen skog AB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3382-2021</t>
        </is>
      </c>
      <c r="B2223" s="1" t="n">
        <v>44217</v>
      </c>
      <c r="C2223" s="1" t="n">
        <v>45182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Kommuner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3923-2021</t>
        </is>
      </c>
      <c r="B2224" s="1" t="n">
        <v>44218</v>
      </c>
      <c r="C2224" s="1" t="n">
        <v>45182</v>
      </c>
      <c r="D2224" t="inlineStr">
        <is>
          <t>SÖDERMANLANDS LÄN</t>
        </is>
      </c>
      <c r="E2224" t="inlineStr">
        <is>
          <t>STRÄNGNÄS</t>
        </is>
      </c>
      <c r="G2224" t="n">
        <v>2.2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3943-2021</t>
        </is>
      </c>
      <c r="B2225" s="1" t="n">
        <v>44218</v>
      </c>
      <c r="C2225" s="1" t="n">
        <v>45182</v>
      </c>
      <c r="D2225" t="inlineStr">
        <is>
          <t>SÖDERMANLANDS LÄN</t>
        </is>
      </c>
      <c r="E2225" t="inlineStr">
        <is>
          <t>STRÄNGNÄS</t>
        </is>
      </c>
      <c r="G2225" t="n">
        <v>5.5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3359-2021</t>
        </is>
      </c>
      <c r="B2226" s="1" t="n">
        <v>44218</v>
      </c>
      <c r="C2226" s="1" t="n">
        <v>45182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3927-2021</t>
        </is>
      </c>
      <c r="B2227" s="1" t="n">
        <v>44218</v>
      </c>
      <c r="C2227" s="1" t="n">
        <v>45182</v>
      </c>
      <c r="D2227" t="inlineStr">
        <is>
          <t>SÖDERMANLANDS LÄN</t>
        </is>
      </c>
      <c r="E2227" t="inlineStr">
        <is>
          <t>STRÄNGNÄS</t>
        </is>
      </c>
      <c r="G2227" t="n">
        <v>4.3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3938-2021</t>
        </is>
      </c>
      <c r="B2228" s="1" t="n">
        <v>44218</v>
      </c>
      <c r="C2228" s="1" t="n">
        <v>45182</v>
      </c>
      <c r="D2228" t="inlineStr">
        <is>
          <t>SÖDERMANLANDS LÄN</t>
        </is>
      </c>
      <c r="E2228" t="inlineStr">
        <is>
          <t>STRÄNGNÄS</t>
        </is>
      </c>
      <c r="G2228" t="n">
        <v>5.4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3513-2021</t>
        </is>
      </c>
      <c r="B2229" s="1" t="n">
        <v>44218</v>
      </c>
      <c r="C2229" s="1" t="n">
        <v>45182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3935-2021</t>
        </is>
      </c>
      <c r="B2230" s="1" t="n">
        <v>44218</v>
      </c>
      <c r="C2230" s="1" t="n">
        <v>45182</v>
      </c>
      <c r="D2230" t="inlineStr">
        <is>
          <t>SÖDERMANLANDS LÄN</t>
        </is>
      </c>
      <c r="E2230" t="inlineStr">
        <is>
          <t>STRÄNGNÄS</t>
        </is>
      </c>
      <c r="G2230" t="n">
        <v>2.3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3718-2021</t>
        </is>
      </c>
      <c r="B2231" s="1" t="n">
        <v>44221</v>
      </c>
      <c r="C2231" s="1" t="n">
        <v>45182</v>
      </c>
      <c r="D2231" t="inlineStr">
        <is>
          <t>SÖDERMANLANDS LÄN</t>
        </is>
      </c>
      <c r="E2231" t="inlineStr">
        <is>
          <t>ESKILSTUNA</t>
        </is>
      </c>
      <c r="G2231" t="n">
        <v>4.5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3721-2021</t>
        </is>
      </c>
      <c r="B2232" s="1" t="n">
        <v>44221</v>
      </c>
      <c r="C2232" s="1" t="n">
        <v>45182</v>
      </c>
      <c r="D2232" t="inlineStr">
        <is>
          <t>SÖDERMANLANDS LÄN</t>
        </is>
      </c>
      <c r="E2232" t="inlineStr">
        <is>
          <t>ESKILSTUNA</t>
        </is>
      </c>
      <c r="G2232" t="n">
        <v>0.6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4426-2021</t>
        </is>
      </c>
      <c r="B2233" s="1" t="n">
        <v>44221</v>
      </c>
      <c r="C2233" s="1" t="n">
        <v>45182</v>
      </c>
      <c r="D2233" t="inlineStr">
        <is>
          <t>SÖDERMANLANDS LÄN</t>
        </is>
      </c>
      <c r="E2233" t="inlineStr">
        <is>
          <t>ESKILSTUNA</t>
        </is>
      </c>
      <c r="G2233" t="n">
        <v>16.5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3722-2021</t>
        </is>
      </c>
      <c r="B2234" s="1" t="n">
        <v>44221</v>
      </c>
      <c r="C2234" s="1" t="n">
        <v>45182</v>
      </c>
      <c r="D2234" t="inlineStr">
        <is>
          <t>SÖDERMANLANDS LÄN</t>
        </is>
      </c>
      <c r="E2234" t="inlineStr">
        <is>
          <t>ESKILSTUNA</t>
        </is>
      </c>
      <c r="G2234" t="n">
        <v>2.1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4322-2021</t>
        </is>
      </c>
      <c r="B2235" s="1" t="n">
        <v>44223</v>
      </c>
      <c r="C2235" s="1" t="n">
        <v>45182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Sveaskog</t>
        </is>
      </c>
      <c r="G2235" t="n">
        <v>9.1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4348-2021</t>
        </is>
      </c>
      <c r="B2236" s="1" t="n">
        <v>44223</v>
      </c>
      <c r="C2236" s="1" t="n">
        <v>45182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4533-2021</t>
        </is>
      </c>
      <c r="B2237" s="1" t="n">
        <v>44223</v>
      </c>
      <c r="C2237" s="1" t="n">
        <v>45182</v>
      </c>
      <c r="D2237" t="inlineStr">
        <is>
          <t>SÖDERMANLANDS LÄN</t>
        </is>
      </c>
      <c r="E2237" t="inlineStr">
        <is>
          <t>KATRINEHOLM</t>
        </is>
      </c>
      <c r="G2237" t="n">
        <v>1.9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4610-2021</t>
        </is>
      </c>
      <c r="B2238" s="1" t="n">
        <v>44224</v>
      </c>
      <c r="C2238" s="1" t="n">
        <v>45182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4623-2021</t>
        </is>
      </c>
      <c r="B2239" s="1" t="n">
        <v>44224</v>
      </c>
      <c r="C2239" s="1" t="n">
        <v>45182</v>
      </c>
      <c r="D2239" t="inlineStr">
        <is>
          <t>SÖDERMANLANDS LÄN</t>
        </is>
      </c>
      <c r="E2239" t="inlineStr">
        <is>
          <t>NYKÖPING</t>
        </is>
      </c>
      <c r="F2239" t="inlineStr">
        <is>
          <t>Holmen skog AB</t>
        </is>
      </c>
      <c r="G2239" t="n">
        <v>0.2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4642-2021</t>
        </is>
      </c>
      <c r="B2240" s="1" t="n">
        <v>44224</v>
      </c>
      <c r="C2240" s="1" t="n">
        <v>45182</v>
      </c>
      <c r="D2240" t="inlineStr">
        <is>
          <t>SÖDERMANLANDS LÄN</t>
        </is>
      </c>
      <c r="E2240" t="inlineStr">
        <is>
          <t>NYKÖPING</t>
        </is>
      </c>
      <c r="G2240" t="n">
        <v>2.2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4461-2021</t>
        </is>
      </c>
      <c r="B2241" s="1" t="n">
        <v>44224</v>
      </c>
      <c r="C2241" s="1" t="n">
        <v>45182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0.2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4596-2021</t>
        </is>
      </c>
      <c r="B2242" s="1" t="n">
        <v>44224</v>
      </c>
      <c r="C2242" s="1" t="n">
        <v>45182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Holmen skog AB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4635-2021</t>
        </is>
      </c>
      <c r="B2243" s="1" t="n">
        <v>44224</v>
      </c>
      <c r="C2243" s="1" t="n">
        <v>45182</v>
      </c>
      <c r="D2243" t="inlineStr">
        <is>
          <t>SÖDERMANLANDS LÄN</t>
        </is>
      </c>
      <c r="E2243" t="inlineStr">
        <is>
          <t>ESKILSTUNA</t>
        </is>
      </c>
      <c r="G2243" t="n">
        <v>11.3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4609-2021</t>
        </is>
      </c>
      <c r="B2244" s="1" t="n">
        <v>44224</v>
      </c>
      <c r="C2244" s="1" t="n">
        <v>45182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4767-2021</t>
        </is>
      </c>
      <c r="B2245" s="1" t="n">
        <v>44225</v>
      </c>
      <c r="C2245" s="1" t="n">
        <v>45182</v>
      </c>
      <c r="D2245" t="inlineStr">
        <is>
          <t>SÖDERMANLANDS LÄN</t>
        </is>
      </c>
      <c r="E2245" t="inlineStr">
        <is>
          <t>KATRINEHOLM</t>
        </is>
      </c>
      <c r="G2245" t="n">
        <v>3.8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5084-2021</t>
        </is>
      </c>
      <c r="B2246" s="1" t="n">
        <v>44228</v>
      </c>
      <c r="C2246" s="1" t="n">
        <v>45182</v>
      </c>
      <c r="D2246" t="inlineStr">
        <is>
          <t>SÖDERMANLANDS LÄN</t>
        </is>
      </c>
      <c r="E2246" t="inlineStr">
        <is>
          <t>VINGÅKER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5060-2021</t>
        </is>
      </c>
      <c r="B2247" s="1" t="n">
        <v>44228</v>
      </c>
      <c r="C2247" s="1" t="n">
        <v>45182</v>
      </c>
      <c r="D2247" t="inlineStr">
        <is>
          <t>SÖDERMANLANDS LÄN</t>
        </is>
      </c>
      <c r="E2247" t="inlineStr">
        <is>
          <t>VINGÅKER</t>
        </is>
      </c>
      <c r="G2247" t="n">
        <v>3.6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5971-2021</t>
        </is>
      </c>
      <c r="B2248" s="1" t="n">
        <v>44230</v>
      </c>
      <c r="C2248" s="1" t="n">
        <v>45182</v>
      </c>
      <c r="D2248" t="inlineStr">
        <is>
          <t>SÖDERMANLANDS LÄN</t>
        </is>
      </c>
      <c r="E2248" t="inlineStr">
        <is>
          <t>FLEN</t>
        </is>
      </c>
      <c r="G2248" t="n">
        <v>7.6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5569-2021</t>
        </is>
      </c>
      <c r="B2249" s="1" t="n">
        <v>44230</v>
      </c>
      <c r="C2249" s="1" t="n">
        <v>45182</v>
      </c>
      <c r="D2249" t="inlineStr">
        <is>
          <t>SÖDERMANLANDS LÄN</t>
        </is>
      </c>
      <c r="E2249" t="inlineStr">
        <is>
          <t>ESKILSTUNA</t>
        </is>
      </c>
      <c r="G2249" t="n">
        <v>4.1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5953-2021</t>
        </is>
      </c>
      <c r="B2250" s="1" t="n">
        <v>44231</v>
      </c>
      <c r="C2250" s="1" t="n">
        <v>45182</v>
      </c>
      <c r="D2250" t="inlineStr">
        <is>
          <t>SÖDERMANLANDS LÄN</t>
        </is>
      </c>
      <c r="E2250" t="inlineStr">
        <is>
          <t>KATRINEHOLM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6171-2021</t>
        </is>
      </c>
      <c r="B2251" s="1" t="n">
        <v>44232</v>
      </c>
      <c r="C2251" s="1" t="n">
        <v>45182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6087-2021</t>
        </is>
      </c>
      <c r="B2252" s="1" t="n">
        <v>44232</v>
      </c>
      <c r="C2252" s="1" t="n">
        <v>45182</v>
      </c>
      <c r="D2252" t="inlineStr">
        <is>
          <t>SÖDERMANLANDS LÄN</t>
        </is>
      </c>
      <c r="E2252" t="inlineStr">
        <is>
          <t>KATRINEHOLM</t>
        </is>
      </c>
      <c r="G2252" t="n">
        <v>2.6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6295-2021</t>
        </is>
      </c>
      <c r="B2253" s="1" t="n">
        <v>44235</v>
      </c>
      <c r="C2253" s="1" t="n">
        <v>45182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6415-2021</t>
        </is>
      </c>
      <c r="B2254" s="1" t="n">
        <v>44235</v>
      </c>
      <c r="C2254" s="1" t="n">
        <v>45182</v>
      </c>
      <c r="D2254" t="inlineStr">
        <is>
          <t>SÖDERMANLANDS LÄN</t>
        </is>
      </c>
      <c r="E2254" t="inlineStr">
        <is>
          <t>GNESTA</t>
        </is>
      </c>
      <c r="G2254" t="n">
        <v>7.5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6558-2021</t>
        </is>
      </c>
      <c r="B2255" s="1" t="n">
        <v>44236</v>
      </c>
      <c r="C2255" s="1" t="n">
        <v>45182</v>
      </c>
      <c r="D2255" t="inlineStr">
        <is>
          <t>SÖDERMANLANDS LÄN</t>
        </is>
      </c>
      <c r="E2255" t="inlineStr">
        <is>
          <t>STRÄNGNÄS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6883-2021</t>
        </is>
      </c>
      <c r="B2256" s="1" t="n">
        <v>44237</v>
      </c>
      <c r="C2256" s="1" t="n">
        <v>45182</v>
      </c>
      <c r="D2256" t="inlineStr">
        <is>
          <t>SÖDERMANLANDS LÄN</t>
        </is>
      </c>
      <c r="E2256" t="inlineStr">
        <is>
          <t>VINGÅKER</t>
        </is>
      </c>
      <c r="G2256" t="n">
        <v>4.9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7006-2021</t>
        </is>
      </c>
      <c r="B2257" s="1" t="n">
        <v>44237</v>
      </c>
      <c r="C2257" s="1" t="n">
        <v>45182</v>
      </c>
      <c r="D2257" t="inlineStr">
        <is>
          <t>SÖDERMANLANDS LÄN</t>
        </is>
      </c>
      <c r="E2257" t="inlineStr">
        <is>
          <t>NYKÖPING</t>
        </is>
      </c>
      <c r="F2257" t="inlineStr">
        <is>
          <t>Holmen skog AB</t>
        </is>
      </c>
      <c r="G2257" t="n">
        <v>0.4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7000-2021</t>
        </is>
      </c>
      <c r="B2258" s="1" t="n">
        <v>44237</v>
      </c>
      <c r="C2258" s="1" t="n">
        <v>45182</v>
      </c>
      <c r="D2258" t="inlineStr">
        <is>
          <t>SÖDERMANLANDS LÄN</t>
        </is>
      </c>
      <c r="E2258" t="inlineStr">
        <is>
          <t>NYKÖPING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7022-2021</t>
        </is>
      </c>
      <c r="B2259" s="1" t="n">
        <v>44237</v>
      </c>
      <c r="C2259" s="1" t="n">
        <v>45182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0.1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7237-2021</t>
        </is>
      </c>
      <c r="B2260" s="1" t="n">
        <v>44238</v>
      </c>
      <c r="C2260" s="1" t="n">
        <v>45182</v>
      </c>
      <c r="D2260" t="inlineStr">
        <is>
          <t>SÖDERMANLANDS LÄN</t>
        </is>
      </c>
      <c r="E2260" t="inlineStr">
        <is>
          <t>ESKILSTUNA</t>
        </is>
      </c>
      <c r="F2260" t="inlineStr">
        <is>
          <t>Kyrkan</t>
        </is>
      </c>
      <c r="G2260" t="n">
        <v>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7251-2021</t>
        </is>
      </c>
      <c r="B2261" s="1" t="n">
        <v>44238</v>
      </c>
      <c r="C2261" s="1" t="n">
        <v>45182</v>
      </c>
      <c r="D2261" t="inlineStr">
        <is>
          <t>SÖDERMANLANDS LÄN</t>
        </is>
      </c>
      <c r="E2261" t="inlineStr">
        <is>
          <t>TROSA</t>
        </is>
      </c>
      <c r="F2261" t="inlineStr">
        <is>
          <t>Kyrkan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7213-2021</t>
        </is>
      </c>
      <c r="B2262" s="1" t="n">
        <v>44238</v>
      </c>
      <c r="C2262" s="1" t="n">
        <v>45182</v>
      </c>
      <c r="D2262" t="inlineStr">
        <is>
          <t>SÖDERMANLANDS LÄN</t>
        </is>
      </c>
      <c r="E2262" t="inlineStr">
        <is>
          <t>ESKILSTUNA</t>
        </is>
      </c>
      <c r="F2262" t="inlineStr">
        <is>
          <t>Kyrkan</t>
        </is>
      </c>
      <c r="G2262" t="n">
        <v>3.5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7240-2021</t>
        </is>
      </c>
      <c r="B2263" s="1" t="n">
        <v>44238</v>
      </c>
      <c r="C2263" s="1" t="n">
        <v>45182</v>
      </c>
      <c r="D2263" t="inlineStr">
        <is>
          <t>SÖDERMANLANDS LÄN</t>
        </is>
      </c>
      <c r="E2263" t="inlineStr">
        <is>
          <t>KATRINEHOLM</t>
        </is>
      </c>
      <c r="G2263" t="n">
        <v>1.8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7313-2021</t>
        </is>
      </c>
      <c r="B2264" s="1" t="n">
        <v>44238</v>
      </c>
      <c r="C2264" s="1" t="n">
        <v>45182</v>
      </c>
      <c r="D2264" t="inlineStr">
        <is>
          <t>SÖDERMANLANDS LÄN</t>
        </is>
      </c>
      <c r="E2264" t="inlineStr">
        <is>
          <t>VINGÅKER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7172-2021</t>
        </is>
      </c>
      <c r="B2265" s="1" t="n">
        <v>44238</v>
      </c>
      <c r="C2265" s="1" t="n">
        <v>45182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7187-2021</t>
        </is>
      </c>
      <c r="B2266" s="1" t="n">
        <v>44238</v>
      </c>
      <c r="C2266" s="1" t="n">
        <v>45182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1.6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7127-2021</t>
        </is>
      </c>
      <c r="B2267" s="1" t="n">
        <v>44238</v>
      </c>
      <c r="C2267" s="1" t="n">
        <v>45182</v>
      </c>
      <c r="D2267" t="inlineStr">
        <is>
          <t>SÖDERMANLANDS LÄN</t>
        </is>
      </c>
      <c r="E2267" t="inlineStr">
        <is>
          <t>TROSA</t>
        </is>
      </c>
      <c r="F2267" t="inlineStr">
        <is>
          <t>Kommuner</t>
        </is>
      </c>
      <c r="G2267" t="n">
        <v>1.4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7138-2021</t>
        </is>
      </c>
      <c r="B2268" s="1" t="n">
        <v>44238</v>
      </c>
      <c r="C2268" s="1" t="n">
        <v>45182</v>
      </c>
      <c r="D2268" t="inlineStr">
        <is>
          <t>SÖDERMANLANDS LÄN</t>
        </is>
      </c>
      <c r="E2268" t="inlineStr">
        <is>
          <t>TROSA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7254-2021</t>
        </is>
      </c>
      <c r="B2269" s="1" t="n">
        <v>44238</v>
      </c>
      <c r="C2269" s="1" t="n">
        <v>45182</v>
      </c>
      <c r="D2269" t="inlineStr">
        <is>
          <t>SÖDERMANLANDS LÄN</t>
        </is>
      </c>
      <c r="E2269" t="inlineStr">
        <is>
          <t>KATRINEHOLM</t>
        </is>
      </c>
      <c r="G2269" t="n">
        <v>3.6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7385-2021</t>
        </is>
      </c>
      <c r="B2270" s="1" t="n">
        <v>44239</v>
      </c>
      <c r="C2270" s="1" t="n">
        <v>45182</v>
      </c>
      <c r="D2270" t="inlineStr">
        <is>
          <t>SÖDERMANLANDS LÄN</t>
        </is>
      </c>
      <c r="E2270" t="inlineStr">
        <is>
          <t>GNESTA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7503-2021</t>
        </is>
      </c>
      <c r="B2271" s="1" t="n">
        <v>44239</v>
      </c>
      <c r="C2271" s="1" t="n">
        <v>45182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0.6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7346-2021</t>
        </is>
      </c>
      <c r="B2272" s="1" t="n">
        <v>44239</v>
      </c>
      <c r="C2272" s="1" t="n">
        <v>45182</v>
      </c>
      <c r="D2272" t="inlineStr">
        <is>
          <t>SÖDERMANLANDS LÄN</t>
        </is>
      </c>
      <c r="E2272" t="inlineStr">
        <is>
          <t>ESKILSTUNA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7434-2021</t>
        </is>
      </c>
      <c r="B2273" s="1" t="n">
        <v>44239</v>
      </c>
      <c r="C2273" s="1" t="n">
        <v>45182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7671-2021</t>
        </is>
      </c>
      <c r="B2274" s="1" t="n">
        <v>44239</v>
      </c>
      <c r="C2274" s="1" t="n">
        <v>45182</v>
      </c>
      <c r="D2274" t="inlineStr">
        <is>
          <t>SÖDERMANLANDS LÄN</t>
        </is>
      </c>
      <c r="E2274" t="inlineStr">
        <is>
          <t>ESKILSTUNA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7386-2021</t>
        </is>
      </c>
      <c r="B2275" s="1" t="n">
        <v>44239</v>
      </c>
      <c r="C2275" s="1" t="n">
        <v>45182</v>
      </c>
      <c r="D2275" t="inlineStr">
        <is>
          <t>SÖDERMANLANDS LÄN</t>
        </is>
      </c>
      <c r="E2275" t="inlineStr">
        <is>
          <t>GNESTA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7462-2021</t>
        </is>
      </c>
      <c r="B2276" s="1" t="n">
        <v>44239</v>
      </c>
      <c r="C2276" s="1" t="n">
        <v>45182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7705-2021</t>
        </is>
      </c>
      <c r="B2277" s="1" t="n">
        <v>44242</v>
      </c>
      <c r="C2277" s="1" t="n">
        <v>45182</v>
      </c>
      <c r="D2277" t="inlineStr">
        <is>
          <t>SÖDERMANLANDS LÄN</t>
        </is>
      </c>
      <c r="E2277" t="inlineStr">
        <is>
          <t>KATRINEHOLM</t>
        </is>
      </c>
      <c r="F2277" t="inlineStr">
        <is>
          <t>Allmännings- och besparingsskogar</t>
        </is>
      </c>
      <c r="G2277" t="n">
        <v>9.800000000000001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8176-2021</t>
        </is>
      </c>
      <c r="B2278" s="1" t="n">
        <v>44242</v>
      </c>
      <c r="C2278" s="1" t="n">
        <v>45182</v>
      </c>
      <c r="D2278" t="inlineStr">
        <is>
          <t>SÖDERMANLANDS LÄN</t>
        </is>
      </c>
      <c r="E2278" t="inlineStr">
        <is>
          <t>FLEN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  <c r="U2278">
        <f>HYPERLINK("https://klasma.github.io/Logging_FLEN/knärot/A 8176-2021.png")</f>
        <v/>
      </c>
      <c r="V2278">
        <f>HYPERLINK("https://klasma.github.io/Logging_FLEN/klagomål/A 8176-2021.docx")</f>
        <v/>
      </c>
      <c r="W2278">
        <f>HYPERLINK("https://klasma.github.io/Logging_FLEN/klagomålsmail/A 8176-2021.docx")</f>
        <v/>
      </c>
      <c r="X2278">
        <f>HYPERLINK("https://klasma.github.io/Logging_FLEN/tillsyn/A 8176-2021.docx")</f>
        <v/>
      </c>
      <c r="Y2278">
        <f>HYPERLINK("https://klasma.github.io/Logging_FLEN/tillsynsmail/A 8176-2021.docx")</f>
        <v/>
      </c>
    </row>
    <row r="2279" ht="15" customHeight="1">
      <c r="A2279" t="inlineStr">
        <is>
          <t>A 7858-2021</t>
        </is>
      </c>
      <c r="B2279" s="1" t="n">
        <v>44242</v>
      </c>
      <c r="C2279" s="1" t="n">
        <v>45182</v>
      </c>
      <c r="D2279" t="inlineStr">
        <is>
          <t>SÖDERMANLANDS LÄN</t>
        </is>
      </c>
      <c r="E2279" t="inlineStr">
        <is>
          <t>FLEN</t>
        </is>
      </c>
      <c r="F2279" t="inlineStr">
        <is>
          <t>Holmen skog AB</t>
        </is>
      </c>
      <c r="G2279" t="n">
        <v>0.8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7669-2021</t>
        </is>
      </c>
      <c r="B2280" s="1" t="n">
        <v>44242</v>
      </c>
      <c r="C2280" s="1" t="n">
        <v>45182</v>
      </c>
      <c r="D2280" t="inlineStr">
        <is>
          <t>SÖDERMANLANDS LÄN</t>
        </is>
      </c>
      <c r="E2280" t="inlineStr">
        <is>
          <t>KATRINEHOLM</t>
        </is>
      </c>
      <c r="G2280" t="n">
        <v>3.5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7855-2021</t>
        </is>
      </c>
      <c r="B2281" s="1" t="n">
        <v>44242</v>
      </c>
      <c r="C2281" s="1" t="n">
        <v>45182</v>
      </c>
      <c r="D2281" t="inlineStr">
        <is>
          <t>SÖDERMANLANDS LÄN</t>
        </is>
      </c>
      <c r="E2281" t="inlineStr">
        <is>
          <t>KATRINEHOLM</t>
        </is>
      </c>
      <c r="F2281" t="inlineStr">
        <is>
          <t>Allmännings- och besparingsskogar</t>
        </is>
      </c>
      <c r="G2281" t="n">
        <v>3.7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8141-2021</t>
        </is>
      </c>
      <c r="B2282" s="1" t="n">
        <v>44242</v>
      </c>
      <c r="C2282" s="1" t="n">
        <v>45182</v>
      </c>
      <c r="D2282" t="inlineStr">
        <is>
          <t>SÖDERMANLANDS LÄN</t>
        </is>
      </c>
      <c r="E2282" t="inlineStr">
        <is>
          <t>FLEN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8289-2021</t>
        </is>
      </c>
      <c r="B2283" s="1" t="n">
        <v>44244</v>
      </c>
      <c r="C2283" s="1" t="n">
        <v>45182</v>
      </c>
      <c r="D2283" t="inlineStr">
        <is>
          <t>SÖDERMANLANDS LÄN</t>
        </is>
      </c>
      <c r="E2283" t="inlineStr">
        <is>
          <t>KATRINEHOLM</t>
        </is>
      </c>
      <c r="G2283" t="n">
        <v>2.3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8450-2021</t>
        </is>
      </c>
      <c r="B2284" s="1" t="n">
        <v>44244</v>
      </c>
      <c r="C2284" s="1" t="n">
        <v>45182</v>
      </c>
      <c r="D2284" t="inlineStr">
        <is>
          <t>SÖDERMANLANDS LÄN</t>
        </is>
      </c>
      <c r="E2284" t="inlineStr">
        <is>
          <t>STRÄNGNÄS</t>
        </is>
      </c>
      <c r="G2284" t="n">
        <v>5.7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8487-2021</t>
        </is>
      </c>
      <c r="B2285" s="1" t="n">
        <v>44244</v>
      </c>
      <c r="C2285" s="1" t="n">
        <v>45182</v>
      </c>
      <c r="D2285" t="inlineStr">
        <is>
          <t>SÖDERMANLANDS LÄN</t>
        </is>
      </c>
      <c r="E2285" t="inlineStr">
        <is>
          <t>VINGÅKER</t>
        </is>
      </c>
      <c r="G2285" t="n">
        <v>2.8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8455-2021</t>
        </is>
      </c>
      <c r="B2286" s="1" t="n">
        <v>44245</v>
      </c>
      <c r="C2286" s="1" t="n">
        <v>45182</v>
      </c>
      <c r="D2286" t="inlineStr">
        <is>
          <t>SÖDERMANLANDS LÄN</t>
        </is>
      </c>
      <c r="E2286" t="inlineStr">
        <is>
          <t>NYKÖPING</t>
        </is>
      </c>
      <c r="G2286" t="n">
        <v>2.7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8619-2021</t>
        </is>
      </c>
      <c r="B2287" s="1" t="n">
        <v>44245</v>
      </c>
      <c r="C2287" s="1" t="n">
        <v>45182</v>
      </c>
      <c r="D2287" t="inlineStr">
        <is>
          <t>SÖDERMANLANDS LÄN</t>
        </is>
      </c>
      <c r="E2287" t="inlineStr">
        <is>
          <t>ESKILSTUNA</t>
        </is>
      </c>
      <c r="F2287" t="inlineStr">
        <is>
          <t>Allmännings- och besparingsskogar</t>
        </is>
      </c>
      <c r="G2287" t="n">
        <v>2.8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8443-2021</t>
        </is>
      </c>
      <c r="B2288" s="1" t="n">
        <v>44245</v>
      </c>
      <c r="C2288" s="1" t="n">
        <v>45182</v>
      </c>
      <c r="D2288" t="inlineStr">
        <is>
          <t>SÖDERMANLANDS LÄN</t>
        </is>
      </c>
      <c r="E2288" t="inlineStr">
        <is>
          <t>GNESTA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8610-2021</t>
        </is>
      </c>
      <c r="B2289" s="1" t="n">
        <v>44245</v>
      </c>
      <c r="C2289" s="1" t="n">
        <v>45182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5.3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8616-2021</t>
        </is>
      </c>
      <c r="B2290" s="1" t="n">
        <v>44245</v>
      </c>
      <c r="C2290" s="1" t="n">
        <v>45182</v>
      </c>
      <c r="D2290" t="inlineStr">
        <is>
          <t>SÖDERMANLANDS LÄN</t>
        </is>
      </c>
      <c r="E2290" t="inlineStr">
        <is>
          <t>ESKILSTUNA</t>
        </is>
      </c>
      <c r="F2290" t="inlineStr">
        <is>
          <t>Allmännings- och besparingsskogar</t>
        </is>
      </c>
      <c r="G2290" t="n">
        <v>4.8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8457-2021</t>
        </is>
      </c>
      <c r="B2291" s="1" t="n">
        <v>44245</v>
      </c>
      <c r="C2291" s="1" t="n">
        <v>45182</v>
      </c>
      <c r="D2291" t="inlineStr">
        <is>
          <t>SÖDERMANLANDS LÄN</t>
        </is>
      </c>
      <c r="E2291" t="inlineStr">
        <is>
          <t>GNESTA</t>
        </is>
      </c>
      <c r="G2291" t="n">
        <v>9.9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8614-2021</t>
        </is>
      </c>
      <c r="B2292" s="1" t="n">
        <v>44245</v>
      </c>
      <c r="C2292" s="1" t="n">
        <v>45182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8523-2021</t>
        </is>
      </c>
      <c r="B2293" s="1" t="n">
        <v>44245</v>
      </c>
      <c r="C2293" s="1" t="n">
        <v>45182</v>
      </c>
      <c r="D2293" t="inlineStr">
        <is>
          <t>SÖDERMANLANDS LÄN</t>
        </is>
      </c>
      <c r="E2293" t="inlineStr">
        <is>
          <t>NYKÖPING</t>
        </is>
      </c>
      <c r="F2293" t="inlineStr">
        <is>
          <t>Holmen skog AB</t>
        </is>
      </c>
      <c r="G2293" t="n">
        <v>0.1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8549-2021</t>
        </is>
      </c>
      <c r="B2294" s="1" t="n">
        <v>44245</v>
      </c>
      <c r="C2294" s="1" t="n">
        <v>45182</v>
      </c>
      <c r="D2294" t="inlineStr">
        <is>
          <t>SÖDERMANLANDS LÄN</t>
        </is>
      </c>
      <c r="E2294" t="inlineStr">
        <is>
          <t>VINGÅKER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8767-2021</t>
        </is>
      </c>
      <c r="B2295" s="1" t="n">
        <v>44246</v>
      </c>
      <c r="C2295" s="1" t="n">
        <v>45182</v>
      </c>
      <c r="D2295" t="inlineStr">
        <is>
          <t>SÖDERMANLANDS LÄN</t>
        </is>
      </c>
      <c r="E2295" t="inlineStr">
        <is>
          <t>NYKÖPING</t>
        </is>
      </c>
      <c r="F2295" t="inlineStr">
        <is>
          <t>Holmen skog AB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9038-2021</t>
        </is>
      </c>
      <c r="B2296" s="1" t="n">
        <v>44246</v>
      </c>
      <c r="C2296" s="1" t="n">
        <v>45182</v>
      </c>
      <c r="D2296" t="inlineStr">
        <is>
          <t>SÖDERMANLANDS LÄN</t>
        </is>
      </c>
      <c r="E2296" t="inlineStr">
        <is>
          <t>GNESTA</t>
        </is>
      </c>
      <c r="G2296" t="n">
        <v>1.9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9047-2021</t>
        </is>
      </c>
      <c r="B2297" s="1" t="n">
        <v>44246</v>
      </c>
      <c r="C2297" s="1" t="n">
        <v>45182</v>
      </c>
      <c r="D2297" t="inlineStr">
        <is>
          <t>SÖDERMANLANDS LÄN</t>
        </is>
      </c>
      <c r="E2297" t="inlineStr">
        <is>
          <t>GNESTA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8742-2021</t>
        </is>
      </c>
      <c r="B2298" s="1" t="n">
        <v>44246</v>
      </c>
      <c r="C2298" s="1" t="n">
        <v>45182</v>
      </c>
      <c r="D2298" t="inlineStr">
        <is>
          <t>SÖDERMANLANDS LÄN</t>
        </is>
      </c>
      <c r="E2298" t="inlineStr">
        <is>
          <t>NYKÖPING</t>
        </is>
      </c>
      <c r="G2298" t="n">
        <v>1.5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8992-2021</t>
        </is>
      </c>
      <c r="B2299" s="1" t="n">
        <v>44246</v>
      </c>
      <c r="C2299" s="1" t="n">
        <v>45182</v>
      </c>
      <c r="D2299" t="inlineStr">
        <is>
          <t>SÖDERMANLANDS LÄN</t>
        </is>
      </c>
      <c r="E2299" t="inlineStr">
        <is>
          <t>GNESTA</t>
        </is>
      </c>
      <c r="G2299" t="n">
        <v>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8710-2021</t>
        </is>
      </c>
      <c r="B2300" s="1" t="n">
        <v>44246</v>
      </c>
      <c r="C2300" s="1" t="n">
        <v>45182</v>
      </c>
      <c r="D2300" t="inlineStr">
        <is>
          <t>SÖDERMANLANDS LÄN</t>
        </is>
      </c>
      <c r="E2300" t="inlineStr">
        <is>
          <t>FLEN</t>
        </is>
      </c>
      <c r="F2300" t="inlineStr">
        <is>
          <t>Holmen skog AB</t>
        </is>
      </c>
      <c r="G2300" t="n">
        <v>0.5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8749-2021</t>
        </is>
      </c>
      <c r="B2301" s="1" t="n">
        <v>44246</v>
      </c>
      <c r="C2301" s="1" t="n">
        <v>45182</v>
      </c>
      <c r="D2301" t="inlineStr">
        <is>
          <t>SÖDERMANLANDS LÄN</t>
        </is>
      </c>
      <c r="E2301" t="inlineStr">
        <is>
          <t>FLEN</t>
        </is>
      </c>
      <c r="G2301" t="n">
        <v>2.2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8762-2021</t>
        </is>
      </c>
      <c r="B2302" s="1" t="n">
        <v>44246</v>
      </c>
      <c r="C2302" s="1" t="n">
        <v>45182</v>
      </c>
      <c r="D2302" t="inlineStr">
        <is>
          <t>SÖDERMANLANDS LÄN</t>
        </is>
      </c>
      <c r="E2302" t="inlineStr">
        <is>
          <t>FLEN</t>
        </is>
      </c>
      <c r="G2302" t="n">
        <v>2.9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8888-2021</t>
        </is>
      </c>
      <c r="B2303" s="1" t="n">
        <v>44248</v>
      </c>
      <c r="C2303" s="1" t="n">
        <v>45182</v>
      </c>
      <c r="D2303" t="inlineStr">
        <is>
          <t>SÖDERMANLANDS LÄN</t>
        </is>
      </c>
      <c r="E2303" t="inlineStr">
        <is>
          <t>FLEN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9039-2021</t>
        </is>
      </c>
      <c r="B2304" s="1" t="n">
        <v>44249</v>
      </c>
      <c r="C2304" s="1" t="n">
        <v>45182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9101-2021</t>
        </is>
      </c>
      <c r="B2305" s="1" t="n">
        <v>44249</v>
      </c>
      <c r="C2305" s="1" t="n">
        <v>45182</v>
      </c>
      <c r="D2305" t="inlineStr">
        <is>
          <t>SÖDERMANLANDS LÄN</t>
        </is>
      </c>
      <c r="E2305" t="inlineStr">
        <is>
          <t>NYKÖPING</t>
        </is>
      </c>
      <c r="F2305" t="inlineStr">
        <is>
          <t>Holmen skog AB</t>
        </is>
      </c>
      <c r="G2305" t="n">
        <v>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9027-2021</t>
        </is>
      </c>
      <c r="B2306" s="1" t="n">
        <v>44249</v>
      </c>
      <c r="C2306" s="1" t="n">
        <v>45182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8970-2021</t>
        </is>
      </c>
      <c r="B2307" s="1" t="n">
        <v>44249</v>
      </c>
      <c r="C2307" s="1" t="n">
        <v>45182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9009-2021</t>
        </is>
      </c>
      <c r="B2308" s="1" t="n">
        <v>44249</v>
      </c>
      <c r="C2308" s="1" t="n">
        <v>45182</v>
      </c>
      <c r="D2308" t="inlineStr">
        <is>
          <t>SÖDERMANLANDS LÄN</t>
        </is>
      </c>
      <c r="E2308" t="inlineStr">
        <is>
          <t>TROSA</t>
        </is>
      </c>
      <c r="F2308" t="inlineStr">
        <is>
          <t>Holmen skog AB</t>
        </is>
      </c>
      <c r="G2308" t="n">
        <v>0.2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9388-2021</t>
        </is>
      </c>
      <c r="B2309" s="1" t="n">
        <v>44250</v>
      </c>
      <c r="C2309" s="1" t="n">
        <v>45182</v>
      </c>
      <c r="D2309" t="inlineStr">
        <is>
          <t>SÖDERMANLANDS LÄN</t>
        </is>
      </c>
      <c r="E2309" t="inlineStr">
        <is>
          <t>KATRINEHOLM</t>
        </is>
      </c>
      <c r="G2309" t="n">
        <v>5.4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9373-2021</t>
        </is>
      </c>
      <c r="B2310" s="1" t="n">
        <v>44250</v>
      </c>
      <c r="C2310" s="1" t="n">
        <v>45182</v>
      </c>
      <c r="D2310" t="inlineStr">
        <is>
          <t>SÖDERMANLANDS LÄN</t>
        </is>
      </c>
      <c r="E2310" t="inlineStr">
        <is>
          <t>FLEN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9237-2021</t>
        </is>
      </c>
      <c r="B2311" s="1" t="n">
        <v>44250</v>
      </c>
      <c r="C2311" s="1" t="n">
        <v>45182</v>
      </c>
      <c r="D2311" t="inlineStr">
        <is>
          <t>SÖDERMANLANDS LÄN</t>
        </is>
      </c>
      <c r="E2311" t="inlineStr">
        <is>
          <t>FLEN</t>
        </is>
      </c>
      <c r="F2311" t="inlineStr">
        <is>
          <t>Holmen skog AB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9374-2021</t>
        </is>
      </c>
      <c r="B2312" s="1" t="n">
        <v>44250</v>
      </c>
      <c r="C2312" s="1" t="n">
        <v>45182</v>
      </c>
      <c r="D2312" t="inlineStr">
        <is>
          <t>SÖDERMANLANDS LÄN</t>
        </is>
      </c>
      <c r="E2312" t="inlineStr">
        <is>
          <t>ESKILSTUNA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9320-2021</t>
        </is>
      </c>
      <c r="B2313" s="1" t="n">
        <v>44250</v>
      </c>
      <c r="C2313" s="1" t="n">
        <v>45182</v>
      </c>
      <c r="D2313" t="inlineStr">
        <is>
          <t>SÖDERMANLANDS LÄN</t>
        </is>
      </c>
      <c r="E2313" t="inlineStr">
        <is>
          <t>NYKÖPING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9589-2021</t>
        </is>
      </c>
      <c r="B2314" s="1" t="n">
        <v>44251</v>
      </c>
      <c r="C2314" s="1" t="n">
        <v>45182</v>
      </c>
      <c r="D2314" t="inlineStr">
        <is>
          <t>SÖDERMANLANDS LÄN</t>
        </is>
      </c>
      <c r="E2314" t="inlineStr">
        <is>
          <t>NYKÖPING</t>
        </is>
      </c>
      <c r="G2314" t="n">
        <v>9.6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9606-2021</t>
        </is>
      </c>
      <c r="B2315" s="1" t="n">
        <v>44251</v>
      </c>
      <c r="C2315" s="1" t="n">
        <v>45182</v>
      </c>
      <c r="D2315" t="inlineStr">
        <is>
          <t>SÖDERMANLANDS LÄN</t>
        </is>
      </c>
      <c r="E2315" t="inlineStr">
        <is>
          <t>ESKILSTUNA</t>
        </is>
      </c>
      <c r="G2315" t="n">
        <v>4.8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9478-2021</t>
        </is>
      </c>
      <c r="B2316" s="1" t="n">
        <v>44251</v>
      </c>
      <c r="C2316" s="1" t="n">
        <v>45182</v>
      </c>
      <c r="D2316" t="inlineStr">
        <is>
          <t>SÖDERMANLANDS LÄN</t>
        </is>
      </c>
      <c r="E2316" t="inlineStr">
        <is>
          <t>NYKÖPING</t>
        </is>
      </c>
      <c r="G2316" t="n">
        <v>3.7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9595-2021</t>
        </is>
      </c>
      <c r="B2317" s="1" t="n">
        <v>44251</v>
      </c>
      <c r="C2317" s="1" t="n">
        <v>45182</v>
      </c>
      <c r="D2317" t="inlineStr">
        <is>
          <t>SÖDERMANLANDS LÄN</t>
        </is>
      </c>
      <c r="E2317" t="inlineStr">
        <is>
          <t>ESKILSTUNA</t>
        </is>
      </c>
      <c r="G2317" t="n">
        <v>2.8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9576-2021</t>
        </is>
      </c>
      <c r="B2318" s="1" t="n">
        <v>44251</v>
      </c>
      <c r="C2318" s="1" t="n">
        <v>45182</v>
      </c>
      <c r="D2318" t="inlineStr">
        <is>
          <t>SÖDERMANLANDS LÄN</t>
        </is>
      </c>
      <c r="E2318" t="inlineStr">
        <is>
          <t>KATRINEHOLM</t>
        </is>
      </c>
      <c r="G2318" t="n">
        <v>1.5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9575-2021</t>
        </is>
      </c>
      <c r="B2319" s="1" t="n">
        <v>44251</v>
      </c>
      <c r="C2319" s="1" t="n">
        <v>45182</v>
      </c>
      <c r="D2319" t="inlineStr">
        <is>
          <t>SÖDERMANLANDS LÄN</t>
        </is>
      </c>
      <c r="E2319" t="inlineStr">
        <is>
          <t>GNESTA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9634-2021</t>
        </is>
      </c>
      <c r="B2320" s="1" t="n">
        <v>44252</v>
      </c>
      <c r="C2320" s="1" t="n">
        <v>45182</v>
      </c>
      <c r="D2320" t="inlineStr">
        <is>
          <t>SÖDERMANLANDS LÄN</t>
        </is>
      </c>
      <c r="E2320" t="inlineStr">
        <is>
          <t>FLEN</t>
        </is>
      </c>
      <c r="G2320" t="n">
        <v>3.5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9674-2021</t>
        </is>
      </c>
      <c r="B2321" s="1" t="n">
        <v>44252</v>
      </c>
      <c r="C2321" s="1" t="n">
        <v>45182</v>
      </c>
      <c r="D2321" t="inlineStr">
        <is>
          <t>SÖDERMANLANDS LÄN</t>
        </is>
      </c>
      <c r="E2321" t="inlineStr">
        <is>
          <t>FLEN</t>
        </is>
      </c>
      <c r="F2321" t="inlineStr">
        <is>
          <t>Holmen skog AB</t>
        </is>
      </c>
      <c r="G2321" t="n">
        <v>0.5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10141-2021</t>
        </is>
      </c>
      <c r="B2322" s="1" t="n">
        <v>44256</v>
      </c>
      <c r="C2322" s="1" t="n">
        <v>45182</v>
      </c>
      <c r="D2322" t="inlineStr">
        <is>
          <t>SÖDERMANLANDS LÄN</t>
        </is>
      </c>
      <c r="E2322" t="inlineStr">
        <is>
          <t>NYKÖPING</t>
        </is>
      </c>
      <c r="G2322" t="n">
        <v>2.2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10093-2021</t>
        </is>
      </c>
      <c r="B2323" s="1" t="n">
        <v>44256</v>
      </c>
      <c r="C2323" s="1" t="n">
        <v>45182</v>
      </c>
      <c r="D2323" t="inlineStr">
        <is>
          <t>SÖDERMANLANDS LÄN</t>
        </is>
      </c>
      <c r="E2323" t="inlineStr">
        <is>
          <t>KATRINEHOLM</t>
        </is>
      </c>
      <c r="G2323" t="n">
        <v>3.5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10149-2021</t>
        </is>
      </c>
      <c r="B2324" s="1" t="n">
        <v>44256</v>
      </c>
      <c r="C2324" s="1" t="n">
        <v>45182</v>
      </c>
      <c r="D2324" t="inlineStr">
        <is>
          <t>SÖDERMANLANDS LÄN</t>
        </is>
      </c>
      <c r="E2324" t="inlineStr">
        <is>
          <t>NYKÖPING</t>
        </is>
      </c>
      <c r="G2324" t="n">
        <v>0.8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10195-2021</t>
        </is>
      </c>
      <c r="B2325" s="1" t="n">
        <v>44256</v>
      </c>
      <c r="C2325" s="1" t="n">
        <v>45182</v>
      </c>
      <c r="D2325" t="inlineStr">
        <is>
          <t>SÖDERMANLANDS LÄN</t>
        </is>
      </c>
      <c r="E2325" t="inlineStr">
        <is>
          <t>STRÄNGNÄS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10152-2021</t>
        </is>
      </c>
      <c r="B2326" s="1" t="n">
        <v>44256</v>
      </c>
      <c r="C2326" s="1" t="n">
        <v>45182</v>
      </c>
      <c r="D2326" t="inlineStr">
        <is>
          <t>SÖDERMANLANDS LÄN</t>
        </is>
      </c>
      <c r="E2326" t="inlineStr">
        <is>
          <t>NYKÖPING</t>
        </is>
      </c>
      <c r="G2326" t="n">
        <v>1.9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10161-2021</t>
        </is>
      </c>
      <c r="B2327" s="1" t="n">
        <v>44256</v>
      </c>
      <c r="C2327" s="1" t="n">
        <v>45182</v>
      </c>
      <c r="D2327" t="inlineStr">
        <is>
          <t>SÖDERMANLANDS LÄN</t>
        </is>
      </c>
      <c r="E2327" t="inlineStr">
        <is>
          <t>NYKÖPING</t>
        </is>
      </c>
      <c r="G2327" t="n">
        <v>5.4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10204-2021</t>
        </is>
      </c>
      <c r="B2328" s="1" t="n">
        <v>44256</v>
      </c>
      <c r="C2328" s="1" t="n">
        <v>45182</v>
      </c>
      <c r="D2328" t="inlineStr">
        <is>
          <t>SÖDERMANLANDS LÄN</t>
        </is>
      </c>
      <c r="E2328" t="inlineStr">
        <is>
          <t>STRÄNGNÄS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10607-2021</t>
        </is>
      </c>
      <c r="B2329" s="1" t="n">
        <v>44258</v>
      </c>
      <c r="C2329" s="1" t="n">
        <v>45182</v>
      </c>
      <c r="D2329" t="inlineStr">
        <is>
          <t>SÖDERMANLANDS LÄN</t>
        </is>
      </c>
      <c r="E2329" t="inlineStr">
        <is>
          <t>FLEN</t>
        </is>
      </c>
      <c r="G2329" t="n">
        <v>1.8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10748-2021</t>
        </is>
      </c>
      <c r="B2330" s="1" t="n">
        <v>44258</v>
      </c>
      <c r="C2330" s="1" t="n">
        <v>45182</v>
      </c>
      <c r="D2330" t="inlineStr">
        <is>
          <t>SÖDERMANLANDS LÄN</t>
        </is>
      </c>
      <c r="E2330" t="inlineStr">
        <is>
          <t>ESKILSTUNA</t>
        </is>
      </c>
      <c r="G2330" t="n">
        <v>8.5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10835-2021</t>
        </is>
      </c>
      <c r="B2331" s="1" t="n">
        <v>44258</v>
      </c>
      <c r="C2331" s="1" t="n">
        <v>45182</v>
      </c>
      <c r="D2331" t="inlineStr">
        <is>
          <t>SÖDERMANLANDS LÄN</t>
        </is>
      </c>
      <c r="E2331" t="inlineStr">
        <is>
          <t>ESKILSTUNA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10550-2021</t>
        </is>
      </c>
      <c r="B2332" s="1" t="n">
        <v>44258</v>
      </c>
      <c r="C2332" s="1" t="n">
        <v>45182</v>
      </c>
      <c r="D2332" t="inlineStr">
        <is>
          <t>SÖDERMANLANDS LÄN</t>
        </is>
      </c>
      <c r="E2332" t="inlineStr">
        <is>
          <t>NYKÖPING</t>
        </is>
      </c>
      <c r="G2332" t="n">
        <v>5.7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10662-2021</t>
        </is>
      </c>
      <c r="B2333" s="1" t="n">
        <v>44258</v>
      </c>
      <c r="C2333" s="1" t="n">
        <v>45182</v>
      </c>
      <c r="D2333" t="inlineStr">
        <is>
          <t>SÖDERMANLANDS LÄN</t>
        </is>
      </c>
      <c r="E2333" t="inlineStr">
        <is>
          <t>KATRINEHOLM</t>
        </is>
      </c>
      <c r="F2333" t="inlineStr">
        <is>
          <t>Övriga Aktiebolag</t>
        </is>
      </c>
      <c r="G2333" t="n">
        <v>1.4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10848-2021</t>
        </is>
      </c>
      <c r="B2334" s="1" t="n">
        <v>44259</v>
      </c>
      <c r="C2334" s="1" t="n">
        <v>45182</v>
      </c>
      <c r="D2334" t="inlineStr">
        <is>
          <t>SÖDERMANLANDS LÄN</t>
        </is>
      </c>
      <c r="E2334" t="inlineStr">
        <is>
          <t>NYKÖPING</t>
        </is>
      </c>
      <c r="G2334" t="n">
        <v>0.6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10800-2021</t>
        </is>
      </c>
      <c r="B2335" s="1" t="n">
        <v>44259</v>
      </c>
      <c r="C2335" s="1" t="n">
        <v>45182</v>
      </c>
      <c r="D2335" t="inlineStr">
        <is>
          <t>SÖDERMANLANDS LÄN</t>
        </is>
      </c>
      <c r="E2335" t="inlineStr">
        <is>
          <t>STRÄNGNÄS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10862-2021</t>
        </is>
      </c>
      <c r="B2336" s="1" t="n">
        <v>44259</v>
      </c>
      <c r="C2336" s="1" t="n">
        <v>45182</v>
      </c>
      <c r="D2336" t="inlineStr">
        <is>
          <t>SÖDERMANLANDS LÄN</t>
        </is>
      </c>
      <c r="E2336" t="inlineStr">
        <is>
          <t>NYKÖPING</t>
        </is>
      </c>
      <c r="G2336" t="n">
        <v>0.5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10980-2021</t>
        </is>
      </c>
      <c r="B2337" s="1" t="n">
        <v>44260</v>
      </c>
      <c r="C2337" s="1" t="n">
        <v>45182</v>
      </c>
      <c r="D2337" t="inlineStr">
        <is>
          <t>SÖDERMANLANDS LÄN</t>
        </is>
      </c>
      <c r="E2337" t="inlineStr">
        <is>
          <t>FLEN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11070-2021</t>
        </is>
      </c>
      <c r="B2338" s="1" t="n">
        <v>44260</v>
      </c>
      <c r="C2338" s="1" t="n">
        <v>45182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Allmännings- och besparingsskogar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11152-2021</t>
        </is>
      </c>
      <c r="B2339" s="1" t="n">
        <v>44261</v>
      </c>
      <c r="C2339" s="1" t="n">
        <v>45182</v>
      </c>
      <c r="D2339" t="inlineStr">
        <is>
          <t>SÖDERMANLANDS LÄN</t>
        </is>
      </c>
      <c r="E2339" t="inlineStr">
        <is>
          <t>GNESTA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11151-2021</t>
        </is>
      </c>
      <c r="B2340" s="1" t="n">
        <v>44261</v>
      </c>
      <c r="C2340" s="1" t="n">
        <v>45182</v>
      </c>
      <c r="D2340" t="inlineStr">
        <is>
          <t>SÖDERMANLANDS LÄN</t>
        </is>
      </c>
      <c r="E2340" t="inlineStr">
        <is>
          <t>NYKÖPING</t>
        </is>
      </c>
      <c r="G2340" t="n">
        <v>0.4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11169-2021</t>
        </is>
      </c>
      <c r="B2341" s="1" t="n">
        <v>44262</v>
      </c>
      <c r="C2341" s="1" t="n">
        <v>45182</v>
      </c>
      <c r="D2341" t="inlineStr">
        <is>
          <t>SÖDERMANLANDS LÄN</t>
        </is>
      </c>
      <c r="E2341" t="inlineStr">
        <is>
          <t>ESKILSTUNA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11252-2021</t>
        </is>
      </c>
      <c r="B2342" s="1" t="n">
        <v>44262</v>
      </c>
      <c r="C2342" s="1" t="n">
        <v>45182</v>
      </c>
      <c r="D2342" t="inlineStr">
        <is>
          <t>SÖDERMANLANDS LÄN</t>
        </is>
      </c>
      <c r="E2342" t="inlineStr">
        <is>
          <t>ESKILSTUNA</t>
        </is>
      </c>
      <c r="G2342" t="n">
        <v>1.2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11288-2021</t>
        </is>
      </c>
      <c r="B2343" s="1" t="n">
        <v>44263</v>
      </c>
      <c r="C2343" s="1" t="n">
        <v>45182</v>
      </c>
      <c r="D2343" t="inlineStr">
        <is>
          <t>SÖDERMANLANDS LÄN</t>
        </is>
      </c>
      <c r="E2343" t="inlineStr">
        <is>
          <t>FLEN</t>
        </is>
      </c>
      <c r="G2343" t="n">
        <v>19.1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11372-2021</t>
        </is>
      </c>
      <c r="B2344" s="1" t="n">
        <v>44263</v>
      </c>
      <c r="C2344" s="1" t="n">
        <v>45182</v>
      </c>
      <c r="D2344" t="inlineStr">
        <is>
          <t>SÖDERMANLANDS LÄN</t>
        </is>
      </c>
      <c r="E2344" t="inlineStr">
        <is>
          <t>VINGÅKER</t>
        </is>
      </c>
      <c r="G2344" t="n">
        <v>3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11302-2021</t>
        </is>
      </c>
      <c r="B2345" s="1" t="n">
        <v>44263</v>
      </c>
      <c r="C2345" s="1" t="n">
        <v>45182</v>
      </c>
      <c r="D2345" t="inlineStr">
        <is>
          <t>SÖDERMANLANDS LÄN</t>
        </is>
      </c>
      <c r="E2345" t="inlineStr">
        <is>
          <t>FLEN</t>
        </is>
      </c>
      <c r="G2345" t="n">
        <v>6.8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11380-2021</t>
        </is>
      </c>
      <c r="B2346" s="1" t="n">
        <v>44263</v>
      </c>
      <c r="C2346" s="1" t="n">
        <v>45182</v>
      </c>
      <c r="D2346" t="inlineStr">
        <is>
          <t>SÖDERMANLANDS LÄN</t>
        </is>
      </c>
      <c r="E2346" t="inlineStr">
        <is>
          <t>VINGÅKER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11374-2021</t>
        </is>
      </c>
      <c r="B2347" s="1" t="n">
        <v>44263</v>
      </c>
      <c r="C2347" s="1" t="n">
        <v>45182</v>
      </c>
      <c r="D2347" t="inlineStr">
        <is>
          <t>SÖDERMANLANDS LÄN</t>
        </is>
      </c>
      <c r="E2347" t="inlineStr">
        <is>
          <t>VINGÅKER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11371-2021</t>
        </is>
      </c>
      <c r="B2348" s="1" t="n">
        <v>44263</v>
      </c>
      <c r="C2348" s="1" t="n">
        <v>45182</v>
      </c>
      <c r="D2348" t="inlineStr">
        <is>
          <t>SÖDERMANLANDS LÄN</t>
        </is>
      </c>
      <c r="E2348" t="inlineStr">
        <is>
          <t>VINGÅKER</t>
        </is>
      </c>
      <c r="G2348" t="n">
        <v>3.6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14654-2021</t>
        </is>
      </c>
      <c r="B2349" s="1" t="n">
        <v>44264</v>
      </c>
      <c r="C2349" s="1" t="n">
        <v>45182</v>
      </c>
      <c r="D2349" t="inlineStr">
        <is>
          <t>SÖDERMANLANDS LÄN</t>
        </is>
      </c>
      <c r="E2349" t="inlineStr">
        <is>
          <t>NYKÖPING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11582-2021</t>
        </is>
      </c>
      <c r="B2350" s="1" t="n">
        <v>44264</v>
      </c>
      <c r="C2350" s="1" t="n">
        <v>45182</v>
      </c>
      <c r="D2350" t="inlineStr">
        <is>
          <t>SÖDERMANLANDS LÄN</t>
        </is>
      </c>
      <c r="E2350" t="inlineStr">
        <is>
          <t>NYKÖPING</t>
        </is>
      </c>
      <c r="G2350" t="n">
        <v>3.5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11676-2021</t>
        </is>
      </c>
      <c r="B2351" s="1" t="n">
        <v>44264</v>
      </c>
      <c r="C2351" s="1" t="n">
        <v>45182</v>
      </c>
      <c r="D2351" t="inlineStr">
        <is>
          <t>SÖDERMANLANDS LÄN</t>
        </is>
      </c>
      <c r="E2351" t="inlineStr">
        <is>
          <t>KATRINEHOLM</t>
        </is>
      </c>
      <c r="F2351" t="inlineStr">
        <is>
          <t>Allmännings- och besparingsskogar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14686-2021</t>
        </is>
      </c>
      <c r="B2352" s="1" t="n">
        <v>44264</v>
      </c>
      <c r="C2352" s="1" t="n">
        <v>45182</v>
      </c>
      <c r="D2352" t="inlineStr">
        <is>
          <t>SÖDERMANLANDS LÄN</t>
        </is>
      </c>
      <c r="E2352" t="inlineStr">
        <is>
          <t>NYKÖPING</t>
        </is>
      </c>
      <c r="G2352" t="n">
        <v>2.9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11703-2021</t>
        </is>
      </c>
      <c r="B2353" s="1" t="n">
        <v>44264</v>
      </c>
      <c r="C2353" s="1" t="n">
        <v>45182</v>
      </c>
      <c r="D2353" t="inlineStr">
        <is>
          <t>SÖDERMANLANDS LÄN</t>
        </is>
      </c>
      <c r="E2353" t="inlineStr">
        <is>
          <t>GNESTA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11731-2021</t>
        </is>
      </c>
      <c r="B2354" s="1" t="n">
        <v>44265</v>
      </c>
      <c r="C2354" s="1" t="n">
        <v>45182</v>
      </c>
      <c r="D2354" t="inlineStr">
        <is>
          <t>SÖDERMANLANDS LÄN</t>
        </is>
      </c>
      <c r="E2354" t="inlineStr">
        <is>
          <t>FLEN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11812-2021</t>
        </is>
      </c>
      <c r="B2355" s="1" t="n">
        <v>44265</v>
      </c>
      <c r="C2355" s="1" t="n">
        <v>45182</v>
      </c>
      <c r="D2355" t="inlineStr">
        <is>
          <t>SÖDERMANLANDS LÄN</t>
        </is>
      </c>
      <c r="E2355" t="inlineStr">
        <is>
          <t>KATRINEHOLM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11878-2021</t>
        </is>
      </c>
      <c r="B2356" s="1" t="n">
        <v>44265</v>
      </c>
      <c r="C2356" s="1" t="n">
        <v>45182</v>
      </c>
      <c r="D2356" t="inlineStr">
        <is>
          <t>SÖDERMANLANDS LÄN</t>
        </is>
      </c>
      <c r="E2356" t="inlineStr">
        <is>
          <t>GNESTA</t>
        </is>
      </c>
      <c r="F2356" t="inlineStr">
        <is>
          <t>Kyrkan</t>
        </is>
      </c>
      <c r="G2356" t="n">
        <v>3.2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11893-2021</t>
        </is>
      </c>
      <c r="B2357" s="1" t="n">
        <v>44265</v>
      </c>
      <c r="C2357" s="1" t="n">
        <v>45182</v>
      </c>
      <c r="D2357" t="inlineStr">
        <is>
          <t>SÖDERMANLANDS LÄN</t>
        </is>
      </c>
      <c r="E2357" t="inlineStr">
        <is>
          <t>KATRINEHOLM</t>
        </is>
      </c>
      <c r="G2357" t="n">
        <v>7.1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12024-2021</t>
        </is>
      </c>
      <c r="B2358" s="1" t="n">
        <v>44266</v>
      </c>
      <c r="C2358" s="1" t="n">
        <v>45182</v>
      </c>
      <c r="D2358" t="inlineStr">
        <is>
          <t>SÖDERMANLANDS LÄN</t>
        </is>
      </c>
      <c r="E2358" t="inlineStr">
        <is>
          <t>TROSA</t>
        </is>
      </c>
      <c r="F2358" t="inlineStr">
        <is>
          <t>Holmen skog AB</t>
        </is>
      </c>
      <c r="G2358" t="n">
        <v>1.4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12063-2021</t>
        </is>
      </c>
      <c r="B2359" s="1" t="n">
        <v>44266</v>
      </c>
      <c r="C2359" s="1" t="n">
        <v>45182</v>
      </c>
      <c r="D2359" t="inlineStr">
        <is>
          <t>SÖDERMANLANDS LÄN</t>
        </is>
      </c>
      <c r="E2359" t="inlineStr">
        <is>
          <t>KATRINEHOLM</t>
        </is>
      </c>
      <c r="G2359" t="n">
        <v>1.7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12238-2021</t>
        </is>
      </c>
      <c r="B2360" s="1" t="n">
        <v>44266</v>
      </c>
      <c r="C2360" s="1" t="n">
        <v>45182</v>
      </c>
      <c r="D2360" t="inlineStr">
        <is>
          <t>SÖDERMANLANDS LÄN</t>
        </is>
      </c>
      <c r="E2360" t="inlineStr">
        <is>
          <t>KATRINEHOLM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11985-2021</t>
        </is>
      </c>
      <c r="B2361" s="1" t="n">
        <v>44266</v>
      </c>
      <c r="C2361" s="1" t="n">
        <v>45182</v>
      </c>
      <c r="D2361" t="inlineStr">
        <is>
          <t>SÖDERMANLANDS LÄN</t>
        </is>
      </c>
      <c r="E2361" t="inlineStr">
        <is>
          <t>NYKÖPING</t>
        </is>
      </c>
      <c r="F2361" t="inlineStr">
        <is>
          <t>Holmen skog AB</t>
        </is>
      </c>
      <c r="G2361" t="n">
        <v>0.7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12068-2021</t>
        </is>
      </c>
      <c r="B2362" s="1" t="n">
        <v>44266</v>
      </c>
      <c r="C2362" s="1" t="n">
        <v>45182</v>
      </c>
      <c r="D2362" t="inlineStr">
        <is>
          <t>SÖDERMANLANDS LÄN</t>
        </is>
      </c>
      <c r="E2362" t="inlineStr">
        <is>
          <t>KATRINEHOLM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12239-2021</t>
        </is>
      </c>
      <c r="B2363" s="1" t="n">
        <v>44266</v>
      </c>
      <c r="C2363" s="1" t="n">
        <v>45182</v>
      </c>
      <c r="D2363" t="inlineStr">
        <is>
          <t>SÖDERMANLANDS LÄN</t>
        </is>
      </c>
      <c r="E2363" t="inlineStr">
        <is>
          <t>KATRINEHOLM</t>
        </is>
      </c>
      <c r="G2363" t="n">
        <v>0.3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12205-2021</t>
        </is>
      </c>
      <c r="B2364" s="1" t="n">
        <v>44266</v>
      </c>
      <c r="C2364" s="1" t="n">
        <v>45182</v>
      </c>
      <c r="D2364" t="inlineStr">
        <is>
          <t>SÖDERMANLANDS LÄN</t>
        </is>
      </c>
      <c r="E2364" t="inlineStr">
        <is>
          <t>NYKÖPING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12070-2021</t>
        </is>
      </c>
      <c r="B2365" s="1" t="n">
        <v>44266</v>
      </c>
      <c r="C2365" s="1" t="n">
        <v>45182</v>
      </c>
      <c r="D2365" t="inlineStr">
        <is>
          <t>SÖDERMANLANDS LÄN</t>
        </is>
      </c>
      <c r="E2365" t="inlineStr">
        <is>
          <t>KATRINEHOLM</t>
        </is>
      </c>
      <c r="G2365" t="n">
        <v>2.4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12332-2021</t>
        </is>
      </c>
      <c r="B2366" s="1" t="n">
        <v>44267</v>
      </c>
      <c r="C2366" s="1" t="n">
        <v>45182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12340-2021</t>
        </is>
      </c>
      <c r="B2367" s="1" t="n">
        <v>44267</v>
      </c>
      <c r="C2367" s="1" t="n">
        <v>45182</v>
      </c>
      <c r="D2367" t="inlineStr">
        <is>
          <t>SÖDERMANLANDS LÄN</t>
        </is>
      </c>
      <c r="E2367" t="inlineStr">
        <is>
          <t>NYKÖPING</t>
        </is>
      </c>
      <c r="F2367" t="inlineStr">
        <is>
          <t>Holmen skog AB</t>
        </is>
      </c>
      <c r="G2367" t="n">
        <v>0.4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12774-2021</t>
        </is>
      </c>
      <c r="B2368" s="1" t="n">
        <v>44270</v>
      </c>
      <c r="C2368" s="1" t="n">
        <v>45182</v>
      </c>
      <c r="D2368" t="inlineStr">
        <is>
          <t>SÖDERMANLANDS LÄN</t>
        </is>
      </c>
      <c r="E2368" t="inlineStr">
        <is>
          <t>FLEN</t>
        </is>
      </c>
      <c r="F2368" t="inlineStr">
        <is>
          <t>Kyrkan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12760-2021</t>
        </is>
      </c>
      <c r="B2369" s="1" t="n">
        <v>44270</v>
      </c>
      <c r="C2369" s="1" t="n">
        <v>45182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12766-2021</t>
        </is>
      </c>
      <c r="B2370" s="1" t="n">
        <v>44270</v>
      </c>
      <c r="C2370" s="1" t="n">
        <v>45182</v>
      </c>
      <c r="D2370" t="inlineStr">
        <is>
          <t>SÖDERMANLANDS LÄN</t>
        </is>
      </c>
      <c r="E2370" t="inlineStr">
        <is>
          <t>KATRINEHOLM</t>
        </is>
      </c>
      <c r="F2370" t="inlineStr">
        <is>
          <t>Kyrkan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12960-2021</t>
        </is>
      </c>
      <c r="B2371" s="1" t="n">
        <v>44271</v>
      </c>
      <c r="C2371" s="1" t="n">
        <v>45182</v>
      </c>
      <c r="D2371" t="inlineStr">
        <is>
          <t>SÖDERMANLANDS LÄN</t>
        </is>
      </c>
      <c r="E2371" t="inlineStr">
        <is>
          <t>NYKÖPING</t>
        </is>
      </c>
      <c r="G2371" t="n">
        <v>12.6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13120-2021</t>
        </is>
      </c>
      <c r="B2372" s="1" t="n">
        <v>44272</v>
      </c>
      <c r="C2372" s="1" t="n">
        <v>45182</v>
      </c>
      <c r="D2372" t="inlineStr">
        <is>
          <t>SÖDERMANLANDS LÄN</t>
        </is>
      </c>
      <c r="E2372" t="inlineStr">
        <is>
          <t>NYKÖPING</t>
        </is>
      </c>
      <c r="G2372" t="n">
        <v>10.3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13209-2021</t>
        </is>
      </c>
      <c r="B2373" s="1" t="n">
        <v>44272</v>
      </c>
      <c r="C2373" s="1" t="n">
        <v>45182</v>
      </c>
      <c r="D2373" t="inlineStr">
        <is>
          <t>SÖDERMANLANDS LÄN</t>
        </is>
      </c>
      <c r="E2373" t="inlineStr">
        <is>
          <t>STRÄNGNÄS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13279-2021</t>
        </is>
      </c>
      <c r="B2374" s="1" t="n">
        <v>44272</v>
      </c>
      <c r="C2374" s="1" t="n">
        <v>45182</v>
      </c>
      <c r="D2374" t="inlineStr">
        <is>
          <t>SÖDERMANLANDS LÄN</t>
        </is>
      </c>
      <c r="E2374" t="inlineStr">
        <is>
          <t>NYKÖPING</t>
        </is>
      </c>
      <c r="G2374" t="n">
        <v>5.4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13249-2021</t>
        </is>
      </c>
      <c r="B2375" s="1" t="n">
        <v>44272</v>
      </c>
      <c r="C2375" s="1" t="n">
        <v>45182</v>
      </c>
      <c r="D2375" t="inlineStr">
        <is>
          <t>SÖDERMANLANDS LÄN</t>
        </is>
      </c>
      <c r="E2375" t="inlineStr">
        <is>
          <t>STRÄNGNÄS</t>
        </is>
      </c>
      <c r="G2375" t="n">
        <v>1.6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13504-2021</t>
        </is>
      </c>
      <c r="B2376" s="1" t="n">
        <v>44273</v>
      </c>
      <c r="C2376" s="1" t="n">
        <v>45182</v>
      </c>
      <c r="D2376" t="inlineStr">
        <is>
          <t>SÖDERMANLANDS LÄN</t>
        </is>
      </c>
      <c r="E2376" t="inlineStr">
        <is>
          <t>STRÄNGNÄS</t>
        </is>
      </c>
      <c r="G2376" t="n">
        <v>3.7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13573-2021</t>
        </is>
      </c>
      <c r="B2377" s="1" t="n">
        <v>44273</v>
      </c>
      <c r="C2377" s="1" t="n">
        <v>45182</v>
      </c>
      <c r="D2377" t="inlineStr">
        <is>
          <t>SÖDERMANLANDS LÄN</t>
        </is>
      </c>
      <c r="E2377" t="inlineStr">
        <is>
          <t>NYKÖPING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13759-2021</t>
        </is>
      </c>
      <c r="B2378" s="1" t="n">
        <v>44274</v>
      </c>
      <c r="C2378" s="1" t="n">
        <v>45182</v>
      </c>
      <c r="D2378" t="inlineStr">
        <is>
          <t>SÖDERMANLANDS LÄN</t>
        </is>
      </c>
      <c r="E2378" t="inlineStr">
        <is>
          <t>NYKÖPING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13706-2021</t>
        </is>
      </c>
      <c r="B2379" s="1" t="n">
        <v>44274</v>
      </c>
      <c r="C2379" s="1" t="n">
        <v>45182</v>
      </c>
      <c r="D2379" t="inlineStr">
        <is>
          <t>SÖDERMANLANDS LÄN</t>
        </is>
      </c>
      <c r="E2379" t="inlineStr">
        <is>
          <t>STRÄNGNÄS</t>
        </is>
      </c>
      <c r="G2379" t="n">
        <v>0.4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14111-2021</t>
        </is>
      </c>
      <c r="B2380" s="1" t="n">
        <v>44277</v>
      </c>
      <c r="C2380" s="1" t="n">
        <v>45182</v>
      </c>
      <c r="D2380" t="inlineStr">
        <is>
          <t>SÖDERMANLANDS LÄN</t>
        </is>
      </c>
      <c r="E2380" t="inlineStr">
        <is>
          <t>STRÄNGNÄS</t>
        </is>
      </c>
      <c r="G2380" t="n">
        <v>4.2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14128-2021</t>
        </is>
      </c>
      <c r="B2381" s="1" t="n">
        <v>44277</v>
      </c>
      <c r="C2381" s="1" t="n">
        <v>45182</v>
      </c>
      <c r="D2381" t="inlineStr">
        <is>
          <t>SÖDERMANLANDS LÄN</t>
        </is>
      </c>
      <c r="E2381" t="inlineStr">
        <is>
          <t>VINGÅKER</t>
        </is>
      </c>
      <c r="G2381" t="n">
        <v>2.6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14106-2021</t>
        </is>
      </c>
      <c r="B2382" s="1" t="n">
        <v>44277</v>
      </c>
      <c r="C2382" s="1" t="n">
        <v>45182</v>
      </c>
      <c r="D2382" t="inlineStr">
        <is>
          <t>SÖDERMANLANDS LÄN</t>
        </is>
      </c>
      <c r="E2382" t="inlineStr">
        <is>
          <t>STRÄNGNÄS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14176-2021</t>
        </is>
      </c>
      <c r="B2383" s="1" t="n">
        <v>44278</v>
      </c>
      <c r="C2383" s="1" t="n">
        <v>45182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14175-2021</t>
        </is>
      </c>
      <c r="B2384" s="1" t="n">
        <v>44278</v>
      </c>
      <c r="C2384" s="1" t="n">
        <v>45182</v>
      </c>
      <c r="D2384" t="inlineStr">
        <is>
          <t>SÖDERMANLANDS LÄN</t>
        </is>
      </c>
      <c r="E2384" t="inlineStr">
        <is>
          <t>NYKÖPING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14440-2021</t>
        </is>
      </c>
      <c r="B2385" s="1" t="n">
        <v>44279</v>
      </c>
      <c r="C2385" s="1" t="n">
        <v>45182</v>
      </c>
      <c r="D2385" t="inlineStr">
        <is>
          <t>SÖDERMANLANDS LÄN</t>
        </is>
      </c>
      <c r="E2385" t="inlineStr">
        <is>
          <t>STRÄNGNÄS</t>
        </is>
      </c>
      <c r="G2385" t="n">
        <v>6.9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14437-2021</t>
        </is>
      </c>
      <c r="B2386" s="1" t="n">
        <v>44279</v>
      </c>
      <c r="C2386" s="1" t="n">
        <v>45182</v>
      </c>
      <c r="D2386" t="inlineStr">
        <is>
          <t>SÖDERMANLANDS LÄN</t>
        </is>
      </c>
      <c r="E2386" t="inlineStr">
        <is>
          <t>STRÄNGNÄS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14614-2021</t>
        </is>
      </c>
      <c r="B2387" s="1" t="n">
        <v>44280</v>
      </c>
      <c r="C2387" s="1" t="n">
        <v>45182</v>
      </c>
      <c r="D2387" t="inlineStr">
        <is>
          <t>SÖDERMANLANDS LÄN</t>
        </is>
      </c>
      <c r="E2387" t="inlineStr">
        <is>
          <t>GNESTA</t>
        </is>
      </c>
      <c r="G2387" t="n">
        <v>3.9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14616-2021</t>
        </is>
      </c>
      <c r="B2388" s="1" t="n">
        <v>44280</v>
      </c>
      <c r="C2388" s="1" t="n">
        <v>45182</v>
      </c>
      <c r="D2388" t="inlineStr">
        <is>
          <t>SÖDERMANLANDS LÄN</t>
        </is>
      </c>
      <c r="E2388" t="inlineStr">
        <is>
          <t>GNESTA</t>
        </is>
      </c>
      <c r="G2388" t="n">
        <v>1.5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14641-2021</t>
        </is>
      </c>
      <c r="B2389" s="1" t="n">
        <v>44280</v>
      </c>
      <c r="C2389" s="1" t="n">
        <v>45182</v>
      </c>
      <c r="D2389" t="inlineStr">
        <is>
          <t>SÖDERMANLANDS LÄN</t>
        </is>
      </c>
      <c r="E2389" t="inlineStr">
        <is>
          <t>ESKILSTUNA</t>
        </is>
      </c>
      <c r="G2389" t="n">
        <v>13.1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14973-2021</t>
        </is>
      </c>
      <c r="B2390" s="1" t="n">
        <v>44281</v>
      </c>
      <c r="C2390" s="1" t="n">
        <v>45182</v>
      </c>
      <c r="D2390" t="inlineStr">
        <is>
          <t>SÖDERMANLANDS LÄN</t>
        </is>
      </c>
      <c r="E2390" t="inlineStr">
        <is>
          <t>FLEN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15062-2021</t>
        </is>
      </c>
      <c r="B2391" s="1" t="n">
        <v>44281</v>
      </c>
      <c r="C2391" s="1" t="n">
        <v>45182</v>
      </c>
      <c r="D2391" t="inlineStr">
        <is>
          <t>SÖDERMANLANDS LÄN</t>
        </is>
      </c>
      <c r="E2391" t="inlineStr">
        <is>
          <t>FLEN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15223-2021</t>
        </is>
      </c>
      <c r="B2392" s="1" t="n">
        <v>44281</v>
      </c>
      <c r="C2392" s="1" t="n">
        <v>45182</v>
      </c>
      <c r="D2392" t="inlineStr">
        <is>
          <t>SÖDERMANLANDS LÄN</t>
        </is>
      </c>
      <c r="E2392" t="inlineStr">
        <is>
          <t>VINGÅKER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14998-2021</t>
        </is>
      </c>
      <c r="B2393" s="1" t="n">
        <v>44281</v>
      </c>
      <c r="C2393" s="1" t="n">
        <v>45182</v>
      </c>
      <c r="D2393" t="inlineStr">
        <is>
          <t>SÖDERMANLANDS LÄN</t>
        </is>
      </c>
      <c r="E2393" t="inlineStr">
        <is>
          <t>VINGÅKER</t>
        </is>
      </c>
      <c r="G2393" t="n">
        <v>1.8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15067-2021</t>
        </is>
      </c>
      <c r="B2394" s="1" t="n">
        <v>44281</v>
      </c>
      <c r="C2394" s="1" t="n">
        <v>45182</v>
      </c>
      <c r="D2394" t="inlineStr">
        <is>
          <t>SÖDERMANLANDS LÄN</t>
        </is>
      </c>
      <c r="E2394" t="inlineStr">
        <is>
          <t>VINGÅKER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15394-2021</t>
        </is>
      </c>
      <c r="B2395" s="1" t="n">
        <v>44284</v>
      </c>
      <c r="C2395" s="1" t="n">
        <v>45182</v>
      </c>
      <c r="D2395" t="inlineStr">
        <is>
          <t>SÖDERMANLANDS LÄN</t>
        </is>
      </c>
      <c r="E2395" t="inlineStr">
        <is>
          <t>STRÄNGNÄS</t>
        </is>
      </c>
      <c r="G2395" t="n">
        <v>3.6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15397-2021</t>
        </is>
      </c>
      <c r="B2396" s="1" t="n">
        <v>44284</v>
      </c>
      <c r="C2396" s="1" t="n">
        <v>45182</v>
      </c>
      <c r="D2396" t="inlineStr">
        <is>
          <t>SÖDERMANLANDS LÄN</t>
        </is>
      </c>
      <c r="E2396" t="inlineStr">
        <is>
          <t>ESKILSTUNA</t>
        </is>
      </c>
      <c r="G2396" t="n">
        <v>3.3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15520-2021</t>
        </is>
      </c>
      <c r="B2397" s="1" t="n">
        <v>44285</v>
      </c>
      <c r="C2397" s="1" t="n">
        <v>45182</v>
      </c>
      <c r="D2397" t="inlineStr">
        <is>
          <t>SÖDERMANLANDS LÄN</t>
        </is>
      </c>
      <c r="E2397" t="inlineStr">
        <is>
          <t>NYKÖPING</t>
        </is>
      </c>
      <c r="G2397" t="n">
        <v>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15603-2021</t>
        </is>
      </c>
      <c r="B2398" s="1" t="n">
        <v>44285</v>
      </c>
      <c r="C2398" s="1" t="n">
        <v>45182</v>
      </c>
      <c r="D2398" t="inlineStr">
        <is>
          <t>SÖDERMANLANDS LÄN</t>
        </is>
      </c>
      <c r="E2398" t="inlineStr">
        <is>
          <t>GNESTA</t>
        </is>
      </c>
      <c r="G2398" t="n">
        <v>8.6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15423-2021</t>
        </is>
      </c>
      <c r="B2399" s="1" t="n">
        <v>44285</v>
      </c>
      <c r="C2399" s="1" t="n">
        <v>45182</v>
      </c>
      <c r="D2399" t="inlineStr">
        <is>
          <t>SÖDERMANLANDS LÄN</t>
        </is>
      </c>
      <c r="E2399" t="inlineStr">
        <is>
          <t>ESKILSTUNA</t>
        </is>
      </c>
      <c r="G2399" t="n">
        <v>12.3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15465-2021</t>
        </is>
      </c>
      <c r="B2400" s="1" t="n">
        <v>44285</v>
      </c>
      <c r="C2400" s="1" t="n">
        <v>45182</v>
      </c>
      <c r="D2400" t="inlineStr">
        <is>
          <t>SÖDERMANLANDS LÄN</t>
        </is>
      </c>
      <c r="E2400" t="inlineStr">
        <is>
          <t>FLEN</t>
        </is>
      </c>
      <c r="G2400" t="n">
        <v>11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15531-2021</t>
        </is>
      </c>
      <c r="B2401" s="1" t="n">
        <v>44285</v>
      </c>
      <c r="C2401" s="1" t="n">
        <v>45182</v>
      </c>
      <c r="D2401" t="inlineStr">
        <is>
          <t>SÖDERMANLANDS LÄN</t>
        </is>
      </c>
      <c r="E2401" t="inlineStr">
        <is>
          <t>GNESTA</t>
        </is>
      </c>
      <c r="G2401" t="n">
        <v>6.9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15604-2021</t>
        </is>
      </c>
      <c r="B2402" s="1" t="n">
        <v>44285</v>
      </c>
      <c r="C2402" s="1" t="n">
        <v>45182</v>
      </c>
      <c r="D2402" t="inlineStr">
        <is>
          <t>SÖDERMANLANDS LÄN</t>
        </is>
      </c>
      <c r="E2402" t="inlineStr">
        <is>
          <t>TROSA</t>
        </is>
      </c>
      <c r="G2402" t="n">
        <v>5.8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15602-2021</t>
        </is>
      </c>
      <c r="B2403" s="1" t="n">
        <v>44285</v>
      </c>
      <c r="C2403" s="1" t="n">
        <v>45182</v>
      </c>
      <c r="D2403" t="inlineStr">
        <is>
          <t>SÖDERMANLANDS LÄN</t>
        </is>
      </c>
      <c r="E2403" t="inlineStr">
        <is>
          <t>TROSA</t>
        </is>
      </c>
      <c r="G2403" t="n">
        <v>4.1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15532-2021</t>
        </is>
      </c>
      <c r="B2404" s="1" t="n">
        <v>44285</v>
      </c>
      <c r="C2404" s="1" t="n">
        <v>45182</v>
      </c>
      <c r="D2404" t="inlineStr">
        <is>
          <t>SÖDERMANLANDS LÄN</t>
        </is>
      </c>
      <c r="E2404" t="inlineStr">
        <is>
          <t>NYKÖPING</t>
        </is>
      </c>
      <c r="G2404" t="n">
        <v>4.9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16221-2021</t>
        </is>
      </c>
      <c r="B2405" s="1" t="n">
        <v>44287</v>
      </c>
      <c r="C2405" s="1" t="n">
        <v>45182</v>
      </c>
      <c r="D2405" t="inlineStr">
        <is>
          <t>SÖDERMANLANDS LÄN</t>
        </is>
      </c>
      <c r="E2405" t="inlineStr">
        <is>
          <t>GNESTA</t>
        </is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16199-2021</t>
        </is>
      </c>
      <c r="B2406" s="1" t="n">
        <v>44287</v>
      </c>
      <c r="C2406" s="1" t="n">
        <v>45182</v>
      </c>
      <c r="D2406" t="inlineStr">
        <is>
          <t>SÖDERMANLANDS LÄN</t>
        </is>
      </c>
      <c r="E2406" t="inlineStr">
        <is>
          <t>STRÄNGNÄS</t>
        </is>
      </c>
      <c r="G2406" t="n">
        <v>1.6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16257-2021</t>
        </is>
      </c>
      <c r="B2407" s="1" t="n">
        <v>44287</v>
      </c>
      <c r="C2407" s="1" t="n">
        <v>45182</v>
      </c>
      <c r="D2407" t="inlineStr">
        <is>
          <t>SÖDERMANLANDS LÄN</t>
        </is>
      </c>
      <c r="E2407" t="inlineStr">
        <is>
          <t>GNESTA</t>
        </is>
      </c>
      <c r="G2407" t="n">
        <v>2.2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16275-2021</t>
        </is>
      </c>
      <c r="B2408" s="1" t="n">
        <v>44292</v>
      </c>
      <c r="C2408" s="1" t="n">
        <v>45182</v>
      </c>
      <c r="D2408" t="inlineStr">
        <is>
          <t>SÖDERMANLANDS LÄN</t>
        </is>
      </c>
      <c r="E2408" t="inlineStr">
        <is>
          <t>FLEN</t>
        </is>
      </c>
      <c r="G2408" t="n">
        <v>5.9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16281-2021</t>
        </is>
      </c>
      <c r="B2409" s="1" t="n">
        <v>44292</v>
      </c>
      <c r="C2409" s="1" t="n">
        <v>45182</v>
      </c>
      <c r="D2409" t="inlineStr">
        <is>
          <t>SÖDERMANLANDS LÄN</t>
        </is>
      </c>
      <c r="E2409" t="inlineStr">
        <is>
          <t>FLEN</t>
        </is>
      </c>
      <c r="G2409" t="n">
        <v>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16287-2021</t>
        </is>
      </c>
      <c r="B2410" s="1" t="n">
        <v>44292</v>
      </c>
      <c r="C2410" s="1" t="n">
        <v>45182</v>
      </c>
      <c r="D2410" t="inlineStr">
        <is>
          <t>SÖDERMANLANDS LÄN</t>
        </is>
      </c>
      <c r="E2410" t="inlineStr">
        <is>
          <t>GNESTA</t>
        </is>
      </c>
      <c r="G2410" t="n">
        <v>3.7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16276-2021</t>
        </is>
      </c>
      <c r="B2411" s="1" t="n">
        <v>44292</v>
      </c>
      <c r="C2411" s="1" t="n">
        <v>45182</v>
      </c>
      <c r="D2411" t="inlineStr">
        <is>
          <t>SÖDERMANLANDS LÄN</t>
        </is>
      </c>
      <c r="E2411" t="inlineStr">
        <is>
          <t>FLEN</t>
        </is>
      </c>
      <c r="G2411" t="n">
        <v>7.5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16427-2021</t>
        </is>
      </c>
      <c r="B2412" s="1" t="n">
        <v>44293</v>
      </c>
      <c r="C2412" s="1" t="n">
        <v>45182</v>
      </c>
      <c r="D2412" t="inlineStr">
        <is>
          <t>SÖDERMANLANDS LÄN</t>
        </is>
      </c>
      <c r="E2412" t="inlineStr">
        <is>
          <t>STRÄNGNÄS</t>
        </is>
      </c>
      <c r="G2412" t="n">
        <v>6.7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16526-2021</t>
        </is>
      </c>
      <c r="B2413" s="1" t="n">
        <v>44293</v>
      </c>
      <c r="C2413" s="1" t="n">
        <v>45182</v>
      </c>
      <c r="D2413" t="inlineStr">
        <is>
          <t>SÖDERMANLANDS LÄN</t>
        </is>
      </c>
      <c r="E2413" t="inlineStr">
        <is>
          <t>NYKÖPING</t>
        </is>
      </c>
      <c r="F2413" t="inlineStr">
        <is>
          <t>Allmännings- och besparingsskogar</t>
        </is>
      </c>
      <c r="G2413" t="n">
        <v>2.7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16557-2021</t>
        </is>
      </c>
      <c r="B2414" s="1" t="n">
        <v>44293</v>
      </c>
      <c r="C2414" s="1" t="n">
        <v>45182</v>
      </c>
      <c r="D2414" t="inlineStr">
        <is>
          <t>SÖDERMANLANDS LÄN</t>
        </is>
      </c>
      <c r="E2414" t="inlineStr">
        <is>
          <t>TROSA</t>
        </is>
      </c>
      <c r="G2414" t="n">
        <v>2.9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16520-2021</t>
        </is>
      </c>
      <c r="B2415" s="1" t="n">
        <v>44293</v>
      </c>
      <c r="C2415" s="1" t="n">
        <v>45182</v>
      </c>
      <c r="D2415" t="inlineStr">
        <is>
          <t>SÖDERMANLANDS LÄN</t>
        </is>
      </c>
      <c r="E2415" t="inlineStr">
        <is>
          <t>FLEN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16456-2021</t>
        </is>
      </c>
      <c r="B2416" s="1" t="n">
        <v>44293</v>
      </c>
      <c r="C2416" s="1" t="n">
        <v>45182</v>
      </c>
      <c r="D2416" t="inlineStr">
        <is>
          <t>SÖDERMANLANDS LÄN</t>
        </is>
      </c>
      <c r="E2416" t="inlineStr">
        <is>
          <t>NYKÖPING</t>
        </is>
      </c>
      <c r="G2416" t="n">
        <v>0.8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16616-2021</t>
        </is>
      </c>
      <c r="B2417" s="1" t="n">
        <v>44294</v>
      </c>
      <c r="C2417" s="1" t="n">
        <v>45182</v>
      </c>
      <c r="D2417" t="inlineStr">
        <is>
          <t>SÖDERMANLANDS LÄN</t>
        </is>
      </c>
      <c r="E2417" t="inlineStr">
        <is>
          <t>NYKÖPING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16740-2021</t>
        </is>
      </c>
      <c r="B2418" s="1" t="n">
        <v>44294</v>
      </c>
      <c r="C2418" s="1" t="n">
        <v>45182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Kyrkan</t>
        </is>
      </c>
      <c r="G2418" t="n">
        <v>9.5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16767-2021</t>
        </is>
      </c>
      <c r="B2419" s="1" t="n">
        <v>44294</v>
      </c>
      <c r="C2419" s="1" t="n">
        <v>45182</v>
      </c>
      <c r="D2419" t="inlineStr">
        <is>
          <t>SÖDERMANLANDS LÄN</t>
        </is>
      </c>
      <c r="E2419" t="inlineStr">
        <is>
          <t>STRÄNGNÄS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17047-2021</t>
        </is>
      </c>
      <c r="B2420" s="1" t="n">
        <v>44295</v>
      </c>
      <c r="C2420" s="1" t="n">
        <v>45182</v>
      </c>
      <c r="D2420" t="inlineStr">
        <is>
          <t>SÖDERMANLANDS LÄN</t>
        </is>
      </c>
      <c r="E2420" t="inlineStr">
        <is>
          <t>VINGÅKER</t>
        </is>
      </c>
      <c r="G2420" t="n">
        <v>1.8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16917-2021</t>
        </is>
      </c>
      <c r="B2421" s="1" t="n">
        <v>44295</v>
      </c>
      <c r="C2421" s="1" t="n">
        <v>45182</v>
      </c>
      <c r="D2421" t="inlineStr">
        <is>
          <t>SÖDERMANLANDS LÄN</t>
        </is>
      </c>
      <c r="E2421" t="inlineStr">
        <is>
          <t>ESKILSTUNA</t>
        </is>
      </c>
      <c r="F2421" t="inlineStr">
        <is>
          <t>Allmännings- och besparingsskogar</t>
        </is>
      </c>
      <c r="G2421" t="n">
        <v>1.5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17203-2021</t>
        </is>
      </c>
      <c r="B2422" s="1" t="n">
        <v>44296</v>
      </c>
      <c r="C2422" s="1" t="n">
        <v>45182</v>
      </c>
      <c r="D2422" t="inlineStr">
        <is>
          <t>SÖDERMANLANDS LÄN</t>
        </is>
      </c>
      <c r="E2422" t="inlineStr">
        <is>
          <t>FLEN</t>
        </is>
      </c>
      <c r="G2422" t="n">
        <v>1.1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17210-2021</t>
        </is>
      </c>
      <c r="B2423" s="1" t="n">
        <v>44297</v>
      </c>
      <c r="C2423" s="1" t="n">
        <v>45182</v>
      </c>
      <c r="D2423" t="inlineStr">
        <is>
          <t>SÖDERMANLANDS LÄN</t>
        </is>
      </c>
      <c r="E2423" t="inlineStr">
        <is>
          <t>FLEN</t>
        </is>
      </c>
      <c r="G2423" t="n">
        <v>5.4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17222-2021</t>
        </is>
      </c>
      <c r="B2424" s="1" t="n">
        <v>44297</v>
      </c>
      <c r="C2424" s="1" t="n">
        <v>45182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17183-2021</t>
        </is>
      </c>
      <c r="B2425" s="1" t="n">
        <v>44297</v>
      </c>
      <c r="C2425" s="1" t="n">
        <v>45182</v>
      </c>
      <c r="D2425" t="inlineStr">
        <is>
          <t>SÖDERMANLANDS LÄN</t>
        </is>
      </c>
      <c r="E2425" t="inlineStr">
        <is>
          <t>FLEN</t>
        </is>
      </c>
      <c r="G2425" t="n">
        <v>10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17244-2021</t>
        </is>
      </c>
      <c r="B2426" s="1" t="n">
        <v>44298</v>
      </c>
      <c r="C2426" s="1" t="n">
        <v>45182</v>
      </c>
      <c r="D2426" t="inlineStr">
        <is>
          <t>SÖDERMANLANDS LÄN</t>
        </is>
      </c>
      <c r="E2426" t="inlineStr">
        <is>
          <t>ESKILSTUNA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17668-2021</t>
        </is>
      </c>
      <c r="B2427" s="1" t="n">
        <v>44299</v>
      </c>
      <c r="C2427" s="1" t="n">
        <v>45182</v>
      </c>
      <c r="D2427" t="inlineStr">
        <is>
          <t>SÖDERMANLANDS LÄN</t>
        </is>
      </c>
      <c r="E2427" t="inlineStr">
        <is>
          <t>KATRINEHOLM</t>
        </is>
      </c>
      <c r="G2427" t="n">
        <v>1.5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17711-2021</t>
        </is>
      </c>
      <c r="B2428" s="1" t="n">
        <v>44299</v>
      </c>
      <c r="C2428" s="1" t="n">
        <v>45182</v>
      </c>
      <c r="D2428" t="inlineStr">
        <is>
          <t>SÖDERMANLANDS LÄN</t>
        </is>
      </c>
      <c r="E2428" t="inlineStr">
        <is>
          <t>KATRINEHOLM</t>
        </is>
      </c>
      <c r="G2428" t="n">
        <v>3.9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17693-2021</t>
        </is>
      </c>
      <c r="B2429" s="1" t="n">
        <v>44299</v>
      </c>
      <c r="C2429" s="1" t="n">
        <v>45182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17444-2021</t>
        </is>
      </c>
      <c r="B2430" s="1" t="n">
        <v>44299</v>
      </c>
      <c r="C2430" s="1" t="n">
        <v>45182</v>
      </c>
      <c r="D2430" t="inlineStr">
        <is>
          <t>SÖDERMANLANDS LÄN</t>
        </is>
      </c>
      <c r="E2430" t="inlineStr">
        <is>
          <t>KATRINEHOLM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17710-2021</t>
        </is>
      </c>
      <c r="B2431" s="1" t="n">
        <v>44299</v>
      </c>
      <c r="C2431" s="1" t="n">
        <v>45182</v>
      </c>
      <c r="D2431" t="inlineStr">
        <is>
          <t>SÖDERMANLANDS LÄN</t>
        </is>
      </c>
      <c r="E2431" t="inlineStr">
        <is>
          <t>KATRINEHOLM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17800-2021</t>
        </is>
      </c>
      <c r="B2432" s="1" t="n">
        <v>44300</v>
      </c>
      <c r="C2432" s="1" t="n">
        <v>45182</v>
      </c>
      <c r="D2432" t="inlineStr">
        <is>
          <t>SÖDERMANLANDS LÄN</t>
        </is>
      </c>
      <c r="E2432" t="inlineStr">
        <is>
          <t>NYKÖPING</t>
        </is>
      </c>
      <c r="G2432" t="n">
        <v>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17985-2021</t>
        </is>
      </c>
      <c r="B2433" s="1" t="n">
        <v>44301</v>
      </c>
      <c r="C2433" s="1" t="n">
        <v>45182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7.8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17987-2021</t>
        </is>
      </c>
      <c r="B2434" s="1" t="n">
        <v>44301</v>
      </c>
      <c r="C2434" s="1" t="n">
        <v>45182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18180-2021</t>
        </is>
      </c>
      <c r="B2435" s="1" t="n">
        <v>44302</v>
      </c>
      <c r="C2435" s="1" t="n">
        <v>45182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18185-2021</t>
        </is>
      </c>
      <c r="B2436" s="1" t="n">
        <v>44302</v>
      </c>
      <c r="C2436" s="1" t="n">
        <v>45182</v>
      </c>
      <c r="D2436" t="inlineStr">
        <is>
          <t>SÖDERMANLANDS LÄN</t>
        </is>
      </c>
      <c r="E2436" t="inlineStr">
        <is>
          <t>FLEN</t>
        </is>
      </c>
      <c r="F2436" t="inlineStr">
        <is>
          <t>Kyrkan</t>
        </is>
      </c>
      <c r="G2436" t="n">
        <v>1.8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18161-2021</t>
        </is>
      </c>
      <c r="B2437" s="1" t="n">
        <v>44302</v>
      </c>
      <c r="C2437" s="1" t="n">
        <v>45182</v>
      </c>
      <c r="D2437" t="inlineStr">
        <is>
          <t>SÖDERMANLANDS LÄN</t>
        </is>
      </c>
      <c r="E2437" t="inlineStr">
        <is>
          <t>NYKÖPING</t>
        </is>
      </c>
      <c r="G2437" t="n">
        <v>23.9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18192-2021</t>
        </is>
      </c>
      <c r="B2438" s="1" t="n">
        <v>44302</v>
      </c>
      <c r="C2438" s="1" t="n">
        <v>45182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18524-2021</t>
        </is>
      </c>
      <c r="B2439" s="1" t="n">
        <v>44306</v>
      </c>
      <c r="C2439" s="1" t="n">
        <v>45182</v>
      </c>
      <c r="D2439" t="inlineStr">
        <is>
          <t>SÖDERMANLANDS LÄN</t>
        </is>
      </c>
      <c r="E2439" t="inlineStr">
        <is>
          <t>ESKILSTUNA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18665-2021</t>
        </is>
      </c>
      <c r="B2440" s="1" t="n">
        <v>44306</v>
      </c>
      <c r="C2440" s="1" t="n">
        <v>45182</v>
      </c>
      <c r="D2440" t="inlineStr">
        <is>
          <t>SÖDERMANLANDS LÄN</t>
        </is>
      </c>
      <c r="E2440" t="inlineStr">
        <is>
          <t>NYKÖPING</t>
        </is>
      </c>
      <c r="G2440" t="n">
        <v>1.1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18721-2021</t>
        </is>
      </c>
      <c r="B2441" s="1" t="n">
        <v>44307</v>
      </c>
      <c r="C2441" s="1" t="n">
        <v>45182</v>
      </c>
      <c r="D2441" t="inlineStr">
        <is>
          <t>SÖDERMANLANDS LÄN</t>
        </is>
      </c>
      <c r="E2441" t="inlineStr">
        <is>
          <t>VINGÅKER</t>
        </is>
      </c>
      <c r="G2441" t="n">
        <v>12.4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18954-2021</t>
        </is>
      </c>
      <c r="B2442" s="1" t="n">
        <v>44307</v>
      </c>
      <c r="C2442" s="1" t="n">
        <v>45182</v>
      </c>
      <c r="D2442" t="inlineStr">
        <is>
          <t>SÖDERMANLANDS LÄN</t>
        </is>
      </c>
      <c r="E2442" t="inlineStr">
        <is>
          <t>ESKILSTUNA</t>
        </is>
      </c>
      <c r="G2442" t="n">
        <v>1.9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18744-2021</t>
        </is>
      </c>
      <c r="B2443" s="1" t="n">
        <v>44307</v>
      </c>
      <c r="C2443" s="1" t="n">
        <v>45182</v>
      </c>
      <c r="D2443" t="inlineStr">
        <is>
          <t>SÖDERMANLANDS LÄN</t>
        </is>
      </c>
      <c r="E2443" t="inlineStr">
        <is>
          <t>VINGÅKER</t>
        </is>
      </c>
      <c r="G2443" t="n">
        <v>17.6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19072-2021</t>
        </is>
      </c>
      <c r="B2444" s="1" t="n">
        <v>44307</v>
      </c>
      <c r="C2444" s="1" t="n">
        <v>45182</v>
      </c>
      <c r="D2444" t="inlineStr">
        <is>
          <t>SÖDERMANLANDS LÄN</t>
        </is>
      </c>
      <c r="E2444" t="inlineStr">
        <is>
          <t>FLEN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18695-2021</t>
        </is>
      </c>
      <c r="B2445" s="1" t="n">
        <v>44307</v>
      </c>
      <c r="C2445" s="1" t="n">
        <v>45182</v>
      </c>
      <c r="D2445" t="inlineStr">
        <is>
          <t>SÖDERMANLANDS LÄN</t>
        </is>
      </c>
      <c r="E2445" t="inlineStr">
        <is>
          <t>GNESTA</t>
        </is>
      </c>
      <c r="G2445" t="n">
        <v>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18942-2021</t>
        </is>
      </c>
      <c r="B2446" s="1" t="n">
        <v>44308</v>
      </c>
      <c r="C2446" s="1" t="n">
        <v>45182</v>
      </c>
      <c r="D2446" t="inlineStr">
        <is>
          <t>SÖDERMANLANDS LÄN</t>
        </is>
      </c>
      <c r="E2446" t="inlineStr">
        <is>
          <t>ESKILSTUNA</t>
        </is>
      </c>
      <c r="G2446" t="n">
        <v>1.4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19387-2021</t>
        </is>
      </c>
      <c r="B2447" s="1" t="n">
        <v>44309</v>
      </c>
      <c r="C2447" s="1" t="n">
        <v>45182</v>
      </c>
      <c r="D2447" t="inlineStr">
        <is>
          <t>SÖDERMANLANDS LÄN</t>
        </is>
      </c>
      <c r="E2447" t="inlineStr">
        <is>
          <t>FLEN</t>
        </is>
      </c>
      <c r="F2447" t="inlineStr">
        <is>
          <t>Holmen skog AB</t>
        </is>
      </c>
      <c r="G2447" t="n">
        <v>0.7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19613-2021</t>
        </is>
      </c>
      <c r="B2448" s="1" t="n">
        <v>44312</v>
      </c>
      <c r="C2448" s="1" t="n">
        <v>45182</v>
      </c>
      <c r="D2448" t="inlineStr">
        <is>
          <t>SÖDERMANLANDS LÄN</t>
        </is>
      </c>
      <c r="E2448" t="inlineStr">
        <is>
          <t>GNESTA</t>
        </is>
      </c>
      <c r="G2448" t="n">
        <v>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19888-2021</t>
        </is>
      </c>
      <c r="B2449" s="1" t="n">
        <v>44312</v>
      </c>
      <c r="C2449" s="1" t="n">
        <v>45182</v>
      </c>
      <c r="D2449" t="inlineStr">
        <is>
          <t>SÖDERMANLANDS LÄN</t>
        </is>
      </c>
      <c r="E2449" t="inlineStr">
        <is>
          <t>ESKILSTUNA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20030-2021</t>
        </is>
      </c>
      <c r="B2450" s="1" t="n">
        <v>44313</v>
      </c>
      <c r="C2450" s="1" t="n">
        <v>45182</v>
      </c>
      <c r="D2450" t="inlineStr">
        <is>
          <t>SÖDERMANLANDS LÄN</t>
        </is>
      </c>
      <c r="E2450" t="inlineStr">
        <is>
          <t>ESKILSTUNA</t>
        </is>
      </c>
      <c r="G2450" t="n">
        <v>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19849-2021</t>
        </is>
      </c>
      <c r="B2451" s="1" t="n">
        <v>44313</v>
      </c>
      <c r="C2451" s="1" t="n">
        <v>45182</v>
      </c>
      <c r="D2451" t="inlineStr">
        <is>
          <t>SÖDERMANLANDS LÄN</t>
        </is>
      </c>
      <c r="E2451" t="inlineStr">
        <is>
          <t>ESKILSTUNA</t>
        </is>
      </c>
      <c r="F2451" t="inlineStr">
        <is>
          <t>Kyrkan</t>
        </is>
      </c>
      <c r="G2451" t="n">
        <v>2.7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20437-2021</t>
        </is>
      </c>
      <c r="B2452" s="1" t="n">
        <v>44315</v>
      </c>
      <c r="C2452" s="1" t="n">
        <v>45182</v>
      </c>
      <c r="D2452" t="inlineStr">
        <is>
          <t>SÖDERMANLANDS LÄN</t>
        </is>
      </c>
      <c r="E2452" t="inlineStr">
        <is>
          <t>NYKÖPING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21540-2021</t>
        </is>
      </c>
      <c r="B2453" s="1" t="n">
        <v>44316</v>
      </c>
      <c r="C2453" s="1" t="n">
        <v>45182</v>
      </c>
      <c r="D2453" t="inlineStr">
        <is>
          <t>SÖDERMANLANDS LÄN</t>
        </is>
      </c>
      <c r="E2453" t="inlineStr">
        <is>
          <t>NYKÖPING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20949-2021</t>
        </is>
      </c>
      <c r="B2454" s="1" t="n">
        <v>44319</v>
      </c>
      <c r="C2454" s="1" t="n">
        <v>45182</v>
      </c>
      <c r="D2454" t="inlineStr">
        <is>
          <t>SÖDERMANLANDS LÄN</t>
        </is>
      </c>
      <c r="E2454" t="inlineStr">
        <is>
          <t>KATRINEHOLM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22095-2021</t>
        </is>
      </c>
      <c r="B2455" s="1" t="n">
        <v>44320</v>
      </c>
      <c r="C2455" s="1" t="n">
        <v>45182</v>
      </c>
      <c r="D2455" t="inlineStr">
        <is>
          <t>SÖDERMANLANDS LÄN</t>
        </is>
      </c>
      <c r="E2455" t="inlineStr">
        <is>
          <t>VINGÅKER</t>
        </is>
      </c>
      <c r="G2455" t="n">
        <v>7.7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22046-2021</t>
        </is>
      </c>
      <c r="B2456" s="1" t="n">
        <v>44322</v>
      </c>
      <c r="C2456" s="1" t="n">
        <v>45182</v>
      </c>
      <c r="D2456" t="inlineStr">
        <is>
          <t>SÖDERMANLANDS LÄN</t>
        </is>
      </c>
      <c r="E2456" t="inlineStr">
        <is>
          <t>GNESTA</t>
        </is>
      </c>
      <c r="G2456" t="n">
        <v>0.8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21762-2021</t>
        </is>
      </c>
      <c r="B2457" s="1" t="n">
        <v>44322</v>
      </c>
      <c r="C2457" s="1" t="n">
        <v>45182</v>
      </c>
      <c r="D2457" t="inlineStr">
        <is>
          <t>SÖDERMANLANDS LÄN</t>
        </is>
      </c>
      <c r="E2457" t="inlineStr">
        <is>
          <t>GNESTA</t>
        </is>
      </c>
      <c r="G2457" t="n">
        <v>1.9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21835-2021</t>
        </is>
      </c>
      <c r="B2458" s="1" t="n">
        <v>44322</v>
      </c>
      <c r="C2458" s="1" t="n">
        <v>45182</v>
      </c>
      <c r="D2458" t="inlineStr">
        <is>
          <t>SÖDERMANLANDS LÄN</t>
        </is>
      </c>
      <c r="E2458" t="inlineStr">
        <is>
          <t>GNESTA</t>
        </is>
      </c>
      <c r="G2458" t="n">
        <v>7.6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21764-2021</t>
        </is>
      </c>
      <c r="B2459" s="1" t="n">
        <v>44322</v>
      </c>
      <c r="C2459" s="1" t="n">
        <v>45182</v>
      </c>
      <c r="D2459" t="inlineStr">
        <is>
          <t>SÖDERMANLANDS LÄN</t>
        </is>
      </c>
      <c r="E2459" t="inlineStr">
        <is>
          <t>GNESTA</t>
        </is>
      </c>
      <c r="G2459" t="n">
        <v>0.7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22044-2021</t>
        </is>
      </c>
      <c r="B2460" s="1" t="n">
        <v>44322</v>
      </c>
      <c r="C2460" s="1" t="n">
        <v>45182</v>
      </c>
      <c r="D2460" t="inlineStr">
        <is>
          <t>SÖDERMANLANDS LÄN</t>
        </is>
      </c>
      <c r="E2460" t="inlineStr">
        <is>
          <t>GNESTA</t>
        </is>
      </c>
      <c r="G2460" t="n">
        <v>1.4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22052-2021</t>
        </is>
      </c>
      <c r="B2461" s="1" t="n">
        <v>44323</v>
      </c>
      <c r="C2461" s="1" t="n">
        <v>45182</v>
      </c>
      <c r="D2461" t="inlineStr">
        <is>
          <t>SÖDERMANLANDS LÄN</t>
        </is>
      </c>
      <c r="E2461" t="inlineStr">
        <is>
          <t>VINGÅKER</t>
        </is>
      </c>
      <c r="F2461" t="inlineStr">
        <is>
          <t>Kommuner</t>
        </is>
      </c>
      <c r="G2461" t="n">
        <v>0.7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22011-2021</t>
        </is>
      </c>
      <c r="B2462" s="1" t="n">
        <v>44323</v>
      </c>
      <c r="C2462" s="1" t="n">
        <v>45182</v>
      </c>
      <c r="D2462" t="inlineStr">
        <is>
          <t>SÖDERMANLANDS LÄN</t>
        </is>
      </c>
      <c r="E2462" t="inlineStr">
        <is>
          <t>FLEN</t>
        </is>
      </c>
      <c r="G2462" t="n">
        <v>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22015-2021</t>
        </is>
      </c>
      <c r="B2463" s="1" t="n">
        <v>44323</v>
      </c>
      <c r="C2463" s="1" t="n">
        <v>45182</v>
      </c>
      <c r="D2463" t="inlineStr">
        <is>
          <t>SÖDERMANLANDS LÄN</t>
        </is>
      </c>
      <c r="E2463" t="inlineStr">
        <is>
          <t>FLEN</t>
        </is>
      </c>
      <c r="G2463" t="n">
        <v>1.2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22020-2021</t>
        </is>
      </c>
      <c r="B2464" s="1" t="n">
        <v>44323</v>
      </c>
      <c r="C2464" s="1" t="n">
        <v>45182</v>
      </c>
      <c r="D2464" t="inlineStr">
        <is>
          <t>SÖDERMANLANDS LÄN</t>
        </is>
      </c>
      <c r="E2464" t="inlineStr">
        <is>
          <t>FLEN</t>
        </is>
      </c>
      <c r="G2464" t="n">
        <v>4.1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22087-2021</t>
        </is>
      </c>
      <c r="B2465" s="1" t="n">
        <v>44323</v>
      </c>
      <c r="C2465" s="1" t="n">
        <v>45182</v>
      </c>
      <c r="D2465" t="inlineStr">
        <is>
          <t>SÖDERMANLANDS LÄN</t>
        </is>
      </c>
      <c r="E2465" t="inlineStr">
        <is>
          <t>KATRINEHOLM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22486-2021</t>
        </is>
      </c>
      <c r="B2466" s="1" t="n">
        <v>44326</v>
      </c>
      <c r="C2466" s="1" t="n">
        <v>45182</v>
      </c>
      <c r="D2466" t="inlineStr">
        <is>
          <t>SÖDERMANLANDS LÄN</t>
        </is>
      </c>
      <c r="E2466" t="inlineStr">
        <is>
          <t>NYKÖPING</t>
        </is>
      </c>
      <c r="G2466" t="n">
        <v>3.5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22906-2021</t>
        </is>
      </c>
      <c r="B2467" s="1" t="n">
        <v>44328</v>
      </c>
      <c r="C2467" s="1" t="n">
        <v>45182</v>
      </c>
      <c r="D2467" t="inlineStr">
        <is>
          <t>SÖDERMANLANDS LÄN</t>
        </is>
      </c>
      <c r="E2467" t="inlineStr">
        <is>
          <t>GNESTA</t>
        </is>
      </c>
      <c r="G2467" t="n">
        <v>1.2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22922-2021</t>
        </is>
      </c>
      <c r="B2468" s="1" t="n">
        <v>44328</v>
      </c>
      <c r="C2468" s="1" t="n">
        <v>45182</v>
      </c>
      <c r="D2468" t="inlineStr">
        <is>
          <t>SÖDERMANLANDS LÄN</t>
        </is>
      </c>
      <c r="E2468" t="inlineStr">
        <is>
          <t>ESKILSTUNA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23004-2021</t>
        </is>
      </c>
      <c r="B2469" s="1" t="n">
        <v>44328</v>
      </c>
      <c r="C2469" s="1" t="n">
        <v>45182</v>
      </c>
      <c r="D2469" t="inlineStr">
        <is>
          <t>SÖDERMANLANDS LÄN</t>
        </is>
      </c>
      <c r="E2469" t="inlineStr">
        <is>
          <t>FLEN</t>
        </is>
      </c>
      <c r="G2469" t="n">
        <v>2.8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23058-2021</t>
        </is>
      </c>
      <c r="B2470" s="1" t="n">
        <v>44329</v>
      </c>
      <c r="C2470" s="1" t="n">
        <v>45182</v>
      </c>
      <c r="D2470" t="inlineStr">
        <is>
          <t>SÖDERMANLANDS LÄN</t>
        </is>
      </c>
      <c r="E2470" t="inlineStr">
        <is>
          <t>ESKILSTUNA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23137-2021</t>
        </is>
      </c>
      <c r="B2471" s="1" t="n">
        <v>44331</v>
      </c>
      <c r="C2471" s="1" t="n">
        <v>45182</v>
      </c>
      <c r="D2471" t="inlineStr">
        <is>
          <t>SÖDERMANLANDS LÄN</t>
        </is>
      </c>
      <c r="E2471" t="inlineStr">
        <is>
          <t>STRÄNGNÄS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23371-2021</t>
        </is>
      </c>
      <c r="B2472" s="1" t="n">
        <v>44333</v>
      </c>
      <c r="C2472" s="1" t="n">
        <v>45182</v>
      </c>
      <c r="D2472" t="inlineStr">
        <is>
          <t>SÖDERMANLANDS LÄN</t>
        </is>
      </c>
      <c r="E2472" t="inlineStr">
        <is>
          <t>ESKILSTUNA</t>
        </is>
      </c>
      <c r="F2472" t="inlineStr">
        <is>
          <t>Sveaskog</t>
        </is>
      </c>
      <c r="G2472" t="n">
        <v>2.8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23346-2021</t>
        </is>
      </c>
      <c r="B2473" s="1" t="n">
        <v>44333</v>
      </c>
      <c r="C2473" s="1" t="n">
        <v>45182</v>
      </c>
      <c r="D2473" t="inlineStr">
        <is>
          <t>SÖDERMANLANDS LÄN</t>
        </is>
      </c>
      <c r="E2473" t="inlineStr">
        <is>
          <t>NYKÖPING</t>
        </is>
      </c>
      <c r="G2473" t="n">
        <v>2.6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23638-2021</t>
        </is>
      </c>
      <c r="B2474" s="1" t="n">
        <v>44334</v>
      </c>
      <c r="C2474" s="1" t="n">
        <v>45182</v>
      </c>
      <c r="D2474" t="inlineStr">
        <is>
          <t>SÖDERMANLANDS LÄN</t>
        </is>
      </c>
      <c r="E2474" t="inlineStr">
        <is>
          <t>NYKÖPING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23725-2021</t>
        </is>
      </c>
      <c r="B2475" s="1" t="n">
        <v>44334</v>
      </c>
      <c r="C2475" s="1" t="n">
        <v>45182</v>
      </c>
      <c r="D2475" t="inlineStr">
        <is>
          <t>SÖDERMANLANDS LÄN</t>
        </is>
      </c>
      <c r="E2475" t="inlineStr">
        <is>
          <t>NYKÖPING</t>
        </is>
      </c>
      <c r="F2475" t="inlineStr">
        <is>
          <t>Kyrkan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23600-2021</t>
        </is>
      </c>
      <c r="B2476" s="1" t="n">
        <v>44334</v>
      </c>
      <c r="C2476" s="1" t="n">
        <v>45182</v>
      </c>
      <c r="D2476" t="inlineStr">
        <is>
          <t>SÖDERMANLANDS LÄN</t>
        </is>
      </c>
      <c r="E2476" t="inlineStr">
        <is>
          <t>GNESTA</t>
        </is>
      </c>
      <c r="G2476" t="n">
        <v>1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23838-2021</t>
        </is>
      </c>
      <c r="B2477" s="1" t="n">
        <v>44335</v>
      </c>
      <c r="C2477" s="1" t="n">
        <v>45182</v>
      </c>
      <c r="D2477" t="inlineStr">
        <is>
          <t>SÖDERMANLANDS LÄN</t>
        </is>
      </c>
      <c r="E2477" t="inlineStr">
        <is>
          <t>KATRINEHOLM</t>
        </is>
      </c>
      <c r="G2477" t="n">
        <v>12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24113-2021</t>
        </is>
      </c>
      <c r="B2478" s="1" t="n">
        <v>44336</v>
      </c>
      <c r="C2478" s="1" t="n">
        <v>45182</v>
      </c>
      <c r="D2478" t="inlineStr">
        <is>
          <t>SÖDERMANLANDS LÄN</t>
        </is>
      </c>
      <c r="E2478" t="inlineStr">
        <is>
          <t>ESKILSTUNA</t>
        </is>
      </c>
      <c r="G2478" t="n">
        <v>18.9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30441-2021</t>
        </is>
      </c>
      <c r="B2479" s="1" t="n">
        <v>44336</v>
      </c>
      <c r="C2479" s="1" t="n">
        <v>45182</v>
      </c>
      <c r="D2479" t="inlineStr">
        <is>
          <t>SÖDERMANLANDS LÄN</t>
        </is>
      </c>
      <c r="E2479" t="inlineStr">
        <is>
          <t>NYKÖPING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24539-2021</t>
        </is>
      </c>
      <c r="B2480" s="1" t="n">
        <v>44339</v>
      </c>
      <c r="C2480" s="1" t="n">
        <v>45182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24545-2021</t>
        </is>
      </c>
      <c r="B2481" s="1" t="n">
        <v>44339</v>
      </c>
      <c r="C2481" s="1" t="n">
        <v>45182</v>
      </c>
      <c r="D2481" t="inlineStr">
        <is>
          <t>SÖDERMANLANDS LÄN</t>
        </is>
      </c>
      <c r="E2481" t="inlineStr">
        <is>
          <t>NYKÖPING</t>
        </is>
      </c>
      <c r="F2481" t="inlineStr">
        <is>
          <t>Övriga Aktiebolag</t>
        </is>
      </c>
      <c r="G2481" t="n">
        <v>2.2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25337-2021</t>
        </is>
      </c>
      <c r="B2482" s="1" t="n">
        <v>44342</v>
      </c>
      <c r="C2482" s="1" t="n">
        <v>45182</v>
      </c>
      <c r="D2482" t="inlineStr">
        <is>
          <t>SÖDERMANLANDS LÄN</t>
        </is>
      </c>
      <c r="E2482" t="inlineStr">
        <is>
          <t>KATRINEHOLM</t>
        </is>
      </c>
      <c r="F2482" t="inlineStr">
        <is>
          <t>Övriga Aktiebolag</t>
        </is>
      </c>
      <c r="G2482" t="n">
        <v>5.5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25179-2021</t>
        </is>
      </c>
      <c r="B2483" s="1" t="n">
        <v>44342</v>
      </c>
      <c r="C2483" s="1" t="n">
        <v>45182</v>
      </c>
      <c r="D2483" t="inlineStr">
        <is>
          <t>SÖDERMANLANDS LÄN</t>
        </is>
      </c>
      <c r="E2483" t="inlineStr">
        <is>
          <t>GNESTA</t>
        </is>
      </c>
      <c r="G2483" t="n">
        <v>1.5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26011-2021</t>
        </is>
      </c>
      <c r="B2484" s="1" t="n">
        <v>44344</v>
      </c>
      <c r="C2484" s="1" t="n">
        <v>45182</v>
      </c>
      <c r="D2484" t="inlineStr">
        <is>
          <t>SÖDERMANLANDS LÄN</t>
        </is>
      </c>
      <c r="E2484" t="inlineStr">
        <is>
          <t>FLEN</t>
        </is>
      </c>
      <c r="G2484" t="n">
        <v>12.4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26984-2021</t>
        </is>
      </c>
      <c r="B2485" s="1" t="n">
        <v>44349</v>
      </c>
      <c r="C2485" s="1" t="n">
        <v>45182</v>
      </c>
      <c r="D2485" t="inlineStr">
        <is>
          <t>SÖDERMANLANDS LÄN</t>
        </is>
      </c>
      <c r="E2485" t="inlineStr">
        <is>
          <t>NYKÖPING</t>
        </is>
      </c>
      <c r="G2485" t="n">
        <v>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27190-2021</t>
        </is>
      </c>
      <c r="B2486" s="1" t="n">
        <v>44350</v>
      </c>
      <c r="C2486" s="1" t="n">
        <v>45182</v>
      </c>
      <c r="D2486" t="inlineStr">
        <is>
          <t>SÖDERMANLANDS LÄN</t>
        </is>
      </c>
      <c r="E2486" t="inlineStr">
        <is>
          <t>FLEN</t>
        </is>
      </c>
      <c r="F2486" t="inlineStr">
        <is>
          <t>Kyrkan</t>
        </is>
      </c>
      <c r="G2486" t="n">
        <v>3.4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26996-2021</t>
        </is>
      </c>
      <c r="B2487" s="1" t="n">
        <v>44350</v>
      </c>
      <c r="C2487" s="1" t="n">
        <v>45182</v>
      </c>
      <c r="D2487" t="inlineStr">
        <is>
          <t>SÖDERMANLANDS LÄN</t>
        </is>
      </c>
      <c r="E2487" t="inlineStr">
        <is>
          <t>ESKILSTUNA</t>
        </is>
      </c>
      <c r="G2487" t="n">
        <v>2.8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27184-2021</t>
        </is>
      </c>
      <c r="B2488" s="1" t="n">
        <v>44350</v>
      </c>
      <c r="C2488" s="1" t="n">
        <v>45182</v>
      </c>
      <c r="D2488" t="inlineStr">
        <is>
          <t>SÖDERMANLANDS LÄN</t>
        </is>
      </c>
      <c r="E2488" t="inlineStr">
        <is>
          <t>FLEN</t>
        </is>
      </c>
      <c r="F2488" t="inlineStr">
        <is>
          <t>Kyrkan</t>
        </is>
      </c>
      <c r="G2488" t="n">
        <v>3.5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27151-2021</t>
        </is>
      </c>
      <c r="B2489" s="1" t="n">
        <v>44350</v>
      </c>
      <c r="C2489" s="1" t="n">
        <v>45182</v>
      </c>
      <c r="D2489" t="inlineStr">
        <is>
          <t>SÖDERMANLANDS LÄN</t>
        </is>
      </c>
      <c r="E2489" t="inlineStr">
        <is>
          <t>NYKÖPING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27298-2021</t>
        </is>
      </c>
      <c r="B2490" s="1" t="n">
        <v>44351</v>
      </c>
      <c r="C2490" s="1" t="n">
        <v>45182</v>
      </c>
      <c r="D2490" t="inlineStr">
        <is>
          <t>SÖDERMANLANDS LÄN</t>
        </is>
      </c>
      <c r="E2490" t="inlineStr">
        <is>
          <t>KATRINEHOLM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27934-2021</t>
        </is>
      </c>
      <c r="B2491" s="1" t="n">
        <v>44354</v>
      </c>
      <c r="C2491" s="1" t="n">
        <v>45182</v>
      </c>
      <c r="D2491" t="inlineStr">
        <is>
          <t>SÖDERMANLANDS LÄN</t>
        </is>
      </c>
      <c r="E2491" t="inlineStr">
        <is>
          <t>NYKÖPING</t>
        </is>
      </c>
      <c r="G2491" t="n">
        <v>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28039-2021</t>
        </is>
      </c>
      <c r="B2492" s="1" t="n">
        <v>44355</v>
      </c>
      <c r="C2492" s="1" t="n">
        <v>45182</v>
      </c>
      <c r="D2492" t="inlineStr">
        <is>
          <t>SÖDERMANLANDS LÄN</t>
        </is>
      </c>
      <c r="E2492" t="inlineStr">
        <is>
          <t>ESKILSTUNA</t>
        </is>
      </c>
      <c r="G2492" t="n">
        <v>0.6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28046-2021</t>
        </is>
      </c>
      <c r="B2493" s="1" t="n">
        <v>44355</v>
      </c>
      <c r="C2493" s="1" t="n">
        <v>45182</v>
      </c>
      <c r="D2493" t="inlineStr">
        <is>
          <t>SÖDERMANLANDS LÄN</t>
        </is>
      </c>
      <c r="E2493" t="inlineStr">
        <is>
          <t>ESKILSTUNA</t>
        </is>
      </c>
      <c r="G2493" t="n">
        <v>1.3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29166-2021</t>
        </is>
      </c>
      <c r="B2494" s="1" t="n">
        <v>44358</v>
      </c>
      <c r="C2494" s="1" t="n">
        <v>45182</v>
      </c>
      <c r="D2494" t="inlineStr">
        <is>
          <t>SÖDERMANLANDS LÄN</t>
        </is>
      </c>
      <c r="E2494" t="inlineStr">
        <is>
          <t>VINGÅKER</t>
        </is>
      </c>
      <c r="G2494" t="n">
        <v>3.7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29002-2021</t>
        </is>
      </c>
      <c r="B2495" s="1" t="n">
        <v>44358</v>
      </c>
      <c r="C2495" s="1" t="n">
        <v>45182</v>
      </c>
      <c r="D2495" t="inlineStr">
        <is>
          <t>SÖDERMANLANDS LÄN</t>
        </is>
      </c>
      <c r="E2495" t="inlineStr">
        <is>
          <t>FLEN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29052-2021</t>
        </is>
      </c>
      <c r="B2496" s="1" t="n">
        <v>44358</v>
      </c>
      <c r="C2496" s="1" t="n">
        <v>45182</v>
      </c>
      <c r="D2496" t="inlineStr">
        <is>
          <t>SÖDERMANLANDS LÄN</t>
        </is>
      </c>
      <c r="E2496" t="inlineStr">
        <is>
          <t>NYKÖPING</t>
        </is>
      </c>
      <c r="G2496" t="n">
        <v>4.9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28984-2021</t>
        </is>
      </c>
      <c r="B2497" s="1" t="n">
        <v>44358</v>
      </c>
      <c r="C2497" s="1" t="n">
        <v>45182</v>
      </c>
      <c r="D2497" t="inlineStr">
        <is>
          <t>SÖDERMANLANDS LÄN</t>
        </is>
      </c>
      <c r="E2497" t="inlineStr">
        <is>
          <t>STRÄNGNÄS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29236-2021</t>
        </is>
      </c>
      <c r="B2498" s="1" t="n">
        <v>44360</v>
      </c>
      <c r="C2498" s="1" t="n">
        <v>45182</v>
      </c>
      <c r="D2498" t="inlineStr">
        <is>
          <t>SÖDERMANLANDS LÄN</t>
        </is>
      </c>
      <c r="E2498" t="inlineStr">
        <is>
          <t>FLEN</t>
        </is>
      </c>
      <c r="G2498" t="n">
        <v>0.2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29239-2021</t>
        </is>
      </c>
      <c r="B2499" s="1" t="n">
        <v>44360</v>
      </c>
      <c r="C2499" s="1" t="n">
        <v>45182</v>
      </c>
      <c r="D2499" t="inlineStr">
        <is>
          <t>SÖDERMANLANDS LÄN</t>
        </is>
      </c>
      <c r="E2499" t="inlineStr">
        <is>
          <t>FLEN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29745-2021</t>
        </is>
      </c>
      <c r="B2500" s="1" t="n">
        <v>44362</v>
      </c>
      <c r="C2500" s="1" t="n">
        <v>45182</v>
      </c>
      <c r="D2500" t="inlineStr">
        <is>
          <t>SÖDERMANLANDS LÄN</t>
        </is>
      </c>
      <c r="E2500" t="inlineStr">
        <is>
          <t>ESKILSTUNA</t>
        </is>
      </c>
      <c r="F2500" t="inlineStr">
        <is>
          <t>Kyrkan</t>
        </is>
      </c>
      <c r="G2500" t="n">
        <v>11.1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29891-2021</t>
        </is>
      </c>
      <c r="B2501" s="1" t="n">
        <v>44362</v>
      </c>
      <c r="C2501" s="1" t="n">
        <v>45182</v>
      </c>
      <c r="D2501" t="inlineStr">
        <is>
          <t>SÖDERMANLANDS LÄN</t>
        </is>
      </c>
      <c r="E2501" t="inlineStr">
        <is>
          <t>NYKÖPING</t>
        </is>
      </c>
      <c r="G2501" t="n">
        <v>2.6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29702-2021</t>
        </is>
      </c>
      <c r="B2502" s="1" t="n">
        <v>44362</v>
      </c>
      <c r="C2502" s="1" t="n">
        <v>45182</v>
      </c>
      <c r="D2502" t="inlineStr">
        <is>
          <t>SÖDERMANLANDS LÄN</t>
        </is>
      </c>
      <c r="E2502" t="inlineStr">
        <is>
          <t>KATRINEHOLM</t>
        </is>
      </c>
      <c r="F2502" t="inlineStr">
        <is>
          <t>Holmen skog AB</t>
        </is>
      </c>
      <c r="G2502" t="n">
        <v>0.3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29893-2021</t>
        </is>
      </c>
      <c r="B2503" s="1" t="n">
        <v>44362</v>
      </c>
      <c r="C2503" s="1" t="n">
        <v>45182</v>
      </c>
      <c r="D2503" t="inlineStr">
        <is>
          <t>SÖDERMANLANDS LÄN</t>
        </is>
      </c>
      <c r="E2503" t="inlineStr">
        <is>
          <t>NYKÖPING</t>
        </is>
      </c>
      <c r="G2503" t="n">
        <v>10.6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29665-2021</t>
        </is>
      </c>
      <c r="B2504" s="1" t="n">
        <v>44362</v>
      </c>
      <c r="C2504" s="1" t="n">
        <v>45182</v>
      </c>
      <c r="D2504" t="inlineStr">
        <is>
          <t>SÖDERMANLANDS LÄN</t>
        </is>
      </c>
      <c r="E2504" t="inlineStr">
        <is>
          <t>KATRINEHOLM</t>
        </is>
      </c>
      <c r="G2504" t="n">
        <v>14.3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29762-2021</t>
        </is>
      </c>
      <c r="B2505" s="1" t="n">
        <v>44362</v>
      </c>
      <c r="C2505" s="1" t="n">
        <v>45182</v>
      </c>
      <c r="D2505" t="inlineStr">
        <is>
          <t>SÖDERMANLANDS LÄN</t>
        </is>
      </c>
      <c r="E2505" t="inlineStr">
        <is>
          <t>ESKILSTUNA</t>
        </is>
      </c>
      <c r="G2505" t="n">
        <v>5.3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29662-2021</t>
        </is>
      </c>
      <c r="B2506" s="1" t="n">
        <v>44362</v>
      </c>
      <c r="C2506" s="1" t="n">
        <v>45182</v>
      </c>
      <c r="D2506" t="inlineStr">
        <is>
          <t>SÖDERMANLANDS LÄN</t>
        </is>
      </c>
      <c r="E2506" t="inlineStr">
        <is>
          <t>KATRINEHOLM</t>
        </is>
      </c>
      <c r="G2506" t="n">
        <v>2.1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29966-2021</t>
        </is>
      </c>
      <c r="B2507" s="1" t="n">
        <v>44363</v>
      </c>
      <c r="C2507" s="1" t="n">
        <v>45182</v>
      </c>
      <c r="D2507" t="inlineStr">
        <is>
          <t>SÖDERMANLANDS LÄN</t>
        </is>
      </c>
      <c r="E2507" t="inlineStr">
        <is>
          <t>NYKÖPING</t>
        </is>
      </c>
      <c r="G2507" t="n">
        <v>2.4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30171-2021</t>
        </is>
      </c>
      <c r="B2508" s="1" t="n">
        <v>44363</v>
      </c>
      <c r="C2508" s="1" t="n">
        <v>45182</v>
      </c>
      <c r="D2508" t="inlineStr">
        <is>
          <t>SÖDERMANLANDS LÄN</t>
        </is>
      </c>
      <c r="E2508" t="inlineStr">
        <is>
          <t>NYKÖPING</t>
        </is>
      </c>
      <c r="G2508" t="n">
        <v>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30003-2021</t>
        </is>
      </c>
      <c r="B2509" s="1" t="n">
        <v>44363</v>
      </c>
      <c r="C2509" s="1" t="n">
        <v>45182</v>
      </c>
      <c r="D2509" t="inlineStr">
        <is>
          <t>SÖDERMANLANDS LÄN</t>
        </is>
      </c>
      <c r="E2509" t="inlineStr">
        <is>
          <t>NYKÖPING</t>
        </is>
      </c>
      <c r="G2509" t="n">
        <v>7.4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30063-2021</t>
        </is>
      </c>
      <c r="B2510" s="1" t="n">
        <v>44363</v>
      </c>
      <c r="C2510" s="1" t="n">
        <v>45182</v>
      </c>
      <c r="D2510" t="inlineStr">
        <is>
          <t>SÖDERMANLANDS LÄN</t>
        </is>
      </c>
      <c r="E2510" t="inlineStr">
        <is>
          <t>STRÄNGNÄS</t>
        </is>
      </c>
      <c r="G2510" t="n">
        <v>4.1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29970-2021</t>
        </is>
      </c>
      <c r="B2511" s="1" t="n">
        <v>44363</v>
      </c>
      <c r="C2511" s="1" t="n">
        <v>45182</v>
      </c>
      <c r="D2511" t="inlineStr">
        <is>
          <t>SÖDERMANLANDS LÄN</t>
        </is>
      </c>
      <c r="E2511" t="inlineStr">
        <is>
          <t>STRÄNGNÄS</t>
        </is>
      </c>
      <c r="G2511" t="n">
        <v>4.7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30509-2021</t>
        </is>
      </c>
      <c r="B2512" s="1" t="n">
        <v>44364</v>
      </c>
      <c r="C2512" s="1" t="n">
        <v>45182</v>
      </c>
      <c r="D2512" t="inlineStr">
        <is>
          <t>SÖDERMANLANDS LÄN</t>
        </is>
      </c>
      <c r="E2512" t="inlineStr">
        <is>
          <t>NYKÖPING</t>
        </is>
      </c>
      <c r="G2512" t="n">
        <v>16.7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30570-2021</t>
        </is>
      </c>
      <c r="B2513" s="1" t="n">
        <v>44364</v>
      </c>
      <c r="C2513" s="1" t="n">
        <v>45182</v>
      </c>
      <c r="D2513" t="inlineStr">
        <is>
          <t>SÖDERMANLANDS LÄN</t>
        </is>
      </c>
      <c r="E2513" t="inlineStr">
        <is>
          <t>NYKÖPING</t>
        </is>
      </c>
      <c r="G2513" t="n">
        <v>1.5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30394-2021</t>
        </is>
      </c>
      <c r="B2514" s="1" t="n">
        <v>44364</v>
      </c>
      <c r="C2514" s="1" t="n">
        <v>45182</v>
      </c>
      <c r="D2514" t="inlineStr">
        <is>
          <t>SÖDERMANLANDS LÄN</t>
        </is>
      </c>
      <c r="E2514" t="inlineStr">
        <is>
          <t>NYKÖPING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30415-2021</t>
        </is>
      </c>
      <c r="B2515" s="1" t="n">
        <v>44364</v>
      </c>
      <c r="C2515" s="1" t="n">
        <v>45182</v>
      </c>
      <c r="D2515" t="inlineStr">
        <is>
          <t>SÖDERMANLANDS LÄN</t>
        </is>
      </c>
      <c r="E2515" t="inlineStr">
        <is>
          <t>NYKÖPING</t>
        </is>
      </c>
      <c r="G2515" t="n">
        <v>19.9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30397-2021</t>
        </is>
      </c>
      <c r="B2516" s="1" t="n">
        <v>44364</v>
      </c>
      <c r="C2516" s="1" t="n">
        <v>45182</v>
      </c>
      <c r="D2516" t="inlineStr">
        <is>
          <t>SÖDERMANLANDS LÄN</t>
        </is>
      </c>
      <c r="E2516" t="inlineStr">
        <is>
          <t>NYKÖPING</t>
        </is>
      </c>
      <c r="G2516" t="n">
        <v>2.1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30423-2021</t>
        </is>
      </c>
      <c r="B2517" s="1" t="n">
        <v>44364</v>
      </c>
      <c r="C2517" s="1" t="n">
        <v>45182</v>
      </c>
      <c r="D2517" t="inlineStr">
        <is>
          <t>SÖDERMANLANDS LÄN</t>
        </is>
      </c>
      <c r="E2517" t="inlineStr">
        <is>
          <t>NYKÖPING</t>
        </is>
      </c>
      <c r="G2517" t="n">
        <v>3.7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30847-2021</t>
        </is>
      </c>
      <c r="B2518" s="1" t="n">
        <v>44365</v>
      </c>
      <c r="C2518" s="1" t="n">
        <v>45182</v>
      </c>
      <c r="D2518" t="inlineStr">
        <is>
          <t>SÖDERMANLANDS LÄN</t>
        </is>
      </c>
      <c r="E2518" t="inlineStr">
        <is>
          <t>FLEN</t>
        </is>
      </c>
      <c r="G2518" t="n">
        <v>5.5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31131-2021</t>
        </is>
      </c>
      <c r="B2519" s="1" t="n">
        <v>44365</v>
      </c>
      <c r="C2519" s="1" t="n">
        <v>45182</v>
      </c>
      <c r="D2519" t="inlineStr">
        <is>
          <t>SÖDERMANLANDS LÄN</t>
        </is>
      </c>
      <c r="E2519" t="inlineStr">
        <is>
          <t>FLEN</t>
        </is>
      </c>
      <c r="G2519" t="n">
        <v>5.4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30830-2021</t>
        </is>
      </c>
      <c r="B2520" s="1" t="n">
        <v>44365</v>
      </c>
      <c r="C2520" s="1" t="n">
        <v>45182</v>
      </c>
      <c r="D2520" t="inlineStr">
        <is>
          <t>SÖDERMANLANDS LÄN</t>
        </is>
      </c>
      <c r="E2520" t="inlineStr">
        <is>
          <t>FLEN</t>
        </is>
      </c>
      <c r="G2520" t="n">
        <v>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31297-2021</t>
        </is>
      </c>
      <c r="B2521" s="1" t="n">
        <v>44368</v>
      </c>
      <c r="C2521" s="1" t="n">
        <v>45182</v>
      </c>
      <c r="D2521" t="inlineStr">
        <is>
          <t>SÖDERMANLANDS LÄN</t>
        </is>
      </c>
      <c r="E2521" t="inlineStr">
        <is>
          <t>VINGÅKER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31182-2021</t>
        </is>
      </c>
      <c r="B2522" s="1" t="n">
        <v>44368</v>
      </c>
      <c r="C2522" s="1" t="n">
        <v>45182</v>
      </c>
      <c r="D2522" t="inlineStr">
        <is>
          <t>SÖDERMANLANDS LÄN</t>
        </is>
      </c>
      <c r="E2522" t="inlineStr">
        <is>
          <t>ESKILSTUNA</t>
        </is>
      </c>
      <c r="F2522" t="inlineStr">
        <is>
          <t>Övriga Aktiebolag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31772-2021</t>
        </is>
      </c>
      <c r="B2523" s="1" t="n">
        <v>44369</v>
      </c>
      <c r="C2523" s="1" t="n">
        <v>45182</v>
      </c>
      <c r="D2523" t="inlineStr">
        <is>
          <t>SÖDERMANLANDS LÄN</t>
        </is>
      </c>
      <c r="E2523" t="inlineStr">
        <is>
          <t>STRÄNGNÄS</t>
        </is>
      </c>
      <c r="G2523" t="n">
        <v>2.3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31684-2021</t>
        </is>
      </c>
      <c r="B2524" s="1" t="n">
        <v>44369</v>
      </c>
      <c r="C2524" s="1" t="n">
        <v>45182</v>
      </c>
      <c r="D2524" t="inlineStr">
        <is>
          <t>SÖDERMANLANDS LÄN</t>
        </is>
      </c>
      <c r="E2524" t="inlineStr">
        <is>
          <t>KATRINEHOLM</t>
        </is>
      </c>
      <c r="G2524" t="n">
        <v>3.4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31846-2021</t>
        </is>
      </c>
      <c r="B2525" s="1" t="n">
        <v>44370</v>
      </c>
      <c r="C2525" s="1" t="n">
        <v>45182</v>
      </c>
      <c r="D2525" t="inlineStr">
        <is>
          <t>SÖDERMANLANDS LÄN</t>
        </is>
      </c>
      <c r="E2525" t="inlineStr">
        <is>
          <t>KATRINEHOLM</t>
        </is>
      </c>
      <c r="G2525" t="n">
        <v>4.9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32056-2021</t>
        </is>
      </c>
      <c r="B2526" s="1" t="n">
        <v>44370</v>
      </c>
      <c r="C2526" s="1" t="n">
        <v>45182</v>
      </c>
      <c r="D2526" t="inlineStr">
        <is>
          <t>SÖDERMANLANDS LÄN</t>
        </is>
      </c>
      <c r="E2526" t="inlineStr">
        <is>
          <t>NYKÖPING</t>
        </is>
      </c>
      <c r="F2526" t="inlineStr">
        <is>
          <t>Holmen skog AB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32313-2021</t>
        </is>
      </c>
      <c r="B2527" s="1" t="n">
        <v>44371</v>
      </c>
      <c r="C2527" s="1" t="n">
        <v>45182</v>
      </c>
      <c r="D2527" t="inlineStr">
        <is>
          <t>SÖDERMANLANDS LÄN</t>
        </is>
      </c>
      <c r="E2527" t="inlineStr">
        <is>
          <t>NYKÖPING</t>
        </is>
      </c>
      <c r="G2527" t="n">
        <v>0.6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32733-2021</t>
        </is>
      </c>
      <c r="B2528" s="1" t="n">
        <v>44375</v>
      </c>
      <c r="C2528" s="1" t="n">
        <v>45182</v>
      </c>
      <c r="D2528" t="inlineStr">
        <is>
          <t>SÖDERMANLANDS LÄN</t>
        </is>
      </c>
      <c r="E2528" t="inlineStr">
        <is>
          <t>KATRINEHOLM</t>
        </is>
      </c>
      <c r="G2528" t="n">
        <v>9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  <c r="U2528">
        <f>HYPERLINK("https://klasma.github.io/Logging_KATRINEHOLM/knärot/A 32733-2021.png")</f>
        <v/>
      </c>
      <c r="V2528">
        <f>HYPERLINK("https://klasma.github.io/Logging_KATRINEHOLM/klagomål/A 32733-2021.docx")</f>
        <v/>
      </c>
      <c r="W2528">
        <f>HYPERLINK("https://klasma.github.io/Logging_KATRINEHOLM/klagomålsmail/A 32733-2021.docx")</f>
        <v/>
      </c>
      <c r="X2528">
        <f>HYPERLINK("https://klasma.github.io/Logging_KATRINEHOLM/tillsyn/A 32733-2021.docx")</f>
        <v/>
      </c>
      <c r="Y2528">
        <f>HYPERLINK("https://klasma.github.io/Logging_KATRINEHOLM/tillsynsmail/A 32733-2021.docx")</f>
        <v/>
      </c>
    </row>
    <row r="2529" ht="15" customHeight="1">
      <c r="A2529" t="inlineStr">
        <is>
          <t>A 32551-2021</t>
        </is>
      </c>
      <c r="B2529" s="1" t="n">
        <v>44375</v>
      </c>
      <c r="C2529" s="1" t="n">
        <v>45182</v>
      </c>
      <c r="D2529" t="inlineStr">
        <is>
          <t>SÖDERMANLANDS LÄN</t>
        </is>
      </c>
      <c r="E2529" t="inlineStr">
        <is>
          <t>NYKÖPING</t>
        </is>
      </c>
      <c r="F2529" t="inlineStr">
        <is>
          <t>Holmen skog AB</t>
        </is>
      </c>
      <c r="G2529" t="n">
        <v>0.6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33191-2021</t>
        </is>
      </c>
      <c r="B2530" s="1" t="n">
        <v>44376</v>
      </c>
      <c r="C2530" s="1" t="n">
        <v>45182</v>
      </c>
      <c r="D2530" t="inlineStr">
        <is>
          <t>SÖDERMANLANDS LÄN</t>
        </is>
      </c>
      <c r="E2530" t="inlineStr">
        <is>
          <t>STRÄNGNÄS</t>
        </is>
      </c>
      <c r="G2530" t="n">
        <v>17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33321-2021</t>
        </is>
      </c>
      <c r="B2531" s="1" t="n">
        <v>44377</v>
      </c>
      <c r="C2531" s="1" t="n">
        <v>45182</v>
      </c>
      <c r="D2531" t="inlineStr">
        <is>
          <t>SÖDERMANLANDS LÄN</t>
        </is>
      </c>
      <c r="E2531" t="inlineStr">
        <is>
          <t>STRÄNGNÄS</t>
        </is>
      </c>
      <c r="G2531" t="n">
        <v>7.7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33307-2021</t>
        </is>
      </c>
      <c r="B2532" s="1" t="n">
        <v>44377</v>
      </c>
      <c r="C2532" s="1" t="n">
        <v>45182</v>
      </c>
      <c r="D2532" t="inlineStr">
        <is>
          <t>SÖDERMANLANDS LÄN</t>
        </is>
      </c>
      <c r="E2532" t="inlineStr">
        <is>
          <t>STRÄNGNÄS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33312-2021</t>
        </is>
      </c>
      <c r="B2533" s="1" t="n">
        <v>44377</v>
      </c>
      <c r="C2533" s="1" t="n">
        <v>45182</v>
      </c>
      <c r="D2533" t="inlineStr">
        <is>
          <t>SÖDERMANLANDS LÄN</t>
        </is>
      </c>
      <c r="E2533" t="inlineStr">
        <is>
          <t>STRÄNGNÄS</t>
        </is>
      </c>
      <c r="G2533" t="n">
        <v>2.7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33314-2021</t>
        </is>
      </c>
      <c r="B2534" s="1" t="n">
        <v>44377</v>
      </c>
      <c r="C2534" s="1" t="n">
        <v>45182</v>
      </c>
      <c r="D2534" t="inlineStr">
        <is>
          <t>SÖDERMANLANDS LÄN</t>
        </is>
      </c>
      <c r="E2534" t="inlineStr">
        <is>
          <t>STRÄNGNÄS</t>
        </is>
      </c>
      <c r="G2534" t="n">
        <v>5.2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33752-2021</t>
        </is>
      </c>
      <c r="B2535" s="1" t="n">
        <v>44378</v>
      </c>
      <c r="C2535" s="1" t="n">
        <v>45182</v>
      </c>
      <c r="D2535" t="inlineStr">
        <is>
          <t>SÖDERMANLANDS LÄN</t>
        </is>
      </c>
      <c r="E2535" t="inlineStr">
        <is>
          <t>STRÄNGNÄS</t>
        </is>
      </c>
      <c r="G2535" t="n">
        <v>3.4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34003-2021</t>
        </is>
      </c>
      <c r="B2536" s="1" t="n">
        <v>44378</v>
      </c>
      <c r="C2536" s="1" t="n">
        <v>45182</v>
      </c>
      <c r="D2536" t="inlineStr">
        <is>
          <t>SÖDERMANLANDS LÄN</t>
        </is>
      </c>
      <c r="E2536" t="inlineStr">
        <is>
          <t>FLEN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34055-2021</t>
        </is>
      </c>
      <c r="B2537" s="1" t="n">
        <v>44379</v>
      </c>
      <c r="C2537" s="1" t="n">
        <v>45182</v>
      </c>
      <c r="D2537" t="inlineStr">
        <is>
          <t>SÖDERMANLANDS LÄN</t>
        </is>
      </c>
      <c r="E2537" t="inlineStr">
        <is>
          <t>ESKILSTUNA</t>
        </is>
      </c>
      <c r="G2537" t="n">
        <v>10.7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34619-2021</t>
        </is>
      </c>
      <c r="B2538" s="1" t="n">
        <v>44379</v>
      </c>
      <c r="C2538" s="1" t="n">
        <v>45182</v>
      </c>
      <c r="D2538" t="inlineStr">
        <is>
          <t>SÖDERMANLANDS LÄN</t>
        </is>
      </c>
      <c r="E2538" t="inlineStr">
        <is>
          <t>NYKÖPING</t>
        </is>
      </c>
      <c r="G2538" t="n">
        <v>3.6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34675-2021</t>
        </is>
      </c>
      <c r="B2539" s="1" t="n">
        <v>44379</v>
      </c>
      <c r="C2539" s="1" t="n">
        <v>45182</v>
      </c>
      <c r="D2539" t="inlineStr">
        <is>
          <t>SÖDERMANLANDS LÄN</t>
        </is>
      </c>
      <c r="E2539" t="inlineStr">
        <is>
          <t>FLEN</t>
        </is>
      </c>
      <c r="G2539" t="n">
        <v>2.6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34753-2021</t>
        </is>
      </c>
      <c r="B2540" s="1" t="n">
        <v>44382</v>
      </c>
      <c r="C2540" s="1" t="n">
        <v>45182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4.1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34632-2021</t>
        </is>
      </c>
      <c r="B2541" s="1" t="n">
        <v>44382</v>
      </c>
      <c r="C2541" s="1" t="n">
        <v>45182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Övriga Aktiebolag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34841-2021</t>
        </is>
      </c>
      <c r="B2542" s="1" t="n">
        <v>44383</v>
      </c>
      <c r="C2542" s="1" t="n">
        <v>45182</v>
      </c>
      <c r="D2542" t="inlineStr">
        <is>
          <t>SÖDERMANLANDS LÄN</t>
        </is>
      </c>
      <c r="E2542" t="inlineStr">
        <is>
          <t>NYKÖPING</t>
        </is>
      </c>
      <c r="F2542" t="inlineStr">
        <is>
          <t>Holmen skog AB</t>
        </is>
      </c>
      <c r="G2542" t="n">
        <v>4.3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35367-2021</t>
        </is>
      </c>
      <c r="B2543" s="1" t="n">
        <v>44384</v>
      </c>
      <c r="C2543" s="1" t="n">
        <v>45182</v>
      </c>
      <c r="D2543" t="inlineStr">
        <is>
          <t>SÖDERMANLANDS LÄN</t>
        </is>
      </c>
      <c r="E2543" t="inlineStr">
        <is>
          <t>STRÄNGNÄS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35649-2021</t>
        </is>
      </c>
      <c r="B2544" s="1" t="n">
        <v>44384</v>
      </c>
      <c r="C2544" s="1" t="n">
        <v>45182</v>
      </c>
      <c r="D2544" t="inlineStr">
        <is>
          <t>SÖDERMANLANDS LÄN</t>
        </is>
      </c>
      <c r="E2544" t="inlineStr">
        <is>
          <t>FLEN</t>
        </is>
      </c>
      <c r="G2544" t="n">
        <v>2.8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35257-2021</t>
        </is>
      </c>
      <c r="B2545" s="1" t="n">
        <v>44384</v>
      </c>
      <c r="C2545" s="1" t="n">
        <v>45182</v>
      </c>
      <c r="D2545" t="inlineStr">
        <is>
          <t>SÖDERMANLANDS LÄN</t>
        </is>
      </c>
      <c r="E2545" t="inlineStr">
        <is>
          <t>FLEN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35192-2021</t>
        </is>
      </c>
      <c r="B2546" s="1" t="n">
        <v>44384</v>
      </c>
      <c r="C2546" s="1" t="n">
        <v>45182</v>
      </c>
      <c r="D2546" t="inlineStr">
        <is>
          <t>SÖDERMANLANDS LÄN</t>
        </is>
      </c>
      <c r="E2546" t="inlineStr">
        <is>
          <t>NYKÖPING</t>
        </is>
      </c>
      <c r="G2546" t="n">
        <v>13.1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35250-2021</t>
        </is>
      </c>
      <c r="B2547" s="1" t="n">
        <v>44384</v>
      </c>
      <c r="C2547" s="1" t="n">
        <v>45182</v>
      </c>
      <c r="D2547" t="inlineStr">
        <is>
          <t>SÖDERMANLANDS LÄN</t>
        </is>
      </c>
      <c r="E2547" t="inlineStr">
        <is>
          <t>FLEN</t>
        </is>
      </c>
      <c r="G2547" t="n">
        <v>2.2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35368-2021</t>
        </is>
      </c>
      <c r="B2548" s="1" t="n">
        <v>44384</v>
      </c>
      <c r="C2548" s="1" t="n">
        <v>45182</v>
      </c>
      <c r="D2548" t="inlineStr">
        <is>
          <t>SÖDERMANLANDS LÄN</t>
        </is>
      </c>
      <c r="E2548" t="inlineStr">
        <is>
          <t>STRÄNGNÄS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35369-2021</t>
        </is>
      </c>
      <c r="B2549" s="1" t="n">
        <v>44385</v>
      </c>
      <c r="C2549" s="1" t="n">
        <v>45182</v>
      </c>
      <c r="D2549" t="inlineStr">
        <is>
          <t>SÖDERMANLANDS LÄN</t>
        </is>
      </c>
      <c r="E2549" t="inlineStr">
        <is>
          <t>STRÄNGNÄS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35714-2021</t>
        </is>
      </c>
      <c r="B2550" s="1" t="n">
        <v>44386</v>
      </c>
      <c r="C2550" s="1" t="n">
        <v>45182</v>
      </c>
      <c r="D2550" t="inlineStr">
        <is>
          <t>SÖDERMANLANDS LÄN</t>
        </is>
      </c>
      <c r="E2550" t="inlineStr">
        <is>
          <t>FLEN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36133-2021</t>
        </is>
      </c>
      <c r="B2551" s="1" t="n">
        <v>44386</v>
      </c>
      <c r="C2551" s="1" t="n">
        <v>45182</v>
      </c>
      <c r="D2551" t="inlineStr">
        <is>
          <t>SÖDERMANLANDS LÄN</t>
        </is>
      </c>
      <c r="E2551" t="inlineStr">
        <is>
          <t>KATRINEHOLM</t>
        </is>
      </c>
      <c r="F2551" t="inlineStr">
        <is>
          <t>Övriga Aktiebolag</t>
        </is>
      </c>
      <c r="G2551" t="n">
        <v>8.9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35893-2021</t>
        </is>
      </c>
      <c r="B2552" s="1" t="n">
        <v>44387</v>
      </c>
      <c r="C2552" s="1" t="n">
        <v>45182</v>
      </c>
      <c r="D2552" t="inlineStr">
        <is>
          <t>SÖDERMANLANDS LÄN</t>
        </is>
      </c>
      <c r="E2552" t="inlineStr">
        <is>
          <t>VINGÅKER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36012-2021</t>
        </is>
      </c>
      <c r="B2553" s="1" t="n">
        <v>44389</v>
      </c>
      <c r="C2553" s="1" t="n">
        <v>45182</v>
      </c>
      <c r="D2553" t="inlineStr">
        <is>
          <t>SÖDERMANLANDS LÄN</t>
        </is>
      </c>
      <c r="E2553" t="inlineStr">
        <is>
          <t>VINGÅKER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36192-2021</t>
        </is>
      </c>
      <c r="B2554" s="1" t="n">
        <v>44389</v>
      </c>
      <c r="C2554" s="1" t="n">
        <v>45182</v>
      </c>
      <c r="D2554" t="inlineStr">
        <is>
          <t>SÖDERMANLANDS LÄN</t>
        </is>
      </c>
      <c r="E2554" t="inlineStr">
        <is>
          <t>VINGÅKER</t>
        </is>
      </c>
      <c r="G2554" t="n">
        <v>6.4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36013-2021</t>
        </is>
      </c>
      <c r="B2555" s="1" t="n">
        <v>44389</v>
      </c>
      <c r="C2555" s="1" t="n">
        <v>45182</v>
      </c>
      <c r="D2555" t="inlineStr">
        <is>
          <t>SÖDERMANLANDS LÄN</t>
        </is>
      </c>
      <c r="E2555" t="inlineStr">
        <is>
          <t>VINGÅKER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36009-2021</t>
        </is>
      </c>
      <c r="B2556" s="1" t="n">
        <v>44389</v>
      </c>
      <c r="C2556" s="1" t="n">
        <v>45182</v>
      </c>
      <c r="D2556" t="inlineStr">
        <is>
          <t>SÖDERMANLANDS LÄN</t>
        </is>
      </c>
      <c r="E2556" t="inlineStr">
        <is>
          <t>VINGÅKER</t>
        </is>
      </c>
      <c r="G2556" t="n">
        <v>1.6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36016-2021</t>
        </is>
      </c>
      <c r="B2557" s="1" t="n">
        <v>44389</v>
      </c>
      <c r="C2557" s="1" t="n">
        <v>45182</v>
      </c>
      <c r="D2557" t="inlineStr">
        <is>
          <t>SÖDERMANLANDS LÄN</t>
        </is>
      </c>
      <c r="E2557" t="inlineStr">
        <is>
          <t>VINGÅKER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36605-2021</t>
        </is>
      </c>
      <c r="B2558" s="1" t="n">
        <v>44391</v>
      </c>
      <c r="C2558" s="1" t="n">
        <v>45182</v>
      </c>
      <c r="D2558" t="inlineStr">
        <is>
          <t>SÖDERMANLANDS LÄN</t>
        </is>
      </c>
      <c r="E2558" t="inlineStr">
        <is>
          <t>KATRINEHOLM</t>
        </is>
      </c>
      <c r="G2558" t="n">
        <v>1.1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36608-2021</t>
        </is>
      </c>
      <c r="B2559" s="1" t="n">
        <v>44391</v>
      </c>
      <c r="C2559" s="1" t="n">
        <v>45182</v>
      </c>
      <c r="D2559" t="inlineStr">
        <is>
          <t>SÖDERMANLANDS LÄN</t>
        </is>
      </c>
      <c r="E2559" t="inlineStr">
        <is>
          <t>KATRINEHOLM</t>
        </is>
      </c>
      <c r="G2559" t="n">
        <v>1.7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36621-2021</t>
        </is>
      </c>
      <c r="B2560" s="1" t="n">
        <v>44391</v>
      </c>
      <c r="C2560" s="1" t="n">
        <v>45182</v>
      </c>
      <c r="D2560" t="inlineStr">
        <is>
          <t>SÖDERMANLANDS LÄN</t>
        </is>
      </c>
      <c r="E2560" t="inlineStr">
        <is>
          <t>GNESTA</t>
        </is>
      </c>
      <c r="G2560" t="n">
        <v>10.5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36964-2021</t>
        </is>
      </c>
      <c r="B2561" s="1" t="n">
        <v>44393</v>
      </c>
      <c r="C2561" s="1" t="n">
        <v>45182</v>
      </c>
      <c r="D2561" t="inlineStr">
        <is>
          <t>SÖDERMANLANDS LÄN</t>
        </is>
      </c>
      <c r="E2561" t="inlineStr">
        <is>
          <t>KATRINEHOLM</t>
        </is>
      </c>
      <c r="G2561" t="n">
        <v>3.5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36856-2021</t>
        </is>
      </c>
      <c r="B2562" s="1" t="n">
        <v>44393</v>
      </c>
      <c r="C2562" s="1" t="n">
        <v>45182</v>
      </c>
      <c r="D2562" t="inlineStr">
        <is>
          <t>SÖDERMANLANDS LÄN</t>
        </is>
      </c>
      <c r="E2562" t="inlineStr">
        <is>
          <t>KATRINEHOLM</t>
        </is>
      </c>
      <c r="G2562" t="n">
        <v>3.1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37223-2021</t>
        </is>
      </c>
      <c r="B2563" s="1" t="n">
        <v>44396</v>
      </c>
      <c r="C2563" s="1" t="n">
        <v>45182</v>
      </c>
      <c r="D2563" t="inlineStr">
        <is>
          <t>SÖDERMANLANDS LÄN</t>
        </is>
      </c>
      <c r="E2563" t="inlineStr">
        <is>
          <t>NYKÖPING</t>
        </is>
      </c>
      <c r="G2563" t="n">
        <v>1.9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37282-2021</t>
        </is>
      </c>
      <c r="B2564" s="1" t="n">
        <v>44397</v>
      </c>
      <c r="C2564" s="1" t="n">
        <v>45182</v>
      </c>
      <c r="D2564" t="inlineStr">
        <is>
          <t>SÖDERMANLANDS LÄN</t>
        </is>
      </c>
      <c r="E2564" t="inlineStr">
        <is>
          <t>GNESTA</t>
        </is>
      </c>
      <c r="G2564" t="n">
        <v>10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37385-2021</t>
        </is>
      </c>
      <c r="B2565" s="1" t="n">
        <v>44398</v>
      </c>
      <c r="C2565" s="1" t="n">
        <v>45182</v>
      </c>
      <c r="D2565" t="inlineStr">
        <is>
          <t>SÖDERMANLANDS LÄN</t>
        </is>
      </c>
      <c r="E2565" t="inlineStr">
        <is>
          <t>FLEN</t>
        </is>
      </c>
      <c r="F2565" t="inlineStr">
        <is>
          <t>Holmen skog AB</t>
        </is>
      </c>
      <c r="G2565" t="n">
        <v>0.3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37430-2021</t>
        </is>
      </c>
      <c r="B2566" s="1" t="n">
        <v>44398</v>
      </c>
      <c r="C2566" s="1" t="n">
        <v>45182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37429-2021</t>
        </is>
      </c>
      <c r="B2567" s="1" t="n">
        <v>44398</v>
      </c>
      <c r="C2567" s="1" t="n">
        <v>45182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1.6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37431-2021</t>
        </is>
      </c>
      <c r="B2568" s="1" t="n">
        <v>44398</v>
      </c>
      <c r="C2568" s="1" t="n">
        <v>45182</v>
      </c>
      <c r="D2568" t="inlineStr">
        <is>
          <t>SÖDERMANLANDS LÄN</t>
        </is>
      </c>
      <c r="E2568" t="inlineStr">
        <is>
          <t>STRÄNGNÄS</t>
        </is>
      </c>
      <c r="F2568" t="inlineStr">
        <is>
          <t>Sveaskog</t>
        </is>
      </c>
      <c r="G2568" t="n">
        <v>4.8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37908-2021</t>
        </is>
      </c>
      <c r="B2569" s="1" t="n">
        <v>44403</v>
      </c>
      <c r="C2569" s="1" t="n">
        <v>45182</v>
      </c>
      <c r="D2569" t="inlineStr">
        <is>
          <t>SÖDERMANLANDS LÄN</t>
        </is>
      </c>
      <c r="E2569" t="inlineStr">
        <is>
          <t>ESKILSTUNA</t>
        </is>
      </c>
      <c r="G2569" t="n">
        <v>1.2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38023-2021</t>
        </is>
      </c>
      <c r="B2570" s="1" t="n">
        <v>44404</v>
      </c>
      <c r="C2570" s="1" t="n">
        <v>45182</v>
      </c>
      <c r="D2570" t="inlineStr">
        <is>
          <t>SÖDERMANLANDS LÄN</t>
        </is>
      </c>
      <c r="E2570" t="inlineStr">
        <is>
          <t>NYKÖPING</t>
        </is>
      </c>
      <c r="F2570" t="inlineStr">
        <is>
          <t>Holmen skog AB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38136-2021</t>
        </is>
      </c>
      <c r="B2571" s="1" t="n">
        <v>44404</v>
      </c>
      <c r="C2571" s="1" t="n">
        <v>45182</v>
      </c>
      <c r="D2571" t="inlineStr">
        <is>
          <t>SÖDERMANLANDS LÄN</t>
        </is>
      </c>
      <c r="E2571" t="inlineStr">
        <is>
          <t>VINGÅKER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38008-2021</t>
        </is>
      </c>
      <c r="B2572" s="1" t="n">
        <v>44404</v>
      </c>
      <c r="C2572" s="1" t="n">
        <v>45182</v>
      </c>
      <c r="D2572" t="inlineStr">
        <is>
          <t>SÖDERMANLANDS LÄN</t>
        </is>
      </c>
      <c r="E2572" t="inlineStr">
        <is>
          <t>FLEN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38029-2021</t>
        </is>
      </c>
      <c r="B2573" s="1" t="n">
        <v>44404</v>
      </c>
      <c r="C2573" s="1" t="n">
        <v>45182</v>
      </c>
      <c r="D2573" t="inlineStr">
        <is>
          <t>SÖDERMANLANDS LÄN</t>
        </is>
      </c>
      <c r="E2573" t="inlineStr">
        <is>
          <t>NYKÖPING</t>
        </is>
      </c>
      <c r="F2573" t="inlineStr">
        <is>
          <t>Holmen skog AB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38158-2021</t>
        </is>
      </c>
      <c r="B2574" s="1" t="n">
        <v>44405</v>
      </c>
      <c r="C2574" s="1" t="n">
        <v>45182</v>
      </c>
      <c r="D2574" t="inlineStr">
        <is>
          <t>SÖDERMANLANDS LÄN</t>
        </is>
      </c>
      <c r="E2574" t="inlineStr">
        <is>
          <t>KATRINEHOLM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38263-2021</t>
        </is>
      </c>
      <c r="B2575" s="1" t="n">
        <v>44405</v>
      </c>
      <c r="C2575" s="1" t="n">
        <v>45182</v>
      </c>
      <c r="D2575" t="inlineStr">
        <is>
          <t>SÖDERMANLANDS LÄN</t>
        </is>
      </c>
      <c r="E2575" t="inlineStr">
        <is>
          <t>ESKILSTUNA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38339-2021</t>
        </is>
      </c>
      <c r="B2576" s="1" t="n">
        <v>44406</v>
      </c>
      <c r="C2576" s="1" t="n">
        <v>45182</v>
      </c>
      <c r="D2576" t="inlineStr">
        <is>
          <t>SÖDERMANLANDS LÄN</t>
        </is>
      </c>
      <c r="E2576" t="inlineStr">
        <is>
          <t>STRÄNGNÄS</t>
        </is>
      </c>
      <c r="G2576" t="n">
        <v>13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38308-2021</t>
        </is>
      </c>
      <c r="B2577" s="1" t="n">
        <v>44406</v>
      </c>
      <c r="C2577" s="1" t="n">
        <v>45182</v>
      </c>
      <c r="D2577" t="inlineStr">
        <is>
          <t>SÖDERMANLANDS LÄN</t>
        </is>
      </c>
      <c r="E2577" t="inlineStr">
        <is>
          <t>KATRINEHOLM</t>
        </is>
      </c>
      <c r="G2577" t="n">
        <v>1.7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38332-2021</t>
        </is>
      </c>
      <c r="B2578" s="1" t="n">
        <v>44406</v>
      </c>
      <c r="C2578" s="1" t="n">
        <v>45182</v>
      </c>
      <c r="D2578" t="inlineStr">
        <is>
          <t>SÖDERMANLANDS LÄN</t>
        </is>
      </c>
      <c r="E2578" t="inlineStr">
        <is>
          <t>STRÄNGNÄS</t>
        </is>
      </c>
      <c r="G2578" t="n">
        <v>2.6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38530-2021</t>
        </is>
      </c>
      <c r="B2579" s="1" t="n">
        <v>44407</v>
      </c>
      <c r="C2579" s="1" t="n">
        <v>45182</v>
      </c>
      <c r="D2579" t="inlineStr">
        <is>
          <t>SÖDERMANLANDS LÄN</t>
        </is>
      </c>
      <c r="E2579" t="inlineStr">
        <is>
          <t>VINGÅKER</t>
        </is>
      </c>
      <c r="G2579" t="n">
        <v>8.699999999999999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38471-2021</t>
        </is>
      </c>
      <c r="B2580" s="1" t="n">
        <v>44407</v>
      </c>
      <c r="C2580" s="1" t="n">
        <v>45182</v>
      </c>
      <c r="D2580" t="inlineStr">
        <is>
          <t>SÖDERMANLANDS LÄN</t>
        </is>
      </c>
      <c r="E2580" t="inlineStr">
        <is>
          <t>KATRINEHOLM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38534-2021</t>
        </is>
      </c>
      <c r="B2581" s="1" t="n">
        <v>44407</v>
      </c>
      <c r="C2581" s="1" t="n">
        <v>45182</v>
      </c>
      <c r="D2581" t="inlineStr">
        <is>
          <t>SÖDERMANLANDS LÄN</t>
        </is>
      </c>
      <c r="E2581" t="inlineStr">
        <is>
          <t>VINGÅKER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38849-2021</t>
        </is>
      </c>
      <c r="B2582" s="1" t="n">
        <v>44410</v>
      </c>
      <c r="C2582" s="1" t="n">
        <v>45182</v>
      </c>
      <c r="D2582" t="inlineStr">
        <is>
          <t>SÖDERMANLANDS LÄN</t>
        </is>
      </c>
      <c r="E2582" t="inlineStr">
        <is>
          <t>ESKILSTUNA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38866-2021</t>
        </is>
      </c>
      <c r="B2583" s="1" t="n">
        <v>44410</v>
      </c>
      <c r="C2583" s="1" t="n">
        <v>45182</v>
      </c>
      <c r="D2583" t="inlineStr">
        <is>
          <t>SÖDERMANLANDS LÄN</t>
        </is>
      </c>
      <c r="E2583" t="inlineStr">
        <is>
          <t>ESKILSTUNA</t>
        </is>
      </c>
      <c r="G2583" t="n">
        <v>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38824-2021</t>
        </is>
      </c>
      <c r="B2584" s="1" t="n">
        <v>44410</v>
      </c>
      <c r="C2584" s="1" t="n">
        <v>45182</v>
      </c>
      <c r="D2584" t="inlineStr">
        <is>
          <t>SÖDERMANLANDS LÄN</t>
        </is>
      </c>
      <c r="E2584" t="inlineStr">
        <is>
          <t>ESKILSTUNA</t>
        </is>
      </c>
      <c r="G2584" t="n">
        <v>1.6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38826-2021</t>
        </is>
      </c>
      <c r="B2585" s="1" t="n">
        <v>44411</v>
      </c>
      <c r="C2585" s="1" t="n">
        <v>45182</v>
      </c>
      <c r="D2585" t="inlineStr">
        <is>
          <t>SÖDERMANLANDS LÄN</t>
        </is>
      </c>
      <c r="E2585" t="inlineStr">
        <is>
          <t>KATRINEHOLM</t>
        </is>
      </c>
      <c r="G2585" t="n">
        <v>3.1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38842-2021</t>
        </is>
      </c>
      <c r="B2586" s="1" t="n">
        <v>44411</v>
      </c>
      <c r="C2586" s="1" t="n">
        <v>45182</v>
      </c>
      <c r="D2586" t="inlineStr">
        <is>
          <t>SÖDERMANLANDS LÄN</t>
        </is>
      </c>
      <c r="E2586" t="inlineStr">
        <is>
          <t>FLEN</t>
        </is>
      </c>
      <c r="G2586" t="n">
        <v>10.7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38835-2021</t>
        </is>
      </c>
      <c r="B2587" s="1" t="n">
        <v>44411</v>
      </c>
      <c r="C2587" s="1" t="n">
        <v>45182</v>
      </c>
      <c r="D2587" t="inlineStr">
        <is>
          <t>SÖDERMANLANDS LÄN</t>
        </is>
      </c>
      <c r="E2587" t="inlineStr">
        <is>
          <t>KATRINEHOLM</t>
        </is>
      </c>
      <c r="G2587" t="n">
        <v>10.2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39355-2021</t>
        </is>
      </c>
      <c r="B2588" s="1" t="n">
        <v>44412</v>
      </c>
      <c r="C2588" s="1" t="n">
        <v>45182</v>
      </c>
      <c r="D2588" t="inlineStr">
        <is>
          <t>SÖDERMANLANDS LÄN</t>
        </is>
      </c>
      <c r="E2588" t="inlineStr">
        <is>
          <t>VINGÅKER</t>
        </is>
      </c>
      <c r="G2588" t="n">
        <v>1.8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39175-2021</t>
        </is>
      </c>
      <c r="B2589" s="1" t="n">
        <v>44412</v>
      </c>
      <c r="C2589" s="1" t="n">
        <v>45182</v>
      </c>
      <c r="D2589" t="inlineStr">
        <is>
          <t>SÖDERMANLANDS LÄN</t>
        </is>
      </c>
      <c r="E2589" t="inlineStr">
        <is>
          <t>STRÄNGNÄS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39001-2021</t>
        </is>
      </c>
      <c r="B2590" s="1" t="n">
        <v>44412</v>
      </c>
      <c r="C2590" s="1" t="n">
        <v>45182</v>
      </c>
      <c r="D2590" t="inlineStr">
        <is>
          <t>SÖDERMANLANDS LÄN</t>
        </is>
      </c>
      <c r="E2590" t="inlineStr">
        <is>
          <t>KATRINEHOLM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39010-2021</t>
        </is>
      </c>
      <c r="B2591" s="1" t="n">
        <v>44412</v>
      </c>
      <c r="C2591" s="1" t="n">
        <v>45182</v>
      </c>
      <c r="D2591" t="inlineStr">
        <is>
          <t>SÖDERMANLANDS LÄN</t>
        </is>
      </c>
      <c r="E2591" t="inlineStr">
        <is>
          <t>KATRINEHOLM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39018-2021</t>
        </is>
      </c>
      <c r="B2592" s="1" t="n">
        <v>44412</v>
      </c>
      <c r="C2592" s="1" t="n">
        <v>45182</v>
      </c>
      <c r="D2592" t="inlineStr">
        <is>
          <t>SÖDERMANLANDS LÄN</t>
        </is>
      </c>
      <c r="E2592" t="inlineStr">
        <is>
          <t>GNESTA</t>
        </is>
      </c>
      <c r="G2592" t="n">
        <v>1.7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39343-2021</t>
        </is>
      </c>
      <c r="B2593" s="1" t="n">
        <v>44412</v>
      </c>
      <c r="C2593" s="1" t="n">
        <v>45182</v>
      </c>
      <c r="D2593" t="inlineStr">
        <is>
          <t>SÖDERMANLANDS LÄN</t>
        </is>
      </c>
      <c r="E2593" t="inlineStr">
        <is>
          <t>VINGÅKER</t>
        </is>
      </c>
      <c r="G2593" t="n">
        <v>1.1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39188-2021</t>
        </is>
      </c>
      <c r="B2594" s="1" t="n">
        <v>44413</v>
      </c>
      <c r="C2594" s="1" t="n">
        <v>45182</v>
      </c>
      <c r="D2594" t="inlineStr">
        <is>
          <t>SÖDERMANLANDS LÄN</t>
        </is>
      </c>
      <c r="E2594" t="inlineStr">
        <is>
          <t>FLEN</t>
        </is>
      </c>
      <c r="F2594" t="inlineStr">
        <is>
          <t>Holmen skog AB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39306-2021</t>
        </is>
      </c>
      <c r="B2595" s="1" t="n">
        <v>44413</v>
      </c>
      <c r="C2595" s="1" t="n">
        <v>45182</v>
      </c>
      <c r="D2595" t="inlineStr">
        <is>
          <t>SÖDERMANLANDS LÄN</t>
        </is>
      </c>
      <c r="E2595" t="inlineStr">
        <is>
          <t>NYKÖPING</t>
        </is>
      </c>
      <c r="F2595" t="inlineStr">
        <is>
          <t>Holmen skog AB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39461-2021</t>
        </is>
      </c>
      <c r="B2596" s="1" t="n">
        <v>44414</v>
      </c>
      <c r="C2596" s="1" t="n">
        <v>45182</v>
      </c>
      <c r="D2596" t="inlineStr">
        <is>
          <t>SÖDERMANLANDS LÄN</t>
        </is>
      </c>
      <c r="E2596" t="inlineStr">
        <is>
          <t>GNESTA</t>
        </is>
      </c>
      <c r="G2596" t="n">
        <v>3.1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39380-2021</t>
        </is>
      </c>
      <c r="B2597" s="1" t="n">
        <v>44414</v>
      </c>
      <c r="C2597" s="1" t="n">
        <v>45182</v>
      </c>
      <c r="D2597" t="inlineStr">
        <is>
          <t>SÖDERMANLANDS LÄN</t>
        </is>
      </c>
      <c r="E2597" t="inlineStr">
        <is>
          <t>STRÄNGNÄS</t>
        </is>
      </c>
      <c r="F2597" t="inlineStr">
        <is>
          <t>Övriga Aktiebolag</t>
        </is>
      </c>
      <c r="G2597" t="n">
        <v>5.6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39456-2021</t>
        </is>
      </c>
      <c r="B2598" s="1" t="n">
        <v>44414</v>
      </c>
      <c r="C2598" s="1" t="n">
        <v>45182</v>
      </c>
      <c r="D2598" t="inlineStr">
        <is>
          <t>SÖDERMANLANDS LÄN</t>
        </is>
      </c>
      <c r="E2598" t="inlineStr">
        <is>
          <t>GNESTA</t>
        </is>
      </c>
      <c r="G2598" t="n">
        <v>2.7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39518-2021</t>
        </is>
      </c>
      <c r="B2599" s="1" t="n">
        <v>44414</v>
      </c>
      <c r="C2599" s="1" t="n">
        <v>45182</v>
      </c>
      <c r="D2599" t="inlineStr">
        <is>
          <t>SÖDERMANLANDS LÄN</t>
        </is>
      </c>
      <c r="E2599" t="inlineStr">
        <is>
          <t>FLEN</t>
        </is>
      </c>
      <c r="G2599" t="n">
        <v>0.7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39513-2021</t>
        </is>
      </c>
      <c r="B2600" s="1" t="n">
        <v>44414</v>
      </c>
      <c r="C2600" s="1" t="n">
        <v>45182</v>
      </c>
      <c r="D2600" t="inlineStr">
        <is>
          <t>SÖDERMANLANDS LÄN</t>
        </is>
      </c>
      <c r="E2600" t="inlineStr">
        <is>
          <t>FLEN</t>
        </is>
      </c>
      <c r="G2600" t="n">
        <v>0.3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39527-2021</t>
        </is>
      </c>
      <c r="B2601" s="1" t="n">
        <v>44415</v>
      </c>
      <c r="C2601" s="1" t="n">
        <v>45182</v>
      </c>
      <c r="D2601" t="inlineStr">
        <is>
          <t>SÖDERMANLANDS LÄN</t>
        </is>
      </c>
      <c r="E2601" t="inlineStr">
        <is>
          <t>KATRINEHOLM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39539-2021</t>
        </is>
      </c>
      <c r="B2602" s="1" t="n">
        <v>44416</v>
      </c>
      <c r="C2602" s="1" t="n">
        <v>45182</v>
      </c>
      <c r="D2602" t="inlineStr">
        <is>
          <t>SÖDERMANLANDS LÄN</t>
        </is>
      </c>
      <c r="E2602" t="inlineStr">
        <is>
          <t>NYKÖPING</t>
        </is>
      </c>
      <c r="G2602" t="n">
        <v>0.4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39538-2021</t>
        </is>
      </c>
      <c r="B2603" s="1" t="n">
        <v>44416</v>
      </c>
      <c r="C2603" s="1" t="n">
        <v>45182</v>
      </c>
      <c r="D2603" t="inlineStr">
        <is>
          <t>SÖDERMANLANDS LÄN</t>
        </is>
      </c>
      <c r="E2603" t="inlineStr">
        <is>
          <t>NYKÖPING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39549-2021</t>
        </is>
      </c>
      <c r="B2604" s="1" t="n">
        <v>44416</v>
      </c>
      <c r="C2604" s="1" t="n">
        <v>45182</v>
      </c>
      <c r="D2604" t="inlineStr">
        <is>
          <t>SÖDERMANLANDS LÄN</t>
        </is>
      </c>
      <c r="E2604" t="inlineStr">
        <is>
          <t>KATRINEHOLM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39542-2021</t>
        </is>
      </c>
      <c r="B2605" s="1" t="n">
        <v>44416</v>
      </c>
      <c r="C2605" s="1" t="n">
        <v>45182</v>
      </c>
      <c r="D2605" t="inlineStr">
        <is>
          <t>SÖDERMANLANDS LÄN</t>
        </is>
      </c>
      <c r="E2605" t="inlineStr">
        <is>
          <t>NYKÖPING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39540-2021</t>
        </is>
      </c>
      <c r="B2606" s="1" t="n">
        <v>44416</v>
      </c>
      <c r="C2606" s="1" t="n">
        <v>45182</v>
      </c>
      <c r="D2606" t="inlineStr">
        <is>
          <t>SÖDERMANLANDS LÄN</t>
        </is>
      </c>
      <c r="E2606" t="inlineStr">
        <is>
          <t>NYKÖPING</t>
        </is>
      </c>
      <c r="G2606" t="n">
        <v>4.7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39862-2021</t>
        </is>
      </c>
      <c r="B2607" s="1" t="n">
        <v>44417</v>
      </c>
      <c r="C2607" s="1" t="n">
        <v>45182</v>
      </c>
      <c r="D2607" t="inlineStr">
        <is>
          <t>SÖDERMANLANDS LÄN</t>
        </is>
      </c>
      <c r="E2607" t="inlineStr">
        <is>
          <t>KATRINEHOLM</t>
        </is>
      </c>
      <c r="G2607" t="n">
        <v>8.699999999999999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39978-2021</t>
        </is>
      </c>
      <c r="B2608" s="1" t="n">
        <v>44418</v>
      </c>
      <c r="C2608" s="1" t="n">
        <v>45182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8.4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40182-2021</t>
        </is>
      </c>
      <c r="B2609" s="1" t="n">
        <v>44418</v>
      </c>
      <c r="C2609" s="1" t="n">
        <v>45182</v>
      </c>
      <c r="D2609" t="inlineStr">
        <is>
          <t>SÖDERMANLANDS LÄN</t>
        </is>
      </c>
      <c r="E2609" t="inlineStr">
        <is>
          <t>VINGÅKER</t>
        </is>
      </c>
      <c r="F2609" t="inlineStr">
        <is>
          <t>Övriga Aktiebolag</t>
        </is>
      </c>
      <c r="G2609" t="n">
        <v>12.5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40025-2021</t>
        </is>
      </c>
      <c r="B2610" s="1" t="n">
        <v>44418</v>
      </c>
      <c r="C2610" s="1" t="n">
        <v>45182</v>
      </c>
      <c r="D2610" t="inlineStr">
        <is>
          <t>SÖDERMANLANDS LÄN</t>
        </is>
      </c>
      <c r="E2610" t="inlineStr">
        <is>
          <t>NYKÖPING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40169-2021</t>
        </is>
      </c>
      <c r="B2611" s="1" t="n">
        <v>44418</v>
      </c>
      <c r="C2611" s="1" t="n">
        <v>45182</v>
      </c>
      <c r="D2611" t="inlineStr">
        <is>
          <t>SÖDERMANLANDS LÄN</t>
        </is>
      </c>
      <c r="E2611" t="inlineStr">
        <is>
          <t>TROSA</t>
        </is>
      </c>
      <c r="G2611" t="n">
        <v>0.9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40289-2021</t>
        </is>
      </c>
      <c r="B2612" s="1" t="n">
        <v>44419</v>
      </c>
      <c r="C2612" s="1" t="n">
        <v>45182</v>
      </c>
      <c r="D2612" t="inlineStr">
        <is>
          <t>SÖDERMANLANDS LÄN</t>
        </is>
      </c>
      <c r="E2612" t="inlineStr">
        <is>
          <t>KATRINEHOLM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40400-2021</t>
        </is>
      </c>
      <c r="B2613" s="1" t="n">
        <v>44419</v>
      </c>
      <c r="C2613" s="1" t="n">
        <v>45182</v>
      </c>
      <c r="D2613" t="inlineStr">
        <is>
          <t>SÖDERMANLANDS LÄN</t>
        </is>
      </c>
      <c r="E2613" t="inlineStr">
        <is>
          <t>KATRINEHOLM</t>
        </is>
      </c>
      <c r="G2613" t="n">
        <v>12.2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40291-2021</t>
        </is>
      </c>
      <c r="B2614" s="1" t="n">
        <v>44419</v>
      </c>
      <c r="C2614" s="1" t="n">
        <v>45182</v>
      </c>
      <c r="D2614" t="inlineStr">
        <is>
          <t>SÖDERMANLANDS LÄN</t>
        </is>
      </c>
      <c r="E2614" t="inlineStr">
        <is>
          <t>NYKÖPING</t>
        </is>
      </c>
      <c r="G2614" t="n">
        <v>1.1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40395-2021</t>
        </is>
      </c>
      <c r="B2615" s="1" t="n">
        <v>44419</v>
      </c>
      <c r="C2615" s="1" t="n">
        <v>45182</v>
      </c>
      <c r="D2615" t="inlineStr">
        <is>
          <t>SÖDERMANLANDS LÄN</t>
        </is>
      </c>
      <c r="E2615" t="inlineStr">
        <is>
          <t>GNESTA</t>
        </is>
      </c>
      <c r="G2615" t="n">
        <v>2.6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40680-2021</t>
        </is>
      </c>
      <c r="B2616" s="1" t="n">
        <v>44420</v>
      </c>
      <c r="C2616" s="1" t="n">
        <v>45182</v>
      </c>
      <c r="D2616" t="inlineStr">
        <is>
          <t>SÖDERMANLANDS LÄN</t>
        </is>
      </c>
      <c r="E2616" t="inlineStr">
        <is>
          <t>NYKÖPING</t>
        </is>
      </c>
      <c r="G2616" t="n">
        <v>11.1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40685-2021</t>
        </is>
      </c>
      <c r="B2617" s="1" t="n">
        <v>44420</v>
      </c>
      <c r="C2617" s="1" t="n">
        <v>45182</v>
      </c>
      <c r="D2617" t="inlineStr">
        <is>
          <t>SÖDERMANLANDS LÄN</t>
        </is>
      </c>
      <c r="E2617" t="inlineStr">
        <is>
          <t>NYKÖPING</t>
        </is>
      </c>
      <c r="G2617" t="n">
        <v>4.9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40866-2021</t>
        </is>
      </c>
      <c r="B2618" s="1" t="n">
        <v>44421</v>
      </c>
      <c r="C2618" s="1" t="n">
        <v>45182</v>
      </c>
      <c r="D2618" t="inlineStr">
        <is>
          <t>SÖDERMANLANDS LÄN</t>
        </is>
      </c>
      <c r="E2618" t="inlineStr">
        <is>
          <t>NYKÖPING</t>
        </is>
      </c>
      <c r="G2618" t="n">
        <v>4.8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40796-2021</t>
        </is>
      </c>
      <c r="B2619" s="1" t="n">
        <v>44421</v>
      </c>
      <c r="C2619" s="1" t="n">
        <v>45182</v>
      </c>
      <c r="D2619" t="inlineStr">
        <is>
          <t>SÖDERMANLANDS LÄN</t>
        </is>
      </c>
      <c r="E2619" t="inlineStr">
        <is>
          <t>FLEN</t>
        </is>
      </c>
      <c r="G2619" t="n">
        <v>10.8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40831-2021</t>
        </is>
      </c>
      <c r="B2620" s="1" t="n">
        <v>44421</v>
      </c>
      <c r="C2620" s="1" t="n">
        <v>45182</v>
      </c>
      <c r="D2620" t="inlineStr">
        <is>
          <t>SÖDERMANLANDS LÄN</t>
        </is>
      </c>
      <c r="E2620" t="inlineStr">
        <is>
          <t>VINGÅKER</t>
        </is>
      </c>
      <c r="G2620" t="n">
        <v>1.4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40814-2021</t>
        </is>
      </c>
      <c r="B2621" s="1" t="n">
        <v>44421</v>
      </c>
      <c r="C2621" s="1" t="n">
        <v>45182</v>
      </c>
      <c r="D2621" t="inlineStr">
        <is>
          <t>SÖDERMANLANDS LÄN</t>
        </is>
      </c>
      <c r="E2621" t="inlineStr">
        <is>
          <t>STRÄNGNÄS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40961-2021</t>
        </is>
      </c>
      <c r="B2622" s="1" t="n">
        <v>44421</v>
      </c>
      <c r="C2622" s="1" t="n">
        <v>45182</v>
      </c>
      <c r="D2622" t="inlineStr">
        <is>
          <t>SÖDERMANLANDS LÄN</t>
        </is>
      </c>
      <c r="E2622" t="inlineStr">
        <is>
          <t>FLEN</t>
        </is>
      </c>
      <c r="F2622" t="inlineStr">
        <is>
          <t>Holmen skog AB</t>
        </is>
      </c>
      <c r="G2622" t="n">
        <v>0.2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41150-2021</t>
        </is>
      </c>
      <c r="B2623" s="1" t="n">
        <v>44423</v>
      </c>
      <c r="C2623" s="1" t="n">
        <v>45182</v>
      </c>
      <c r="D2623" t="inlineStr">
        <is>
          <t>SÖDERMANLANDS LÄN</t>
        </is>
      </c>
      <c r="E2623" t="inlineStr">
        <is>
          <t>FLEN</t>
        </is>
      </c>
      <c r="G2623" t="n">
        <v>0.3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41104-2021</t>
        </is>
      </c>
      <c r="B2624" s="1" t="n">
        <v>44423</v>
      </c>
      <c r="C2624" s="1" t="n">
        <v>45182</v>
      </c>
      <c r="D2624" t="inlineStr">
        <is>
          <t>SÖDERMANLANDS LÄN</t>
        </is>
      </c>
      <c r="E2624" t="inlineStr">
        <is>
          <t>GNESTA</t>
        </is>
      </c>
      <c r="G2624" t="n">
        <v>11.2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41141-2021</t>
        </is>
      </c>
      <c r="B2625" s="1" t="n">
        <v>44423</v>
      </c>
      <c r="C2625" s="1" t="n">
        <v>45182</v>
      </c>
      <c r="D2625" t="inlineStr">
        <is>
          <t>SÖDERMANLANDS LÄN</t>
        </is>
      </c>
      <c r="E2625" t="inlineStr">
        <is>
          <t>KATRINEHOLM</t>
        </is>
      </c>
      <c r="G2625" t="n">
        <v>1.8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41148-2021</t>
        </is>
      </c>
      <c r="B2626" s="1" t="n">
        <v>44423</v>
      </c>
      <c r="C2626" s="1" t="n">
        <v>45182</v>
      </c>
      <c r="D2626" t="inlineStr">
        <is>
          <t>SÖDERMANLANDS LÄN</t>
        </is>
      </c>
      <c r="E2626" t="inlineStr">
        <is>
          <t>FLEN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41103-2021</t>
        </is>
      </c>
      <c r="B2627" s="1" t="n">
        <v>44423</v>
      </c>
      <c r="C2627" s="1" t="n">
        <v>45182</v>
      </c>
      <c r="D2627" t="inlineStr">
        <is>
          <t>SÖDERMANLANDS LÄN</t>
        </is>
      </c>
      <c r="E2627" t="inlineStr">
        <is>
          <t>GNESTA</t>
        </is>
      </c>
      <c r="G2627" t="n">
        <v>1.8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41409-2021</t>
        </is>
      </c>
      <c r="B2628" s="1" t="n">
        <v>44424</v>
      </c>
      <c r="C2628" s="1" t="n">
        <v>45182</v>
      </c>
      <c r="D2628" t="inlineStr">
        <is>
          <t>SÖDERMANLANDS LÄN</t>
        </is>
      </c>
      <c r="E2628" t="inlineStr">
        <is>
          <t>NYKÖPING</t>
        </is>
      </c>
      <c r="F2628" t="inlineStr">
        <is>
          <t>Holmen skog AB</t>
        </is>
      </c>
      <c r="G2628" t="n">
        <v>5.4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41437-2021</t>
        </is>
      </c>
      <c r="B2629" s="1" t="n">
        <v>44424</v>
      </c>
      <c r="C2629" s="1" t="n">
        <v>45182</v>
      </c>
      <c r="D2629" t="inlineStr">
        <is>
          <t>SÖDERMANLANDS LÄN</t>
        </is>
      </c>
      <c r="E2629" t="inlineStr">
        <is>
          <t>NYKÖPING</t>
        </is>
      </c>
      <c r="G2629" t="n">
        <v>9.699999999999999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41709-2021</t>
        </is>
      </c>
      <c r="B2630" s="1" t="n">
        <v>44425</v>
      </c>
      <c r="C2630" s="1" t="n">
        <v>45182</v>
      </c>
      <c r="D2630" t="inlineStr">
        <is>
          <t>SÖDERMANLANDS LÄN</t>
        </is>
      </c>
      <c r="E2630" t="inlineStr">
        <is>
          <t>FLEN</t>
        </is>
      </c>
      <c r="G2630" t="n">
        <v>4.8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41721-2021</t>
        </is>
      </c>
      <c r="B2631" s="1" t="n">
        <v>44425</v>
      </c>
      <c r="C2631" s="1" t="n">
        <v>45182</v>
      </c>
      <c r="D2631" t="inlineStr">
        <is>
          <t>SÖDERMANLANDS LÄN</t>
        </is>
      </c>
      <c r="E2631" t="inlineStr">
        <is>
          <t>NYKÖPING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41735-2021</t>
        </is>
      </c>
      <c r="B2632" s="1" t="n">
        <v>44425</v>
      </c>
      <c r="C2632" s="1" t="n">
        <v>45182</v>
      </c>
      <c r="D2632" t="inlineStr">
        <is>
          <t>SÖDERMANLANDS LÄN</t>
        </is>
      </c>
      <c r="E2632" t="inlineStr">
        <is>
          <t>NYKÖPING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41646-2021</t>
        </is>
      </c>
      <c r="B2633" s="1" t="n">
        <v>44425</v>
      </c>
      <c r="C2633" s="1" t="n">
        <v>45182</v>
      </c>
      <c r="D2633" t="inlineStr">
        <is>
          <t>SÖDERMANLANDS LÄN</t>
        </is>
      </c>
      <c r="E2633" t="inlineStr">
        <is>
          <t>NYKÖPING</t>
        </is>
      </c>
      <c r="G2633" t="n">
        <v>7.7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41715-2021</t>
        </is>
      </c>
      <c r="B2634" s="1" t="n">
        <v>44425</v>
      </c>
      <c r="C2634" s="1" t="n">
        <v>45182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41723-2021</t>
        </is>
      </c>
      <c r="B2635" s="1" t="n">
        <v>44425</v>
      </c>
      <c r="C2635" s="1" t="n">
        <v>45182</v>
      </c>
      <c r="D2635" t="inlineStr">
        <is>
          <t>SÖDERMANLANDS LÄN</t>
        </is>
      </c>
      <c r="E2635" t="inlineStr">
        <is>
          <t>NYKÖPING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41737-2021</t>
        </is>
      </c>
      <c r="B2636" s="1" t="n">
        <v>44425</v>
      </c>
      <c r="C2636" s="1" t="n">
        <v>45182</v>
      </c>
      <c r="D2636" t="inlineStr">
        <is>
          <t>SÖDERMANLANDS LÄN</t>
        </is>
      </c>
      <c r="E2636" t="inlineStr">
        <is>
          <t>NYKÖPING</t>
        </is>
      </c>
      <c r="G2636" t="n">
        <v>1.3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41894-2021</t>
        </is>
      </c>
      <c r="B2637" s="1" t="n">
        <v>44425</v>
      </c>
      <c r="C2637" s="1" t="n">
        <v>45182</v>
      </c>
      <c r="D2637" t="inlineStr">
        <is>
          <t>SÖDERMANLANDS LÄN</t>
        </is>
      </c>
      <c r="E2637" t="inlineStr">
        <is>
          <t>FLEN</t>
        </is>
      </c>
      <c r="G2637" t="n">
        <v>1.4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41968-2021</t>
        </is>
      </c>
      <c r="B2638" s="1" t="n">
        <v>44425</v>
      </c>
      <c r="C2638" s="1" t="n">
        <v>45182</v>
      </c>
      <c r="D2638" t="inlineStr">
        <is>
          <t>SÖDERMANLANDS LÄN</t>
        </is>
      </c>
      <c r="E2638" t="inlineStr">
        <is>
          <t>GNESTA</t>
        </is>
      </c>
      <c r="G2638" t="n">
        <v>4.5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41719-2021</t>
        </is>
      </c>
      <c r="B2639" s="1" t="n">
        <v>44425</v>
      </c>
      <c r="C2639" s="1" t="n">
        <v>45182</v>
      </c>
      <c r="D2639" t="inlineStr">
        <is>
          <t>SÖDERMANLANDS LÄN</t>
        </is>
      </c>
      <c r="E2639" t="inlineStr">
        <is>
          <t>NYKÖPING</t>
        </is>
      </c>
      <c r="G2639" t="n">
        <v>2.8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41939-2021</t>
        </is>
      </c>
      <c r="B2640" s="1" t="n">
        <v>44425</v>
      </c>
      <c r="C2640" s="1" t="n">
        <v>45182</v>
      </c>
      <c r="D2640" t="inlineStr">
        <is>
          <t>SÖDERMANLANDS LÄN</t>
        </is>
      </c>
      <c r="E2640" t="inlineStr">
        <is>
          <t>VINGÅKER</t>
        </is>
      </c>
      <c r="G2640" t="n">
        <v>4.6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41597-2021</t>
        </is>
      </c>
      <c r="B2641" s="1" t="n">
        <v>44425</v>
      </c>
      <c r="C2641" s="1" t="n">
        <v>45182</v>
      </c>
      <c r="D2641" t="inlineStr">
        <is>
          <t>SÖDERMANLANDS LÄN</t>
        </is>
      </c>
      <c r="E2641" t="inlineStr">
        <is>
          <t>FLEN</t>
        </is>
      </c>
      <c r="G2641" t="n">
        <v>1.5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41728-2021</t>
        </is>
      </c>
      <c r="B2642" s="1" t="n">
        <v>44425</v>
      </c>
      <c r="C2642" s="1" t="n">
        <v>45182</v>
      </c>
      <c r="D2642" t="inlineStr">
        <is>
          <t>SÖDERMANLANDS LÄN</t>
        </is>
      </c>
      <c r="E2642" t="inlineStr">
        <is>
          <t>GNESTA</t>
        </is>
      </c>
      <c r="G2642" t="n">
        <v>8.1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41748-2021</t>
        </is>
      </c>
      <c r="B2643" s="1" t="n">
        <v>44425</v>
      </c>
      <c r="C2643" s="1" t="n">
        <v>45182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41800-2021</t>
        </is>
      </c>
      <c r="B2644" s="1" t="n">
        <v>44425</v>
      </c>
      <c r="C2644" s="1" t="n">
        <v>45182</v>
      </c>
      <c r="D2644" t="inlineStr">
        <is>
          <t>SÖDERMANLANDS LÄN</t>
        </is>
      </c>
      <c r="E2644" t="inlineStr">
        <is>
          <t>FLEN</t>
        </is>
      </c>
      <c r="G2644" t="n">
        <v>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41920-2021</t>
        </is>
      </c>
      <c r="B2645" s="1" t="n">
        <v>44425</v>
      </c>
      <c r="C2645" s="1" t="n">
        <v>45182</v>
      </c>
      <c r="D2645" t="inlineStr">
        <is>
          <t>SÖDERMANLANDS LÄN</t>
        </is>
      </c>
      <c r="E2645" t="inlineStr">
        <is>
          <t>VINGÅKER</t>
        </is>
      </c>
      <c r="G2645" t="n">
        <v>2.3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41914-2021</t>
        </is>
      </c>
      <c r="B2646" s="1" t="n">
        <v>44426</v>
      </c>
      <c r="C2646" s="1" t="n">
        <v>45182</v>
      </c>
      <c r="D2646" t="inlineStr">
        <is>
          <t>SÖDERMANLANDS LÄN</t>
        </is>
      </c>
      <c r="E2646" t="inlineStr">
        <is>
          <t>GNESTA</t>
        </is>
      </c>
      <c r="G2646" t="n">
        <v>0.7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42002-2021</t>
        </is>
      </c>
      <c r="B2647" s="1" t="n">
        <v>44426</v>
      </c>
      <c r="C2647" s="1" t="n">
        <v>45182</v>
      </c>
      <c r="D2647" t="inlineStr">
        <is>
          <t>SÖDERMANLANDS LÄN</t>
        </is>
      </c>
      <c r="E2647" t="inlineStr">
        <is>
          <t>ESKILSTUNA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41863-2021</t>
        </is>
      </c>
      <c r="B2648" s="1" t="n">
        <v>44426</v>
      </c>
      <c r="C2648" s="1" t="n">
        <v>45182</v>
      </c>
      <c r="D2648" t="inlineStr">
        <is>
          <t>SÖDERMANLANDS LÄN</t>
        </is>
      </c>
      <c r="E2648" t="inlineStr">
        <is>
          <t>KATRINEHOLM</t>
        </is>
      </c>
      <c r="G2648" t="n">
        <v>0.3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41876-2021</t>
        </is>
      </c>
      <c r="B2649" s="1" t="n">
        <v>44426</v>
      </c>
      <c r="C2649" s="1" t="n">
        <v>45182</v>
      </c>
      <c r="D2649" t="inlineStr">
        <is>
          <t>SÖDERMANLANDS LÄN</t>
        </is>
      </c>
      <c r="E2649" t="inlineStr">
        <is>
          <t>KATRINEHOLM</t>
        </is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41955-2021</t>
        </is>
      </c>
      <c r="B2650" s="1" t="n">
        <v>44426</v>
      </c>
      <c r="C2650" s="1" t="n">
        <v>45182</v>
      </c>
      <c r="D2650" t="inlineStr">
        <is>
          <t>SÖDERMANLANDS LÄN</t>
        </is>
      </c>
      <c r="E2650" t="inlineStr">
        <is>
          <t>GNESTA</t>
        </is>
      </c>
      <c r="G2650" t="n">
        <v>3.3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41997-2021</t>
        </is>
      </c>
      <c r="B2651" s="1" t="n">
        <v>44426</v>
      </c>
      <c r="C2651" s="1" t="n">
        <v>45182</v>
      </c>
      <c r="D2651" t="inlineStr">
        <is>
          <t>SÖDERMANLANDS LÄN</t>
        </is>
      </c>
      <c r="E2651" t="inlineStr">
        <is>
          <t>ESKILSTUNA</t>
        </is>
      </c>
      <c r="G2651" t="n">
        <v>4.4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42012-2021</t>
        </is>
      </c>
      <c r="B2652" s="1" t="n">
        <v>44426</v>
      </c>
      <c r="C2652" s="1" t="n">
        <v>45182</v>
      </c>
      <c r="D2652" t="inlineStr">
        <is>
          <t>SÖDERMANLANDS LÄN</t>
        </is>
      </c>
      <c r="E2652" t="inlineStr">
        <is>
          <t>ESKILSTUNA</t>
        </is>
      </c>
      <c r="G2652" t="n">
        <v>7.9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42016-2021</t>
        </is>
      </c>
      <c r="B2653" s="1" t="n">
        <v>44426</v>
      </c>
      <c r="C2653" s="1" t="n">
        <v>45182</v>
      </c>
      <c r="D2653" t="inlineStr">
        <is>
          <t>SÖDERMANLANDS LÄN</t>
        </is>
      </c>
      <c r="E2653" t="inlineStr">
        <is>
          <t>ESKILSTUNA</t>
        </is>
      </c>
      <c r="G2653" t="n">
        <v>1.7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42417-2021</t>
        </is>
      </c>
      <c r="B2654" s="1" t="n">
        <v>44427</v>
      </c>
      <c r="C2654" s="1" t="n">
        <v>45182</v>
      </c>
      <c r="D2654" t="inlineStr">
        <is>
          <t>SÖDERMANLANDS LÄN</t>
        </is>
      </c>
      <c r="E2654" t="inlineStr">
        <is>
          <t>NYKÖPING</t>
        </is>
      </c>
      <c r="G2654" t="n">
        <v>0.6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42428-2021</t>
        </is>
      </c>
      <c r="B2655" s="1" t="n">
        <v>44427</v>
      </c>
      <c r="C2655" s="1" t="n">
        <v>45182</v>
      </c>
      <c r="D2655" t="inlineStr">
        <is>
          <t>SÖDERMANLANDS LÄN</t>
        </is>
      </c>
      <c r="E2655" t="inlineStr">
        <is>
          <t>GNESTA</t>
        </is>
      </c>
      <c r="G2655" t="n">
        <v>9.1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42462-2021</t>
        </is>
      </c>
      <c r="B2656" s="1" t="n">
        <v>44427</v>
      </c>
      <c r="C2656" s="1" t="n">
        <v>45182</v>
      </c>
      <c r="D2656" t="inlineStr">
        <is>
          <t>SÖDERMANLANDS LÄN</t>
        </is>
      </c>
      <c r="E2656" t="inlineStr">
        <is>
          <t>STRÄNGNÄS</t>
        </is>
      </c>
      <c r="G2656" t="n">
        <v>18.5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42858-2021</t>
        </is>
      </c>
      <c r="B2657" s="1" t="n">
        <v>44430</v>
      </c>
      <c r="C2657" s="1" t="n">
        <v>45182</v>
      </c>
      <c r="D2657" t="inlineStr">
        <is>
          <t>SÖDERMANLANDS LÄN</t>
        </is>
      </c>
      <c r="E2657" t="inlineStr">
        <is>
          <t>NYKÖPING</t>
        </is>
      </c>
      <c r="F2657" t="inlineStr">
        <is>
          <t>Holmen skog AB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42920-2021</t>
        </is>
      </c>
      <c r="B2658" s="1" t="n">
        <v>44430</v>
      </c>
      <c r="C2658" s="1" t="n">
        <v>45182</v>
      </c>
      <c r="D2658" t="inlineStr">
        <is>
          <t>SÖDERMANLANDS LÄN</t>
        </is>
      </c>
      <c r="E2658" t="inlineStr">
        <is>
          <t>NYKÖPING</t>
        </is>
      </c>
      <c r="G2658" t="n">
        <v>9.199999999999999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42856-2021</t>
        </is>
      </c>
      <c r="B2659" s="1" t="n">
        <v>44430</v>
      </c>
      <c r="C2659" s="1" t="n">
        <v>45182</v>
      </c>
      <c r="D2659" t="inlineStr">
        <is>
          <t>SÖDERMANLANDS LÄN</t>
        </is>
      </c>
      <c r="E2659" t="inlineStr">
        <is>
          <t>NYKÖPING</t>
        </is>
      </c>
      <c r="F2659" t="inlineStr">
        <is>
          <t>Holmen skog AB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42977-2021</t>
        </is>
      </c>
      <c r="B2660" s="1" t="n">
        <v>44430</v>
      </c>
      <c r="C2660" s="1" t="n">
        <v>45182</v>
      </c>
      <c r="D2660" t="inlineStr">
        <is>
          <t>SÖDERMANLANDS LÄN</t>
        </is>
      </c>
      <c r="E2660" t="inlineStr">
        <is>
          <t>NYKÖPING</t>
        </is>
      </c>
      <c r="G2660" t="n">
        <v>25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42853-2021</t>
        </is>
      </c>
      <c r="B2661" s="1" t="n">
        <v>44430</v>
      </c>
      <c r="C2661" s="1" t="n">
        <v>45182</v>
      </c>
      <c r="D2661" t="inlineStr">
        <is>
          <t>SÖDERMANLANDS LÄN</t>
        </is>
      </c>
      <c r="E2661" t="inlineStr">
        <is>
          <t>KATRINEHOLM</t>
        </is>
      </c>
      <c r="G2661" t="n">
        <v>5.9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42971-2021</t>
        </is>
      </c>
      <c r="B2662" s="1" t="n">
        <v>44430</v>
      </c>
      <c r="C2662" s="1" t="n">
        <v>45182</v>
      </c>
      <c r="D2662" t="inlineStr">
        <is>
          <t>SÖDERMANLANDS LÄN</t>
        </is>
      </c>
      <c r="E2662" t="inlineStr">
        <is>
          <t>NYKÖPING</t>
        </is>
      </c>
      <c r="G2662" t="n">
        <v>9.4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42966-2021</t>
        </is>
      </c>
      <c r="B2663" s="1" t="n">
        <v>44430</v>
      </c>
      <c r="C2663" s="1" t="n">
        <v>45182</v>
      </c>
      <c r="D2663" t="inlineStr">
        <is>
          <t>SÖDERMANLANDS LÄN</t>
        </is>
      </c>
      <c r="E2663" t="inlineStr">
        <is>
          <t>NYKÖPING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42936-2021</t>
        </is>
      </c>
      <c r="B2664" s="1" t="n">
        <v>44431</v>
      </c>
      <c r="C2664" s="1" t="n">
        <v>45182</v>
      </c>
      <c r="D2664" t="inlineStr">
        <is>
          <t>SÖDERMANLANDS LÄN</t>
        </is>
      </c>
      <c r="E2664" t="inlineStr">
        <is>
          <t>FLEN</t>
        </is>
      </c>
      <c r="F2664" t="inlineStr">
        <is>
          <t>Holmen skog AB</t>
        </is>
      </c>
      <c r="G2664" t="n">
        <v>0.7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42990-2021</t>
        </is>
      </c>
      <c r="B2665" s="1" t="n">
        <v>44431</v>
      </c>
      <c r="C2665" s="1" t="n">
        <v>45182</v>
      </c>
      <c r="D2665" t="inlineStr">
        <is>
          <t>SÖDERMANLANDS LÄN</t>
        </is>
      </c>
      <c r="E2665" t="inlineStr">
        <is>
          <t>NYKÖPING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43035-2021</t>
        </is>
      </c>
      <c r="B2666" s="1" t="n">
        <v>44431</v>
      </c>
      <c r="C2666" s="1" t="n">
        <v>45182</v>
      </c>
      <c r="D2666" t="inlineStr">
        <is>
          <t>SÖDERMANLANDS LÄN</t>
        </is>
      </c>
      <c r="E2666" t="inlineStr">
        <is>
          <t>GNESTA</t>
        </is>
      </c>
      <c r="G2666" t="n">
        <v>0.5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43156-2021</t>
        </is>
      </c>
      <c r="B2667" s="1" t="n">
        <v>44431</v>
      </c>
      <c r="C2667" s="1" t="n">
        <v>45182</v>
      </c>
      <c r="D2667" t="inlineStr">
        <is>
          <t>SÖDERMANLANDS LÄN</t>
        </is>
      </c>
      <c r="E2667" t="inlineStr">
        <is>
          <t>ESKILSTUNA</t>
        </is>
      </c>
      <c r="F2667" t="inlineStr">
        <is>
          <t>Kyrkan</t>
        </is>
      </c>
      <c r="G2667" t="n">
        <v>14.1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42937-2021</t>
        </is>
      </c>
      <c r="B2668" s="1" t="n">
        <v>44431</v>
      </c>
      <c r="C2668" s="1" t="n">
        <v>45182</v>
      </c>
      <c r="D2668" t="inlineStr">
        <is>
          <t>SÖDERMANLANDS LÄN</t>
        </is>
      </c>
      <c r="E2668" t="inlineStr">
        <is>
          <t>NYKÖPING</t>
        </is>
      </c>
      <c r="F2668" t="inlineStr">
        <is>
          <t>Holmen skog AB</t>
        </is>
      </c>
      <c r="G2668" t="n">
        <v>2.1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43130-2021</t>
        </is>
      </c>
      <c r="B2669" s="1" t="n">
        <v>44431</v>
      </c>
      <c r="C2669" s="1" t="n">
        <v>45182</v>
      </c>
      <c r="D2669" t="inlineStr">
        <is>
          <t>SÖDERMANLANDS LÄN</t>
        </is>
      </c>
      <c r="E2669" t="inlineStr">
        <is>
          <t>ESKILSTUNA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43149-2021</t>
        </is>
      </c>
      <c r="B2670" s="1" t="n">
        <v>44431</v>
      </c>
      <c r="C2670" s="1" t="n">
        <v>45182</v>
      </c>
      <c r="D2670" t="inlineStr">
        <is>
          <t>SÖDERMANLANDS LÄN</t>
        </is>
      </c>
      <c r="E2670" t="inlineStr">
        <is>
          <t>ESKILSTUNA</t>
        </is>
      </c>
      <c r="G2670" t="n">
        <v>6.3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43178-2021</t>
        </is>
      </c>
      <c r="B2671" s="1" t="n">
        <v>44431</v>
      </c>
      <c r="C2671" s="1" t="n">
        <v>45182</v>
      </c>
      <c r="D2671" t="inlineStr">
        <is>
          <t>SÖDERMANLANDS LÄN</t>
        </is>
      </c>
      <c r="E2671" t="inlineStr">
        <is>
          <t>GNESTA</t>
        </is>
      </c>
      <c r="G2671" t="n">
        <v>4.7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43397-2021</t>
        </is>
      </c>
      <c r="B2672" s="1" t="n">
        <v>44432</v>
      </c>
      <c r="C2672" s="1" t="n">
        <v>45182</v>
      </c>
      <c r="D2672" t="inlineStr">
        <is>
          <t>SÖDERMANLANDS LÄN</t>
        </is>
      </c>
      <c r="E2672" t="inlineStr">
        <is>
          <t>ESKILSTUNA</t>
        </is>
      </c>
      <c r="G2672" t="n">
        <v>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43535-2021</t>
        </is>
      </c>
      <c r="B2673" s="1" t="n">
        <v>44432</v>
      </c>
      <c r="C2673" s="1" t="n">
        <v>45182</v>
      </c>
      <c r="D2673" t="inlineStr">
        <is>
          <t>SÖDERMANLANDS LÄN</t>
        </is>
      </c>
      <c r="E2673" t="inlineStr">
        <is>
          <t>STRÄNGNÄS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43359-2021</t>
        </is>
      </c>
      <c r="B2674" s="1" t="n">
        <v>44432</v>
      </c>
      <c r="C2674" s="1" t="n">
        <v>45182</v>
      </c>
      <c r="D2674" t="inlineStr">
        <is>
          <t>SÖDERMANLANDS LÄN</t>
        </is>
      </c>
      <c r="E2674" t="inlineStr">
        <is>
          <t>NYKÖPING</t>
        </is>
      </c>
      <c r="G2674" t="n">
        <v>2.5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43389-2021</t>
        </is>
      </c>
      <c r="B2675" s="1" t="n">
        <v>44432</v>
      </c>
      <c r="C2675" s="1" t="n">
        <v>45182</v>
      </c>
      <c r="D2675" t="inlineStr">
        <is>
          <t>SÖDERMANLANDS LÄN</t>
        </is>
      </c>
      <c r="E2675" t="inlineStr">
        <is>
          <t>ESKILSTUNA</t>
        </is>
      </c>
      <c r="G2675" t="n">
        <v>6.4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43403-2021</t>
        </is>
      </c>
      <c r="B2676" s="1" t="n">
        <v>44432</v>
      </c>
      <c r="C2676" s="1" t="n">
        <v>45182</v>
      </c>
      <c r="D2676" t="inlineStr">
        <is>
          <t>SÖDERMANLANDS LÄN</t>
        </is>
      </c>
      <c r="E2676" t="inlineStr">
        <is>
          <t>ESKILSTUNA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43426-2021</t>
        </is>
      </c>
      <c r="B2677" s="1" t="n">
        <v>44432</v>
      </c>
      <c r="C2677" s="1" t="n">
        <v>45182</v>
      </c>
      <c r="D2677" t="inlineStr">
        <is>
          <t>SÖDERMANLANDS LÄN</t>
        </is>
      </c>
      <c r="E2677" t="inlineStr">
        <is>
          <t>ESKILSTUNA</t>
        </is>
      </c>
      <c r="G2677" t="n">
        <v>2.3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43396-2021</t>
        </is>
      </c>
      <c r="B2678" s="1" t="n">
        <v>44432</v>
      </c>
      <c r="C2678" s="1" t="n">
        <v>45182</v>
      </c>
      <c r="D2678" t="inlineStr">
        <is>
          <t>SÖDERMANLANDS LÄN</t>
        </is>
      </c>
      <c r="E2678" t="inlineStr">
        <is>
          <t>ESKILSTUNA</t>
        </is>
      </c>
      <c r="G2678" t="n">
        <v>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43523-2021</t>
        </is>
      </c>
      <c r="B2679" s="1" t="n">
        <v>44432</v>
      </c>
      <c r="C2679" s="1" t="n">
        <v>45182</v>
      </c>
      <c r="D2679" t="inlineStr">
        <is>
          <t>SÖDERMANLANDS LÄN</t>
        </is>
      </c>
      <c r="E2679" t="inlineStr">
        <is>
          <t>STRÄNGNÄS</t>
        </is>
      </c>
      <c r="G2679" t="n">
        <v>9.6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43394-2021</t>
        </is>
      </c>
      <c r="B2680" s="1" t="n">
        <v>44432</v>
      </c>
      <c r="C2680" s="1" t="n">
        <v>45182</v>
      </c>
      <c r="D2680" t="inlineStr">
        <is>
          <t>SÖDERMANLANDS LÄN</t>
        </is>
      </c>
      <c r="E2680" t="inlineStr">
        <is>
          <t>FLEN</t>
        </is>
      </c>
      <c r="G2680" t="n">
        <v>14.4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43412-2021</t>
        </is>
      </c>
      <c r="B2681" s="1" t="n">
        <v>44432</v>
      </c>
      <c r="C2681" s="1" t="n">
        <v>45182</v>
      </c>
      <c r="D2681" t="inlineStr">
        <is>
          <t>SÖDERMANLANDS LÄN</t>
        </is>
      </c>
      <c r="E2681" t="inlineStr">
        <is>
          <t>STRÄNGNÄS</t>
        </is>
      </c>
      <c r="G2681" t="n">
        <v>10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43450-2021</t>
        </is>
      </c>
      <c r="B2682" s="1" t="n">
        <v>44432</v>
      </c>
      <c r="C2682" s="1" t="n">
        <v>45182</v>
      </c>
      <c r="D2682" t="inlineStr">
        <is>
          <t>SÖDERMANLANDS LÄN</t>
        </is>
      </c>
      <c r="E2682" t="inlineStr">
        <is>
          <t>FLEN</t>
        </is>
      </c>
      <c r="G2682" t="n">
        <v>2.7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43541-2021</t>
        </is>
      </c>
      <c r="B2683" s="1" t="n">
        <v>44433</v>
      </c>
      <c r="C2683" s="1" t="n">
        <v>45182</v>
      </c>
      <c r="D2683" t="inlineStr">
        <is>
          <t>SÖDERMANLANDS LÄN</t>
        </is>
      </c>
      <c r="E2683" t="inlineStr">
        <is>
          <t>FLEN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43569-2021</t>
        </is>
      </c>
      <c r="B2684" s="1" t="n">
        <v>44433</v>
      </c>
      <c r="C2684" s="1" t="n">
        <v>45182</v>
      </c>
      <c r="D2684" t="inlineStr">
        <is>
          <t>SÖDERMANLANDS LÄN</t>
        </is>
      </c>
      <c r="E2684" t="inlineStr">
        <is>
          <t>KATRINEHOLM</t>
        </is>
      </c>
      <c r="G2684" t="n">
        <v>8.699999999999999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43640-2021</t>
        </is>
      </c>
      <c r="B2685" s="1" t="n">
        <v>44433</v>
      </c>
      <c r="C2685" s="1" t="n">
        <v>45182</v>
      </c>
      <c r="D2685" t="inlineStr">
        <is>
          <t>SÖDERMANLANDS LÄN</t>
        </is>
      </c>
      <c r="E2685" t="inlineStr">
        <is>
          <t>FLEN</t>
        </is>
      </c>
      <c r="G2685" t="n">
        <v>3.1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43499-2021</t>
        </is>
      </c>
      <c r="B2686" s="1" t="n">
        <v>44433</v>
      </c>
      <c r="C2686" s="1" t="n">
        <v>45182</v>
      </c>
      <c r="D2686" t="inlineStr">
        <is>
          <t>SÖDERMANLANDS LÄN</t>
        </is>
      </c>
      <c r="E2686" t="inlineStr">
        <is>
          <t>KATRINEHOLM</t>
        </is>
      </c>
      <c r="F2686" t="inlineStr">
        <is>
          <t>Övriga Aktiebolag</t>
        </is>
      </c>
      <c r="G2686" t="n">
        <v>1.4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45856-2021</t>
        </is>
      </c>
      <c r="B2687" s="1" t="n">
        <v>44433</v>
      </c>
      <c r="C2687" s="1" t="n">
        <v>45182</v>
      </c>
      <c r="D2687" t="inlineStr">
        <is>
          <t>SÖDERMANLANDS LÄN</t>
        </is>
      </c>
      <c r="E2687" t="inlineStr">
        <is>
          <t>NYKÖPING</t>
        </is>
      </c>
      <c r="G2687" t="n">
        <v>2.6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43868-2021</t>
        </is>
      </c>
      <c r="B2688" s="1" t="n">
        <v>44434</v>
      </c>
      <c r="C2688" s="1" t="n">
        <v>45182</v>
      </c>
      <c r="D2688" t="inlineStr">
        <is>
          <t>SÖDERMANLANDS LÄN</t>
        </is>
      </c>
      <c r="E2688" t="inlineStr">
        <is>
          <t>VINGÅKER</t>
        </is>
      </c>
      <c r="G2688" t="n">
        <v>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44019-2021</t>
        </is>
      </c>
      <c r="B2689" s="1" t="n">
        <v>44434</v>
      </c>
      <c r="C2689" s="1" t="n">
        <v>45182</v>
      </c>
      <c r="D2689" t="inlineStr">
        <is>
          <t>SÖDERMANLANDS LÄN</t>
        </is>
      </c>
      <c r="E2689" t="inlineStr">
        <is>
          <t>ESKILSTUNA</t>
        </is>
      </c>
      <c r="G2689" t="n">
        <v>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44024-2021</t>
        </is>
      </c>
      <c r="B2690" s="1" t="n">
        <v>44434</v>
      </c>
      <c r="C2690" s="1" t="n">
        <v>45182</v>
      </c>
      <c r="D2690" t="inlineStr">
        <is>
          <t>SÖDERMANLANDS LÄN</t>
        </is>
      </c>
      <c r="E2690" t="inlineStr">
        <is>
          <t>KATRINEHOLM</t>
        </is>
      </c>
      <c r="G2690" t="n">
        <v>13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44347-2021</t>
        </is>
      </c>
      <c r="B2691" s="1" t="n">
        <v>44435</v>
      </c>
      <c r="C2691" s="1" t="n">
        <v>45182</v>
      </c>
      <c r="D2691" t="inlineStr">
        <is>
          <t>SÖDERMANLANDS LÄN</t>
        </is>
      </c>
      <c r="E2691" t="inlineStr">
        <is>
          <t>ESKILSTUNA</t>
        </is>
      </c>
      <c r="G2691" t="n">
        <v>5.7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44533-2021</t>
        </is>
      </c>
      <c r="B2692" s="1" t="n">
        <v>44435</v>
      </c>
      <c r="C2692" s="1" t="n">
        <v>45182</v>
      </c>
      <c r="D2692" t="inlineStr">
        <is>
          <t>SÖDERMANLANDS LÄN</t>
        </is>
      </c>
      <c r="E2692" t="inlineStr">
        <is>
          <t>NYKÖPING</t>
        </is>
      </c>
      <c r="G2692" t="n">
        <v>3.9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44359-2021</t>
        </is>
      </c>
      <c r="B2693" s="1" t="n">
        <v>44435</v>
      </c>
      <c r="C2693" s="1" t="n">
        <v>45182</v>
      </c>
      <c r="D2693" t="inlineStr">
        <is>
          <t>SÖDERMANLANDS LÄN</t>
        </is>
      </c>
      <c r="E2693" t="inlineStr">
        <is>
          <t>FLEN</t>
        </is>
      </c>
      <c r="G2693" t="n">
        <v>0.4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44477-2021</t>
        </is>
      </c>
      <c r="B2694" s="1" t="n">
        <v>44435</v>
      </c>
      <c r="C2694" s="1" t="n">
        <v>45182</v>
      </c>
      <c r="D2694" t="inlineStr">
        <is>
          <t>SÖDERMANLANDS LÄN</t>
        </is>
      </c>
      <c r="E2694" t="inlineStr">
        <is>
          <t>NYKÖPING</t>
        </is>
      </c>
      <c r="F2694" t="inlineStr">
        <is>
          <t>Holmen skog AB</t>
        </is>
      </c>
      <c r="G2694" t="n">
        <v>2.3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44536-2021</t>
        </is>
      </c>
      <c r="B2695" s="1" t="n">
        <v>44435</v>
      </c>
      <c r="C2695" s="1" t="n">
        <v>45182</v>
      </c>
      <c r="D2695" t="inlineStr">
        <is>
          <t>SÖDERMANLANDS LÄN</t>
        </is>
      </c>
      <c r="E2695" t="inlineStr">
        <is>
          <t>NYKÖPING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45034-2021</t>
        </is>
      </c>
      <c r="B2696" s="1" t="n">
        <v>44438</v>
      </c>
      <c r="C2696" s="1" t="n">
        <v>45182</v>
      </c>
      <c r="D2696" t="inlineStr">
        <is>
          <t>SÖDERMANLANDS LÄN</t>
        </is>
      </c>
      <c r="E2696" t="inlineStr">
        <is>
          <t>NYKÖPING</t>
        </is>
      </c>
      <c r="F2696" t="inlineStr">
        <is>
          <t>Allmännings- och besparingsskogar</t>
        </is>
      </c>
      <c r="G2696" t="n">
        <v>1.3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44943-2021</t>
        </is>
      </c>
      <c r="B2697" s="1" t="n">
        <v>44438</v>
      </c>
      <c r="C2697" s="1" t="n">
        <v>45182</v>
      </c>
      <c r="D2697" t="inlineStr">
        <is>
          <t>SÖDERMANLANDS LÄN</t>
        </is>
      </c>
      <c r="E2697" t="inlineStr">
        <is>
          <t>GNESTA</t>
        </is>
      </c>
      <c r="G2697" t="n">
        <v>1.7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45130-2021</t>
        </is>
      </c>
      <c r="B2698" s="1" t="n">
        <v>44439</v>
      </c>
      <c r="C2698" s="1" t="n">
        <v>45182</v>
      </c>
      <c r="D2698" t="inlineStr">
        <is>
          <t>SÖDERMANLANDS LÄN</t>
        </is>
      </c>
      <c r="E2698" t="inlineStr">
        <is>
          <t>KATRINEHOLM</t>
        </is>
      </c>
      <c r="G2698" t="n">
        <v>1.2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47251-2021</t>
        </is>
      </c>
      <c r="B2699" s="1" t="n">
        <v>44439</v>
      </c>
      <c r="C2699" s="1" t="n">
        <v>45182</v>
      </c>
      <c r="D2699" t="inlineStr">
        <is>
          <t>SÖDERMANLANDS LÄN</t>
        </is>
      </c>
      <c r="E2699" t="inlineStr">
        <is>
          <t>STRÄNGNÄS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45147-2021</t>
        </is>
      </c>
      <c r="B2700" s="1" t="n">
        <v>44439</v>
      </c>
      <c r="C2700" s="1" t="n">
        <v>45182</v>
      </c>
      <c r="D2700" t="inlineStr">
        <is>
          <t>SÖDERMANLANDS LÄN</t>
        </is>
      </c>
      <c r="E2700" t="inlineStr">
        <is>
          <t>KATRINEHOLM</t>
        </is>
      </c>
      <c r="G2700" t="n">
        <v>3.2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45120-2021</t>
        </is>
      </c>
      <c r="B2701" s="1" t="n">
        <v>44439</v>
      </c>
      <c r="C2701" s="1" t="n">
        <v>45182</v>
      </c>
      <c r="D2701" t="inlineStr">
        <is>
          <t>SÖDERMANLANDS LÄN</t>
        </is>
      </c>
      <c r="E2701" t="inlineStr">
        <is>
          <t>FLEN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45129-2021</t>
        </is>
      </c>
      <c r="B2702" s="1" t="n">
        <v>44439</v>
      </c>
      <c r="C2702" s="1" t="n">
        <v>45182</v>
      </c>
      <c r="D2702" t="inlineStr">
        <is>
          <t>SÖDERMANLANDS LÄN</t>
        </is>
      </c>
      <c r="E2702" t="inlineStr">
        <is>
          <t>STRÄNGNÄS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45142-2021</t>
        </is>
      </c>
      <c r="B2703" s="1" t="n">
        <v>44439</v>
      </c>
      <c r="C2703" s="1" t="n">
        <v>45182</v>
      </c>
      <c r="D2703" t="inlineStr">
        <is>
          <t>SÖDERMANLANDS LÄN</t>
        </is>
      </c>
      <c r="E2703" t="inlineStr">
        <is>
          <t>KATRINEHOLM</t>
        </is>
      </c>
      <c r="G2703" t="n">
        <v>1.8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45574-2021</t>
        </is>
      </c>
      <c r="B2704" s="1" t="n">
        <v>44440</v>
      </c>
      <c r="C2704" s="1" t="n">
        <v>45182</v>
      </c>
      <c r="D2704" t="inlineStr">
        <is>
          <t>SÖDERMANLANDS LÄN</t>
        </is>
      </c>
      <c r="E2704" t="inlineStr">
        <is>
          <t>NYKÖPING</t>
        </is>
      </c>
      <c r="G2704" t="n">
        <v>4.5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45569-2021</t>
        </is>
      </c>
      <c r="B2705" s="1" t="n">
        <v>44440</v>
      </c>
      <c r="C2705" s="1" t="n">
        <v>45182</v>
      </c>
      <c r="D2705" t="inlineStr">
        <is>
          <t>SÖDERMANLANDS LÄN</t>
        </is>
      </c>
      <c r="E2705" t="inlineStr">
        <is>
          <t>NYKÖPING</t>
        </is>
      </c>
      <c r="G2705" t="n">
        <v>1.4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45435-2021</t>
        </is>
      </c>
      <c r="B2706" s="1" t="n">
        <v>44440</v>
      </c>
      <c r="C2706" s="1" t="n">
        <v>45182</v>
      </c>
      <c r="D2706" t="inlineStr">
        <is>
          <t>SÖDERMANLANDS LÄN</t>
        </is>
      </c>
      <c r="E2706" t="inlineStr">
        <is>
          <t>KATRINEHOLM</t>
        </is>
      </c>
      <c r="F2706" t="inlineStr">
        <is>
          <t>Kommuner</t>
        </is>
      </c>
      <c r="G2706" t="n">
        <v>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45468-2021</t>
        </is>
      </c>
      <c r="B2707" s="1" t="n">
        <v>44440</v>
      </c>
      <c r="C2707" s="1" t="n">
        <v>45182</v>
      </c>
      <c r="D2707" t="inlineStr">
        <is>
          <t>SÖDERMANLANDS LÄN</t>
        </is>
      </c>
      <c r="E2707" t="inlineStr">
        <is>
          <t>FLEN</t>
        </is>
      </c>
      <c r="G2707" t="n">
        <v>3.3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45533-2021</t>
        </is>
      </c>
      <c r="B2708" s="1" t="n">
        <v>44440</v>
      </c>
      <c r="C2708" s="1" t="n">
        <v>45182</v>
      </c>
      <c r="D2708" t="inlineStr">
        <is>
          <t>SÖDERMANLANDS LÄN</t>
        </is>
      </c>
      <c r="E2708" t="inlineStr">
        <is>
          <t>NYKÖPING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45999-2021</t>
        </is>
      </c>
      <c r="B2709" s="1" t="n">
        <v>44441</v>
      </c>
      <c r="C2709" s="1" t="n">
        <v>45182</v>
      </c>
      <c r="D2709" t="inlineStr">
        <is>
          <t>SÖDERMANLANDS LÄN</t>
        </is>
      </c>
      <c r="E2709" t="inlineStr">
        <is>
          <t>ESKILSTUNA</t>
        </is>
      </c>
      <c r="F2709" t="inlineStr">
        <is>
          <t>Kommuner</t>
        </is>
      </c>
      <c r="G2709" t="n">
        <v>4.3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45785-2021</t>
        </is>
      </c>
      <c r="B2710" s="1" t="n">
        <v>44441</v>
      </c>
      <c r="C2710" s="1" t="n">
        <v>45182</v>
      </c>
      <c r="D2710" t="inlineStr">
        <is>
          <t>SÖDERMANLANDS LÄN</t>
        </is>
      </c>
      <c r="E2710" t="inlineStr">
        <is>
          <t>KATRINEHOLM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45852-2021</t>
        </is>
      </c>
      <c r="B2711" s="1" t="n">
        <v>44441</v>
      </c>
      <c r="C2711" s="1" t="n">
        <v>45182</v>
      </c>
      <c r="D2711" t="inlineStr">
        <is>
          <t>SÖDERMANLANDS LÄN</t>
        </is>
      </c>
      <c r="E2711" t="inlineStr">
        <is>
          <t>ESKILSTUNA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45921-2021</t>
        </is>
      </c>
      <c r="B2712" s="1" t="n">
        <v>44441</v>
      </c>
      <c r="C2712" s="1" t="n">
        <v>45182</v>
      </c>
      <c r="D2712" t="inlineStr">
        <is>
          <t>SÖDERMANLANDS LÄN</t>
        </is>
      </c>
      <c r="E2712" t="inlineStr">
        <is>
          <t>KATRINEHOLM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45789-2021</t>
        </is>
      </c>
      <c r="B2713" s="1" t="n">
        <v>44441</v>
      </c>
      <c r="C2713" s="1" t="n">
        <v>45182</v>
      </c>
      <c r="D2713" t="inlineStr">
        <is>
          <t>SÖDERMANLANDS LÄN</t>
        </is>
      </c>
      <c r="E2713" t="inlineStr">
        <is>
          <t>VINGÅKER</t>
        </is>
      </c>
      <c r="G2713" t="n">
        <v>1.7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46079-2021</t>
        </is>
      </c>
      <c r="B2714" s="1" t="n">
        <v>44442</v>
      </c>
      <c r="C2714" s="1" t="n">
        <v>45182</v>
      </c>
      <c r="D2714" t="inlineStr">
        <is>
          <t>SÖDERMANLANDS LÄN</t>
        </is>
      </c>
      <c r="E2714" t="inlineStr">
        <is>
          <t>GNESTA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46257-2021</t>
        </is>
      </c>
      <c r="B2715" s="1" t="n">
        <v>44442</v>
      </c>
      <c r="C2715" s="1" t="n">
        <v>45182</v>
      </c>
      <c r="D2715" t="inlineStr">
        <is>
          <t>SÖDERMANLANDS LÄN</t>
        </is>
      </c>
      <c r="E2715" t="inlineStr">
        <is>
          <t>KATRINEHOLM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46085-2021</t>
        </is>
      </c>
      <c r="B2716" s="1" t="n">
        <v>44442</v>
      </c>
      <c r="C2716" s="1" t="n">
        <v>45182</v>
      </c>
      <c r="D2716" t="inlineStr">
        <is>
          <t>SÖDERMANLANDS LÄN</t>
        </is>
      </c>
      <c r="E2716" t="inlineStr">
        <is>
          <t>GNESTA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46574-2021</t>
        </is>
      </c>
      <c r="B2717" s="1" t="n">
        <v>44445</v>
      </c>
      <c r="C2717" s="1" t="n">
        <v>45182</v>
      </c>
      <c r="D2717" t="inlineStr">
        <is>
          <t>SÖDERMANLANDS LÄN</t>
        </is>
      </c>
      <c r="E2717" t="inlineStr">
        <is>
          <t>NYKÖPING</t>
        </is>
      </c>
      <c r="F2717" t="inlineStr">
        <is>
          <t>Holmen skog AB</t>
        </is>
      </c>
      <c r="G2717" t="n">
        <v>8.300000000000001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46723-2021</t>
        </is>
      </c>
      <c r="B2718" s="1" t="n">
        <v>44445</v>
      </c>
      <c r="C2718" s="1" t="n">
        <v>45182</v>
      </c>
      <c r="D2718" t="inlineStr">
        <is>
          <t>SÖDERMANLANDS LÄN</t>
        </is>
      </c>
      <c r="E2718" t="inlineStr">
        <is>
          <t>KATRINEHOLM</t>
        </is>
      </c>
      <c r="F2718" t="inlineStr">
        <is>
          <t>Allmännings- och besparingsskogar</t>
        </is>
      </c>
      <c r="G2718" t="n">
        <v>2.9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46584-2021</t>
        </is>
      </c>
      <c r="B2719" s="1" t="n">
        <v>44445</v>
      </c>
      <c r="C2719" s="1" t="n">
        <v>45182</v>
      </c>
      <c r="D2719" t="inlineStr">
        <is>
          <t>SÖDERMANLANDS LÄN</t>
        </is>
      </c>
      <c r="E2719" t="inlineStr">
        <is>
          <t>KATRINEHOLM</t>
        </is>
      </c>
      <c r="G2719" t="n">
        <v>7.2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46648-2021</t>
        </is>
      </c>
      <c r="B2720" s="1" t="n">
        <v>44445</v>
      </c>
      <c r="C2720" s="1" t="n">
        <v>45182</v>
      </c>
      <c r="D2720" t="inlineStr">
        <is>
          <t>SÖDERMANLANDS LÄN</t>
        </is>
      </c>
      <c r="E2720" t="inlineStr">
        <is>
          <t>NYKÖPING</t>
        </is>
      </c>
      <c r="F2720" t="inlineStr">
        <is>
          <t>Holmen skog AB</t>
        </is>
      </c>
      <c r="G2720" t="n">
        <v>4.4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46703-2021</t>
        </is>
      </c>
      <c r="B2721" s="1" t="n">
        <v>44445</v>
      </c>
      <c r="C2721" s="1" t="n">
        <v>45182</v>
      </c>
      <c r="D2721" t="inlineStr">
        <is>
          <t>SÖDERMANLANDS LÄN</t>
        </is>
      </c>
      <c r="E2721" t="inlineStr">
        <is>
          <t>KATRINEHOLM</t>
        </is>
      </c>
      <c r="F2721" t="inlineStr">
        <is>
          <t>Allmännings- och besparingsskogar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46575-2021</t>
        </is>
      </c>
      <c r="B2722" s="1" t="n">
        <v>44445</v>
      </c>
      <c r="C2722" s="1" t="n">
        <v>45182</v>
      </c>
      <c r="D2722" t="inlineStr">
        <is>
          <t>SÖDERMANLANDS LÄN</t>
        </is>
      </c>
      <c r="E2722" t="inlineStr">
        <is>
          <t>NYKÖPING</t>
        </is>
      </c>
      <c r="G2722" t="n">
        <v>19.1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46670-2021</t>
        </is>
      </c>
      <c r="B2723" s="1" t="n">
        <v>44445</v>
      </c>
      <c r="C2723" s="1" t="n">
        <v>45182</v>
      </c>
      <c r="D2723" t="inlineStr">
        <is>
          <t>SÖDERMANLANDS LÄN</t>
        </is>
      </c>
      <c r="E2723" t="inlineStr">
        <is>
          <t>KATRINEHOLM</t>
        </is>
      </c>
      <c r="G2723" t="n">
        <v>4.4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46838-2021</t>
        </is>
      </c>
      <c r="B2724" s="1" t="n">
        <v>44446</v>
      </c>
      <c r="C2724" s="1" t="n">
        <v>45182</v>
      </c>
      <c r="D2724" t="inlineStr">
        <is>
          <t>SÖDERMANLANDS LÄN</t>
        </is>
      </c>
      <c r="E2724" t="inlineStr">
        <is>
          <t>NYKÖPING</t>
        </is>
      </c>
      <c r="G2724" t="n">
        <v>6.1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46828-2021</t>
        </is>
      </c>
      <c r="B2725" s="1" t="n">
        <v>44446</v>
      </c>
      <c r="C2725" s="1" t="n">
        <v>45182</v>
      </c>
      <c r="D2725" t="inlineStr">
        <is>
          <t>SÖDERMANLANDS LÄN</t>
        </is>
      </c>
      <c r="E2725" t="inlineStr">
        <is>
          <t>NYKÖPING</t>
        </is>
      </c>
      <c r="G2725" t="n">
        <v>30.2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47172-2021</t>
        </is>
      </c>
      <c r="B2726" s="1" t="n">
        <v>44446</v>
      </c>
      <c r="C2726" s="1" t="n">
        <v>45182</v>
      </c>
      <c r="D2726" t="inlineStr">
        <is>
          <t>SÖDERMANLANDS LÄN</t>
        </is>
      </c>
      <c r="E2726" t="inlineStr">
        <is>
          <t>VINGÅKER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47314-2021</t>
        </is>
      </c>
      <c r="B2727" s="1" t="n">
        <v>44447</v>
      </c>
      <c r="C2727" s="1" t="n">
        <v>45182</v>
      </c>
      <c r="D2727" t="inlineStr">
        <is>
          <t>SÖDERMANLANDS LÄN</t>
        </is>
      </c>
      <c r="E2727" t="inlineStr">
        <is>
          <t>GNESTA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47644-2021</t>
        </is>
      </c>
      <c r="B2728" s="1" t="n">
        <v>44448</v>
      </c>
      <c r="C2728" s="1" t="n">
        <v>45182</v>
      </c>
      <c r="D2728" t="inlineStr">
        <is>
          <t>SÖDERMANLANDS LÄN</t>
        </is>
      </c>
      <c r="E2728" t="inlineStr">
        <is>
          <t>FLEN</t>
        </is>
      </c>
      <c r="G2728" t="n">
        <v>1.8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47726-2021</t>
        </is>
      </c>
      <c r="B2729" s="1" t="n">
        <v>44448</v>
      </c>
      <c r="C2729" s="1" t="n">
        <v>45182</v>
      </c>
      <c r="D2729" t="inlineStr">
        <is>
          <t>SÖDERMANLANDS LÄN</t>
        </is>
      </c>
      <c r="E2729" t="inlineStr">
        <is>
          <t>STRÄNGNÄS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47604-2021</t>
        </is>
      </c>
      <c r="B2730" s="1" t="n">
        <v>44448</v>
      </c>
      <c r="C2730" s="1" t="n">
        <v>45182</v>
      </c>
      <c r="D2730" t="inlineStr">
        <is>
          <t>SÖDERMANLANDS LÄN</t>
        </is>
      </c>
      <c r="E2730" t="inlineStr">
        <is>
          <t>FLEN</t>
        </is>
      </c>
      <c r="G2730" t="n">
        <v>11.5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52063-2021</t>
        </is>
      </c>
      <c r="B2731" s="1" t="n">
        <v>44449</v>
      </c>
      <c r="C2731" s="1" t="n">
        <v>45182</v>
      </c>
      <c r="D2731" t="inlineStr">
        <is>
          <t>SÖDERMANLANDS LÄN</t>
        </is>
      </c>
      <c r="E2731" t="inlineStr">
        <is>
          <t>KATRINEHOLM</t>
        </is>
      </c>
      <c r="G2731" t="n">
        <v>0.3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47988-2021</t>
        </is>
      </c>
      <c r="B2732" s="1" t="n">
        <v>44449</v>
      </c>
      <c r="C2732" s="1" t="n">
        <v>45182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0.7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47965-2021</t>
        </is>
      </c>
      <c r="B2733" s="1" t="n">
        <v>44449</v>
      </c>
      <c r="C2733" s="1" t="n">
        <v>45182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47981-2021</t>
        </is>
      </c>
      <c r="B2734" s="1" t="n">
        <v>44449</v>
      </c>
      <c r="C2734" s="1" t="n">
        <v>45182</v>
      </c>
      <c r="D2734" t="inlineStr">
        <is>
          <t>SÖDERMANLANDS LÄN</t>
        </is>
      </c>
      <c r="E2734" t="inlineStr">
        <is>
          <t>ESKILSTUNA</t>
        </is>
      </c>
      <c r="F2734" t="inlineStr">
        <is>
          <t>Holmen skog AB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48520-2021</t>
        </is>
      </c>
      <c r="B2735" s="1" t="n">
        <v>44449</v>
      </c>
      <c r="C2735" s="1" t="n">
        <v>45182</v>
      </c>
      <c r="D2735" t="inlineStr">
        <is>
          <t>SÖDERMANLANDS LÄN</t>
        </is>
      </c>
      <c r="E2735" t="inlineStr">
        <is>
          <t>FLEN</t>
        </is>
      </c>
      <c r="G2735" t="n">
        <v>9.1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48166-2021</t>
        </is>
      </c>
      <c r="B2736" s="1" t="n">
        <v>44449</v>
      </c>
      <c r="C2736" s="1" t="n">
        <v>45182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48497-2021</t>
        </is>
      </c>
      <c r="B2737" s="1" t="n">
        <v>44449</v>
      </c>
      <c r="C2737" s="1" t="n">
        <v>45182</v>
      </c>
      <c r="D2737" t="inlineStr">
        <is>
          <t>SÖDERMANLANDS LÄN</t>
        </is>
      </c>
      <c r="E2737" t="inlineStr">
        <is>
          <t>FLEN</t>
        </is>
      </c>
      <c r="G2737" t="n">
        <v>2.4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48168-2021</t>
        </is>
      </c>
      <c r="B2738" s="1" t="n">
        <v>44449</v>
      </c>
      <c r="C2738" s="1" t="n">
        <v>45182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3.1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48550-2021</t>
        </is>
      </c>
      <c r="B2739" s="1" t="n">
        <v>44452</v>
      </c>
      <c r="C2739" s="1" t="n">
        <v>45182</v>
      </c>
      <c r="D2739" t="inlineStr">
        <is>
          <t>SÖDERMANLANDS LÄN</t>
        </is>
      </c>
      <c r="E2739" t="inlineStr">
        <is>
          <t>VINGÅKER</t>
        </is>
      </c>
      <c r="G2739" t="n">
        <v>3.8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48671-2021</t>
        </is>
      </c>
      <c r="B2740" s="1" t="n">
        <v>44452</v>
      </c>
      <c r="C2740" s="1" t="n">
        <v>45182</v>
      </c>
      <c r="D2740" t="inlineStr">
        <is>
          <t>SÖDERMANLANDS LÄN</t>
        </is>
      </c>
      <c r="E2740" t="inlineStr">
        <is>
          <t>ESKILSTUNA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48925-2021</t>
        </is>
      </c>
      <c r="B2741" s="1" t="n">
        <v>44452</v>
      </c>
      <c r="C2741" s="1" t="n">
        <v>45182</v>
      </c>
      <c r="D2741" t="inlineStr">
        <is>
          <t>SÖDERMANLANDS LÄN</t>
        </is>
      </c>
      <c r="E2741" t="inlineStr">
        <is>
          <t>FLEN</t>
        </is>
      </c>
      <c r="G2741" t="n">
        <v>8.4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48459-2021</t>
        </is>
      </c>
      <c r="B2742" s="1" t="n">
        <v>44452</v>
      </c>
      <c r="C2742" s="1" t="n">
        <v>45182</v>
      </c>
      <c r="D2742" t="inlineStr">
        <is>
          <t>SÖDERMANLANDS LÄN</t>
        </is>
      </c>
      <c r="E2742" t="inlineStr">
        <is>
          <t>NYKÖPING</t>
        </is>
      </c>
      <c r="F2742" t="inlineStr">
        <is>
          <t>Holmen skog AB</t>
        </is>
      </c>
      <c r="G2742" t="n">
        <v>2.1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48763-2021</t>
        </is>
      </c>
      <c r="B2743" s="1" t="n">
        <v>44452</v>
      </c>
      <c r="C2743" s="1" t="n">
        <v>45182</v>
      </c>
      <c r="D2743" t="inlineStr">
        <is>
          <t>SÖDERMANLANDS LÄN</t>
        </is>
      </c>
      <c r="E2743" t="inlineStr">
        <is>
          <t>FLEN</t>
        </is>
      </c>
      <c r="F2743" t="inlineStr">
        <is>
          <t>Holmen skog AB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48785-2021</t>
        </is>
      </c>
      <c r="B2744" s="1" t="n">
        <v>44452</v>
      </c>
      <c r="C2744" s="1" t="n">
        <v>45182</v>
      </c>
      <c r="D2744" t="inlineStr">
        <is>
          <t>SÖDERMANLANDS LÄN</t>
        </is>
      </c>
      <c r="E2744" t="inlineStr">
        <is>
          <t>STRÄNGNÄS</t>
        </is>
      </c>
      <c r="G2744" t="n">
        <v>2.5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48738-2021</t>
        </is>
      </c>
      <c r="B2745" s="1" t="n">
        <v>44452</v>
      </c>
      <c r="C2745" s="1" t="n">
        <v>45182</v>
      </c>
      <c r="D2745" t="inlineStr">
        <is>
          <t>SÖDERMANLANDS LÄN</t>
        </is>
      </c>
      <c r="E2745" t="inlineStr">
        <is>
          <t>GNESTA</t>
        </is>
      </c>
      <c r="F2745" t="inlineStr">
        <is>
          <t>Kyrkan</t>
        </is>
      </c>
      <c r="G2745" t="n">
        <v>11.3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48819-2021</t>
        </is>
      </c>
      <c r="B2746" s="1" t="n">
        <v>44452</v>
      </c>
      <c r="C2746" s="1" t="n">
        <v>45182</v>
      </c>
      <c r="D2746" t="inlineStr">
        <is>
          <t>SÖDERMANLANDS LÄN</t>
        </is>
      </c>
      <c r="E2746" t="inlineStr">
        <is>
          <t>NYKÖPING</t>
        </is>
      </c>
      <c r="G2746" t="n">
        <v>1.8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48676-2021</t>
        </is>
      </c>
      <c r="B2747" s="1" t="n">
        <v>44452</v>
      </c>
      <c r="C2747" s="1" t="n">
        <v>45182</v>
      </c>
      <c r="D2747" t="inlineStr">
        <is>
          <t>SÖDERMANLANDS LÄN</t>
        </is>
      </c>
      <c r="E2747" t="inlineStr">
        <is>
          <t>ESKILSTUNA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49323-2021</t>
        </is>
      </c>
      <c r="B2748" s="1" t="n">
        <v>44453</v>
      </c>
      <c r="C2748" s="1" t="n">
        <v>45182</v>
      </c>
      <c r="D2748" t="inlineStr">
        <is>
          <t>SÖDERMANLANDS LÄN</t>
        </is>
      </c>
      <c r="E2748" t="inlineStr">
        <is>
          <t>FLEN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49275-2021</t>
        </is>
      </c>
      <c r="B2749" s="1" t="n">
        <v>44453</v>
      </c>
      <c r="C2749" s="1" t="n">
        <v>45182</v>
      </c>
      <c r="D2749" t="inlineStr">
        <is>
          <t>SÖDERMANLANDS LÄN</t>
        </is>
      </c>
      <c r="E2749" t="inlineStr">
        <is>
          <t>FLEN</t>
        </is>
      </c>
      <c r="G2749" t="n">
        <v>3.1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48926-2021</t>
        </is>
      </c>
      <c r="B2750" s="1" t="n">
        <v>44453</v>
      </c>
      <c r="C2750" s="1" t="n">
        <v>45182</v>
      </c>
      <c r="D2750" t="inlineStr">
        <is>
          <t>SÖDERMANLANDS LÄN</t>
        </is>
      </c>
      <c r="E2750" t="inlineStr">
        <is>
          <t>STRÄNGNÄS</t>
        </is>
      </c>
      <c r="G2750" t="n">
        <v>8.6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49055-2021</t>
        </is>
      </c>
      <c r="B2751" s="1" t="n">
        <v>44453</v>
      </c>
      <c r="C2751" s="1" t="n">
        <v>45182</v>
      </c>
      <c r="D2751" t="inlineStr">
        <is>
          <t>SÖDERMANLANDS LÄN</t>
        </is>
      </c>
      <c r="E2751" t="inlineStr">
        <is>
          <t>ESKILSTUNA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49234-2021</t>
        </is>
      </c>
      <c r="B2752" s="1" t="n">
        <v>44454</v>
      </c>
      <c r="C2752" s="1" t="n">
        <v>45182</v>
      </c>
      <c r="D2752" t="inlineStr">
        <is>
          <t>SÖDERMANLANDS LÄN</t>
        </is>
      </c>
      <c r="E2752" t="inlineStr">
        <is>
          <t>NYKÖPING</t>
        </is>
      </c>
      <c r="F2752" t="inlineStr">
        <is>
          <t>Holmen skog AB</t>
        </is>
      </c>
      <c r="G2752" t="n">
        <v>4.2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49252-2021</t>
        </is>
      </c>
      <c r="B2753" s="1" t="n">
        <v>44454</v>
      </c>
      <c r="C2753" s="1" t="n">
        <v>45182</v>
      </c>
      <c r="D2753" t="inlineStr">
        <is>
          <t>SÖDERMANLANDS LÄN</t>
        </is>
      </c>
      <c r="E2753" t="inlineStr">
        <is>
          <t>FLEN</t>
        </is>
      </c>
      <c r="G2753" t="n">
        <v>14.7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49255-2021</t>
        </is>
      </c>
      <c r="B2754" s="1" t="n">
        <v>44454</v>
      </c>
      <c r="C2754" s="1" t="n">
        <v>45182</v>
      </c>
      <c r="D2754" t="inlineStr">
        <is>
          <t>SÖDERMANLANDS LÄN</t>
        </is>
      </c>
      <c r="E2754" t="inlineStr">
        <is>
          <t>FLEN</t>
        </is>
      </c>
      <c r="G2754" t="n">
        <v>15.6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49267-2021</t>
        </is>
      </c>
      <c r="B2755" s="1" t="n">
        <v>44454</v>
      </c>
      <c r="C2755" s="1" t="n">
        <v>45182</v>
      </c>
      <c r="D2755" t="inlineStr">
        <is>
          <t>SÖDERMANLANDS LÄN</t>
        </is>
      </c>
      <c r="E2755" t="inlineStr">
        <is>
          <t>VINGÅKER</t>
        </is>
      </c>
      <c r="G2755" t="n">
        <v>5.3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49494-2021</t>
        </is>
      </c>
      <c r="B2756" s="1" t="n">
        <v>44454</v>
      </c>
      <c r="C2756" s="1" t="n">
        <v>45182</v>
      </c>
      <c r="D2756" t="inlineStr">
        <is>
          <t>SÖDERMANLANDS LÄN</t>
        </is>
      </c>
      <c r="E2756" t="inlineStr">
        <is>
          <t>NYKÖPING</t>
        </is>
      </c>
      <c r="G2756" t="n">
        <v>0.6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49439-2021</t>
        </is>
      </c>
      <c r="B2757" s="1" t="n">
        <v>44454</v>
      </c>
      <c r="C2757" s="1" t="n">
        <v>45182</v>
      </c>
      <c r="D2757" t="inlineStr">
        <is>
          <t>SÖDERMANLANDS LÄN</t>
        </is>
      </c>
      <c r="E2757" t="inlineStr">
        <is>
          <t>ESKILSTUNA</t>
        </is>
      </c>
      <c r="G2757" t="n">
        <v>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49666-2021</t>
        </is>
      </c>
      <c r="B2758" s="1" t="n">
        <v>44455</v>
      </c>
      <c r="C2758" s="1" t="n">
        <v>45182</v>
      </c>
      <c r="D2758" t="inlineStr">
        <is>
          <t>SÖDERMANLANDS LÄN</t>
        </is>
      </c>
      <c r="E2758" t="inlineStr">
        <is>
          <t>ESKILSTUNA</t>
        </is>
      </c>
      <c r="G2758" t="n">
        <v>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49677-2021</t>
        </is>
      </c>
      <c r="B2759" s="1" t="n">
        <v>44455</v>
      </c>
      <c r="C2759" s="1" t="n">
        <v>45182</v>
      </c>
      <c r="D2759" t="inlineStr">
        <is>
          <t>SÖDERMANLANDS LÄN</t>
        </is>
      </c>
      <c r="E2759" t="inlineStr">
        <is>
          <t>KATRINEHOLM</t>
        </is>
      </c>
      <c r="G2759" t="n">
        <v>2.1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49784-2021</t>
        </is>
      </c>
      <c r="B2760" s="1" t="n">
        <v>44455</v>
      </c>
      <c r="C2760" s="1" t="n">
        <v>45182</v>
      </c>
      <c r="D2760" t="inlineStr">
        <is>
          <t>SÖDERMANLANDS LÄN</t>
        </is>
      </c>
      <c r="E2760" t="inlineStr">
        <is>
          <t>KATRINEHOLM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49569-2021</t>
        </is>
      </c>
      <c r="B2761" s="1" t="n">
        <v>44455</v>
      </c>
      <c r="C2761" s="1" t="n">
        <v>45182</v>
      </c>
      <c r="D2761" t="inlineStr">
        <is>
          <t>SÖDERMANLANDS LÄN</t>
        </is>
      </c>
      <c r="E2761" t="inlineStr">
        <is>
          <t>FLEN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49885-2021</t>
        </is>
      </c>
      <c r="B2762" s="1" t="n">
        <v>44455</v>
      </c>
      <c r="C2762" s="1" t="n">
        <v>45182</v>
      </c>
      <c r="D2762" t="inlineStr">
        <is>
          <t>SÖDERMANLANDS LÄN</t>
        </is>
      </c>
      <c r="E2762" t="inlineStr">
        <is>
          <t>GNESTA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49992-2021</t>
        </is>
      </c>
      <c r="B2763" s="1" t="n">
        <v>44456</v>
      </c>
      <c r="C2763" s="1" t="n">
        <v>45182</v>
      </c>
      <c r="D2763" t="inlineStr">
        <is>
          <t>SÖDERMANLANDS LÄN</t>
        </is>
      </c>
      <c r="E2763" t="inlineStr">
        <is>
          <t>STRÄNGNÄS</t>
        </is>
      </c>
      <c r="G2763" t="n">
        <v>1.9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50156-2021</t>
        </is>
      </c>
      <c r="B2764" s="1" t="n">
        <v>44456</v>
      </c>
      <c r="C2764" s="1" t="n">
        <v>45182</v>
      </c>
      <c r="D2764" t="inlineStr">
        <is>
          <t>SÖDERMANLANDS LÄN</t>
        </is>
      </c>
      <c r="E2764" t="inlineStr">
        <is>
          <t>NYKÖPING</t>
        </is>
      </c>
      <c r="G2764" t="n">
        <v>1.6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50500-2021</t>
        </is>
      </c>
      <c r="B2765" s="1" t="n">
        <v>44458</v>
      </c>
      <c r="C2765" s="1" t="n">
        <v>45182</v>
      </c>
      <c r="D2765" t="inlineStr">
        <is>
          <t>SÖDERMANLANDS LÄN</t>
        </is>
      </c>
      <c r="E2765" t="inlineStr">
        <is>
          <t>FLEN</t>
        </is>
      </c>
      <c r="G2765" t="n">
        <v>4.9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50494-2021</t>
        </is>
      </c>
      <c r="B2766" s="1" t="n">
        <v>44458</v>
      </c>
      <c r="C2766" s="1" t="n">
        <v>45182</v>
      </c>
      <c r="D2766" t="inlineStr">
        <is>
          <t>SÖDERMANLANDS LÄN</t>
        </is>
      </c>
      <c r="E2766" t="inlineStr">
        <is>
          <t>FLEN</t>
        </is>
      </c>
      <c r="G2766" t="n">
        <v>1.2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50799-2021</t>
        </is>
      </c>
      <c r="B2767" s="1" t="n">
        <v>44459</v>
      </c>
      <c r="C2767" s="1" t="n">
        <v>45182</v>
      </c>
      <c r="D2767" t="inlineStr">
        <is>
          <t>SÖDERMANLANDS LÄN</t>
        </is>
      </c>
      <c r="E2767" t="inlineStr">
        <is>
          <t>FLEN</t>
        </is>
      </c>
      <c r="G2767" t="n">
        <v>3.2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50301-2021</t>
        </is>
      </c>
      <c r="B2768" s="1" t="n">
        <v>44459</v>
      </c>
      <c r="C2768" s="1" t="n">
        <v>45182</v>
      </c>
      <c r="D2768" t="inlineStr">
        <is>
          <t>SÖDERMANLANDS LÄN</t>
        </is>
      </c>
      <c r="E2768" t="inlineStr">
        <is>
          <t>FLEN</t>
        </is>
      </c>
      <c r="G2768" t="n">
        <v>0.8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50334-2021</t>
        </is>
      </c>
      <c r="B2769" s="1" t="n">
        <v>44459</v>
      </c>
      <c r="C2769" s="1" t="n">
        <v>45182</v>
      </c>
      <c r="D2769" t="inlineStr">
        <is>
          <t>SÖDERMANLANDS LÄN</t>
        </is>
      </c>
      <c r="E2769" t="inlineStr">
        <is>
          <t>STRÄNGNÄS</t>
        </is>
      </c>
      <c r="G2769" t="n">
        <v>5.1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50296-2021</t>
        </is>
      </c>
      <c r="B2770" s="1" t="n">
        <v>44459</v>
      </c>
      <c r="C2770" s="1" t="n">
        <v>45182</v>
      </c>
      <c r="D2770" t="inlineStr">
        <is>
          <t>SÖDERMANLANDS LÄN</t>
        </is>
      </c>
      <c r="E2770" t="inlineStr">
        <is>
          <t>STRÄNGNÄS</t>
        </is>
      </c>
      <c r="G2770" t="n">
        <v>1.3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50796-2021</t>
        </is>
      </c>
      <c r="B2771" s="1" t="n">
        <v>44459</v>
      </c>
      <c r="C2771" s="1" t="n">
        <v>45182</v>
      </c>
      <c r="D2771" t="inlineStr">
        <is>
          <t>SÖDERMANLANDS LÄN</t>
        </is>
      </c>
      <c r="E2771" t="inlineStr">
        <is>
          <t>FLEN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51128-2021</t>
        </is>
      </c>
      <c r="B2772" s="1" t="n">
        <v>44460</v>
      </c>
      <c r="C2772" s="1" t="n">
        <v>45182</v>
      </c>
      <c r="D2772" t="inlineStr">
        <is>
          <t>SÖDERMANLANDS LÄN</t>
        </is>
      </c>
      <c r="E2772" t="inlineStr">
        <is>
          <t>KATRINEHOLM</t>
        </is>
      </c>
      <c r="G2772" t="n">
        <v>7.8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51260-2021</t>
        </is>
      </c>
      <c r="B2773" s="1" t="n">
        <v>44461</v>
      </c>
      <c r="C2773" s="1" t="n">
        <v>45182</v>
      </c>
      <c r="D2773" t="inlineStr">
        <is>
          <t>SÖDERMANLANDS LÄN</t>
        </is>
      </c>
      <c r="E2773" t="inlineStr">
        <is>
          <t>KATRINEHOLM</t>
        </is>
      </c>
      <c r="G2773" t="n">
        <v>0.7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51486-2021</t>
        </is>
      </c>
      <c r="B2774" s="1" t="n">
        <v>44461</v>
      </c>
      <c r="C2774" s="1" t="n">
        <v>45182</v>
      </c>
      <c r="D2774" t="inlineStr">
        <is>
          <t>SÖDERMANLANDS LÄN</t>
        </is>
      </c>
      <c r="E2774" t="inlineStr">
        <is>
          <t>ESKILSTUNA</t>
        </is>
      </c>
      <c r="G2774" t="n">
        <v>5.7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51133-2021</t>
        </is>
      </c>
      <c r="B2775" s="1" t="n">
        <v>44461</v>
      </c>
      <c r="C2775" s="1" t="n">
        <v>45182</v>
      </c>
      <c r="D2775" t="inlineStr">
        <is>
          <t>SÖDERMANLANDS LÄN</t>
        </is>
      </c>
      <c r="E2775" t="inlineStr">
        <is>
          <t>KATRINEHOLM</t>
        </is>
      </c>
      <c r="F2775" t="inlineStr">
        <is>
          <t>Allmännings- och besparingsskogar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51339-2021</t>
        </is>
      </c>
      <c r="B2776" s="1" t="n">
        <v>44461</v>
      </c>
      <c r="C2776" s="1" t="n">
        <v>45182</v>
      </c>
      <c r="D2776" t="inlineStr">
        <is>
          <t>SÖDERMANLANDS LÄN</t>
        </is>
      </c>
      <c r="E2776" t="inlineStr">
        <is>
          <t>GNESTA</t>
        </is>
      </c>
      <c r="G2776" t="n">
        <v>3.7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51264-2021</t>
        </is>
      </c>
      <c r="B2777" s="1" t="n">
        <v>44461</v>
      </c>
      <c r="C2777" s="1" t="n">
        <v>45182</v>
      </c>
      <c r="D2777" t="inlineStr">
        <is>
          <t>SÖDERMANLANDS LÄN</t>
        </is>
      </c>
      <c r="E2777" t="inlineStr">
        <is>
          <t>KATRINEHOLM</t>
        </is>
      </c>
      <c r="G2777" t="n">
        <v>3.1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51741-2021</t>
        </is>
      </c>
      <c r="B2778" s="1" t="n">
        <v>44461</v>
      </c>
      <c r="C2778" s="1" t="n">
        <v>45182</v>
      </c>
      <c r="D2778" t="inlineStr">
        <is>
          <t>SÖDERMANLANDS LÄN</t>
        </is>
      </c>
      <c r="E2778" t="inlineStr">
        <is>
          <t>KATRINEHOLM</t>
        </is>
      </c>
      <c r="G2778" t="n">
        <v>4.9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52055-2021</t>
        </is>
      </c>
      <c r="B2779" s="1" t="n">
        <v>44462</v>
      </c>
      <c r="C2779" s="1" t="n">
        <v>45182</v>
      </c>
      <c r="D2779" t="inlineStr">
        <is>
          <t>SÖDERMANLANDS LÄN</t>
        </is>
      </c>
      <c r="E2779" t="inlineStr">
        <is>
          <t>NYKÖPING</t>
        </is>
      </c>
      <c r="G2779" t="n">
        <v>2.6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51691-2021</t>
        </is>
      </c>
      <c r="B2780" s="1" t="n">
        <v>44462</v>
      </c>
      <c r="C2780" s="1" t="n">
        <v>45182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1.9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51711-2021</t>
        </is>
      </c>
      <c r="B2781" s="1" t="n">
        <v>44462</v>
      </c>
      <c r="C2781" s="1" t="n">
        <v>45182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51720-2021</t>
        </is>
      </c>
      <c r="B2782" s="1" t="n">
        <v>44462</v>
      </c>
      <c r="C2782" s="1" t="n">
        <v>45182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51725-2021</t>
        </is>
      </c>
      <c r="B2783" s="1" t="n">
        <v>44462</v>
      </c>
      <c r="C2783" s="1" t="n">
        <v>45182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51689-2021</t>
        </is>
      </c>
      <c r="B2784" s="1" t="n">
        <v>44462</v>
      </c>
      <c r="C2784" s="1" t="n">
        <v>45182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51700-2021</t>
        </is>
      </c>
      <c r="B2785" s="1" t="n">
        <v>44462</v>
      </c>
      <c r="C2785" s="1" t="n">
        <v>45182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2.4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51715-2021</t>
        </is>
      </c>
      <c r="B2786" s="1" t="n">
        <v>44462</v>
      </c>
      <c r="C2786" s="1" t="n">
        <v>45182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51722-2021</t>
        </is>
      </c>
      <c r="B2787" s="1" t="n">
        <v>44462</v>
      </c>
      <c r="C2787" s="1" t="n">
        <v>45182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51865-2021</t>
        </is>
      </c>
      <c r="B2788" s="1" t="n">
        <v>44462</v>
      </c>
      <c r="C2788" s="1" t="n">
        <v>45182</v>
      </c>
      <c r="D2788" t="inlineStr">
        <is>
          <t>SÖDERMANLANDS LÄN</t>
        </is>
      </c>
      <c r="E2788" t="inlineStr">
        <is>
          <t>VINGÅKER</t>
        </is>
      </c>
      <c r="G2788" t="n">
        <v>2.6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52500-2021</t>
        </is>
      </c>
      <c r="B2789" s="1" t="n">
        <v>44463</v>
      </c>
      <c r="C2789" s="1" t="n">
        <v>45182</v>
      </c>
      <c r="D2789" t="inlineStr">
        <is>
          <t>SÖDERMANLANDS LÄN</t>
        </is>
      </c>
      <c r="E2789" t="inlineStr">
        <is>
          <t>FLEN</t>
        </is>
      </c>
      <c r="G2789" t="n">
        <v>9.4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52546-2021</t>
        </is>
      </c>
      <c r="B2790" s="1" t="n">
        <v>44463</v>
      </c>
      <c r="C2790" s="1" t="n">
        <v>45182</v>
      </c>
      <c r="D2790" t="inlineStr">
        <is>
          <t>SÖDERMANLANDS LÄN</t>
        </is>
      </c>
      <c r="E2790" t="inlineStr">
        <is>
          <t>FLEN</t>
        </is>
      </c>
      <c r="G2790" t="n">
        <v>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52044-2021</t>
        </is>
      </c>
      <c r="B2791" s="1" t="n">
        <v>44463</v>
      </c>
      <c r="C2791" s="1" t="n">
        <v>45182</v>
      </c>
      <c r="D2791" t="inlineStr">
        <is>
          <t>SÖDERMANLANDS LÄN</t>
        </is>
      </c>
      <c r="E2791" t="inlineStr">
        <is>
          <t>KATRINEHOLM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52534-2021</t>
        </is>
      </c>
      <c r="B2792" s="1" t="n">
        <v>44463</v>
      </c>
      <c r="C2792" s="1" t="n">
        <v>45182</v>
      </c>
      <c r="D2792" t="inlineStr">
        <is>
          <t>SÖDERMANLANDS LÄN</t>
        </is>
      </c>
      <c r="E2792" t="inlineStr">
        <is>
          <t>FLEN</t>
        </is>
      </c>
      <c r="G2792" t="n">
        <v>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52045-2021</t>
        </is>
      </c>
      <c r="B2793" s="1" t="n">
        <v>44463</v>
      </c>
      <c r="C2793" s="1" t="n">
        <v>45182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52541-2021</t>
        </is>
      </c>
      <c r="B2794" s="1" t="n">
        <v>44463</v>
      </c>
      <c r="C2794" s="1" t="n">
        <v>45182</v>
      </c>
      <c r="D2794" t="inlineStr">
        <is>
          <t>SÖDERMANLANDS LÄN</t>
        </is>
      </c>
      <c r="E2794" t="inlineStr">
        <is>
          <t>FLEN</t>
        </is>
      </c>
      <c r="G2794" t="n">
        <v>6.3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52519-2021</t>
        </is>
      </c>
      <c r="B2795" s="1" t="n">
        <v>44463</v>
      </c>
      <c r="C2795" s="1" t="n">
        <v>45182</v>
      </c>
      <c r="D2795" t="inlineStr">
        <is>
          <t>SÖDERMANLANDS LÄN</t>
        </is>
      </c>
      <c r="E2795" t="inlineStr">
        <is>
          <t>FLEN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52563-2021</t>
        </is>
      </c>
      <c r="B2796" s="1" t="n">
        <v>44463</v>
      </c>
      <c r="C2796" s="1" t="n">
        <v>45182</v>
      </c>
      <c r="D2796" t="inlineStr">
        <is>
          <t>SÖDERMANLANDS LÄN</t>
        </is>
      </c>
      <c r="E2796" t="inlineStr">
        <is>
          <t>FLEN</t>
        </is>
      </c>
      <c r="G2796" t="n">
        <v>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52692-2021</t>
        </is>
      </c>
      <c r="B2797" s="1" t="n">
        <v>44466</v>
      </c>
      <c r="C2797" s="1" t="n">
        <v>45182</v>
      </c>
      <c r="D2797" t="inlineStr">
        <is>
          <t>SÖDERMANLANDS LÄN</t>
        </is>
      </c>
      <c r="E2797" t="inlineStr">
        <is>
          <t>FLEN</t>
        </is>
      </c>
      <c r="G2797" t="n">
        <v>2.2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52857-2021</t>
        </is>
      </c>
      <c r="B2798" s="1" t="n">
        <v>44466</v>
      </c>
      <c r="C2798" s="1" t="n">
        <v>45182</v>
      </c>
      <c r="D2798" t="inlineStr">
        <is>
          <t>SÖDERMANLANDS LÄN</t>
        </is>
      </c>
      <c r="E2798" t="inlineStr">
        <is>
          <t>KATRINEHOLM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53201-2021</t>
        </is>
      </c>
      <c r="B2799" s="1" t="n">
        <v>44466</v>
      </c>
      <c r="C2799" s="1" t="n">
        <v>45182</v>
      </c>
      <c r="D2799" t="inlineStr">
        <is>
          <t>SÖDERMANLANDS LÄN</t>
        </is>
      </c>
      <c r="E2799" t="inlineStr">
        <is>
          <t>NYKÖPING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61174-2021</t>
        </is>
      </c>
      <c r="B2800" s="1" t="n">
        <v>44466</v>
      </c>
      <c r="C2800" s="1" t="n">
        <v>45182</v>
      </c>
      <c r="D2800" t="inlineStr">
        <is>
          <t>SÖDERMANLANDS LÄN</t>
        </is>
      </c>
      <c r="E2800" t="inlineStr">
        <is>
          <t>KATRINEHOLM</t>
        </is>
      </c>
      <c r="G2800" t="n">
        <v>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52543-2021</t>
        </is>
      </c>
      <c r="B2801" s="1" t="n">
        <v>44466</v>
      </c>
      <c r="C2801" s="1" t="n">
        <v>45182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Holmen skog AB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53240-2021</t>
        </is>
      </c>
      <c r="B2802" s="1" t="n">
        <v>44466</v>
      </c>
      <c r="C2802" s="1" t="n">
        <v>45182</v>
      </c>
      <c r="D2802" t="inlineStr">
        <is>
          <t>SÖDERMANLANDS LÄN</t>
        </is>
      </c>
      <c r="E2802" t="inlineStr">
        <is>
          <t>KATRINEHOLM</t>
        </is>
      </c>
      <c r="G2802" t="n">
        <v>0.9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52535-2021</t>
        </is>
      </c>
      <c r="B2803" s="1" t="n">
        <v>44466</v>
      </c>
      <c r="C2803" s="1" t="n">
        <v>45182</v>
      </c>
      <c r="D2803" t="inlineStr">
        <is>
          <t>SÖDERMANLANDS LÄN</t>
        </is>
      </c>
      <c r="E2803" t="inlineStr">
        <is>
          <t>NYKÖPING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52684-2021</t>
        </is>
      </c>
      <c r="B2804" s="1" t="n">
        <v>44466</v>
      </c>
      <c r="C2804" s="1" t="n">
        <v>45182</v>
      </c>
      <c r="D2804" t="inlineStr">
        <is>
          <t>SÖDERMANLANDS LÄN</t>
        </is>
      </c>
      <c r="E2804" t="inlineStr">
        <is>
          <t>NYKÖPING</t>
        </is>
      </c>
      <c r="G2804" t="n">
        <v>1.3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53829-2021</t>
        </is>
      </c>
      <c r="B2805" s="1" t="n">
        <v>44467</v>
      </c>
      <c r="C2805" s="1" t="n">
        <v>45182</v>
      </c>
      <c r="D2805" t="inlineStr">
        <is>
          <t>SÖDERMANLANDS LÄN</t>
        </is>
      </c>
      <c r="E2805" t="inlineStr">
        <is>
          <t>KATRINEHOLM</t>
        </is>
      </c>
      <c r="G2805" t="n">
        <v>4.5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52830-2021</t>
        </is>
      </c>
      <c r="B2806" s="1" t="n">
        <v>44467</v>
      </c>
      <c r="C2806" s="1" t="n">
        <v>45182</v>
      </c>
      <c r="D2806" t="inlineStr">
        <is>
          <t>SÖDERMANLANDS LÄN</t>
        </is>
      </c>
      <c r="E2806" t="inlineStr">
        <is>
          <t>ESKILSTUNA</t>
        </is>
      </c>
      <c r="G2806" t="n">
        <v>8.6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53049-2021</t>
        </is>
      </c>
      <c r="B2807" s="1" t="n">
        <v>44467</v>
      </c>
      <c r="C2807" s="1" t="n">
        <v>45182</v>
      </c>
      <c r="D2807" t="inlineStr">
        <is>
          <t>SÖDERMANLANDS LÄN</t>
        </is>
      </c>
      <c r="E2807" t="inlineStr">
        <is>
          <t>GNESTA</t>
        </is>
      </c>
      <c r="G2807" t="n">
        <v>4.8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53809-2021</t>
        </is>
      </c>
      <c r="B2808" s="1" t="n">
        <v>44467</v>
      </c>
      <c r="C2808" s="1" t="n">
        <v>45182</v>
      </c>
      <c r="D2808" t="inlineStr">
        <is>
          <t>SÖDERMANLANDS LÄN</t>
        </is>
      </c>
      <c r="E2808" t="inlineStr">
        <is>
          <t>KATRINEHOLM</t>
        </is>
      </c>
      <c r="G2808" t="n">
        <v>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53846-2021</t>
        </is>
      </c>
      <c r="B2809" s="1" t="n">
        <v>44467</v>
      </c>
      <c r="C2809" s="1" t="n">
        <v>45182</v>
      </c>
      <c r="D2809" t="inlineStr">
        <is>
          <t>SÖDERMANLANDS LÄN</t>
        </is>
      </c>
      <c r="E2809" t="inlineStr">
        <is>
          <t>KATRINEHOLM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52825-2021</t>
        </is>
      </c>
      <c r="B2810" s="1" t="n">
        <v>44467</v>
      </c>
      <c r="C2810" s="1" t="n">
        <v>45182</v>
      </c>
      <c r="D2810" t="inlineStr">
        <is>
          <t>SÖDERMANLANDS LÄN</t>
        </is>
      </c>
      <c r="E2810" t="inlineStr">
        <is>
          <t>ESKILSTUNA</t>
        </is>
      </c>
      <c r="G2810" t="n">
        <v>9.300000000000001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53823-2021</t>
        </is>
      </c>
      <c r="B2811" s="1" t="n">
        <v>44467</v>
      </c>
      <c r="C2811" s="1" t="n">
        <v>45182</v>
      </c>
      <c r="D2811" t="inlineStr">
        <is>
          <t>SÖDERMANLANDS LÄN</t>
        </is>
      </c>
      <c r="E2811" t="inlineStr">
        <is>
          <t>KATRINEHOLM</t>
        </is>
      </c>
      <c r="G2811" t="n">
        <v>1.1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53860-2021</t>
        </is>
      </c>
      <c r="B2812" s="1" t="n">
        <v>44467</v>
      </c>
      <c r="C2812" s="1" t="n">
        <v>45182</v>
      </c>
      <c r="D2812" t="inlineStr">
        <is>
          <t>SÖDERMANLANDS LÄN</t>
        </is>
      </c>
      <c r="E2812" t="inlineStr">
        <is>
          <t>KATRINEHOLM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53349-2021</t>
        </is>
      </c>
      <c r="B2813" s="1" t="n">
        <v>44468</v>
      </c>
      <c r="C2813" s="1" t="n">
        <v>45182</v>
      </c>
      <c r="D2813" t="inlineStr">
        <is>
          <t>SÖDERMANLANDS LÄN</t>
        </is>
      </c>
      <c r="E2813" t="inlineStr">
        <is>
          <t>KATRINEHOLM</t>
        </is>
      </c>
      <c r="G2813" t="n">
        <v>4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53374-2021</t>
        </is>
      </c>
      <c r="B2814" s="1" t="n">
        <v>44468</v>
      </c>
      <c r="C2814" s="1" t="n">
        <v>45182</v>
      </c>
      <c r="D2814" t="inlineStr">
        <is>
          <t>SÖDERMANLANDS LÄN</t>
        </is>
      </c>
      <c r="E2814" t="inlineStr">
        <is>
          <t>NYKÖPING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53476-2021</t>
        </is>
      </c>
      <c r="B2815" s="1" t="n">
        <v>44468</v>
      </c>
      <c r="C2815" s="1" t="n">
        <v>45182</v>
      </c>
      <c r="D2815" t="inlineStr">
        <is>
          <t>SÖDERMANLANDS LÄN</t>
        </is>
      </c>
      <c r="E2815" t="inlineStr">
        <is>
          <t>ESKILSTUNA</t>
        </is>
      </c>
      <c r="G2815" t="n">
        <v>3.5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53208-2021</t>
        </is>
      </c>
      <c r="B2816" s="1" t="n">
        <v>44468</v>
      </c>
      <c r="C2816" s="1" t="n">
        <v>45182</v>
      </c>
      <c r="D2816" t="inlineStr">
        <is>
          <t>SÖDERMANLANDS LÄN</t>
        </is>
      </c>
      <c r="E2816" t="inlineStr">
        <is>
          <t>ESKILSTUNA</t>
        </is>
      </c>
      <c r="G2816" t="n">
        <v>1.2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53473-2021</t>
        </is>
      </c>
      <c r="B2817" s="1" t="n">
        <v>44468</v>
      </c>
      <c r="C2817" s="1" t="n">
        <v>45182</v>
      </c>
      <c r="D2817" t="inlineStr">
        <is>
          <t>SÖDERMANLANDS LÄN</t>
        </is>
      </c>
      <c r="E2817" t="inlineStr">
        <is>
          <t>KATRINEHOLM</t>
        </is>
      </c>
      <c r="G2817" t="n">
        <v>10.8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53863-2021</t>
        </is>
      </c>
      <c r="B2818" s="1" t="n">
        <v>44468</v>
      </c>
      <c r="C2818" s="1" t="n">
        <v>45182</v>
      </c>
      <c r="D2818" t="inlineStr">
        <is>
          <t>SÖDERMANLANDS LÄN</t>
        </is>
      </c>
      <c r="E2818" t="inlineStr">
        <is>
          <t>VINGÅKER</t>
        </is>
      </c>
      <c r="G2818" t="n">
        <v>2.3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53661-2021</t>
        </is>
      </c>
      <c r="B2819" s="1" t="n">
        <v>44469</v>
      </c>
      <c r="C2819" s="1" t="n">
        <v>45182</v>
      </c>
      <c r="D2819" t="inlineStr">
        <is>
          <t>SÖDERMANLANDS LÄN</t>
        </is>
      </c>
      <c r="E2819" t="inlineStr">
        <is>
          <t>ESKILSTUNA</t>
        </is>
      </c>
      <c r="F2819" t="inlineStr">
        <is>
          <t>Kommuner</t>
        </is>
      </c>
      <c r="G2819" t="n">
        <v>5.6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53920-2021</t>
        </is>
      </c>
      <c r="B2820" s="1" t="n">
        <v>44469</v>
      </c>
      <c r="C2820" s="1" t="n">
        <v>45182</v>
      </c>
      <c r="D2820" t="inlineStr">
        <is>
          <t>SÖDERMANLANDS LÄN</t>
        </is>
      </c>
      <c r="E2820" t="inlineStr">
        <is>
          <t>NYKÖPING</t>
        </is>
      </c>
      <c r="G2820" t="n">
        <v>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53608-2021</t>
        </is>
      </c>
      <c r="B2821" s="1" t="n">
        <v>44469</v>
      </c>
      <c r="C2821" s="1" t="n">
        <v>45182</v>
      </c>
      <c r="D2821" t="inlineStr">
        <is>
          <t>SÖDERMANLANDS LÄN</t>
        </is>
      </c>
      <c r="E2821" t="inlineStr">
        <is>
          <t>FLEN</t>
        </is>
      </c>
      <c r="F2821" t="inlineStr">
        <is>
          <t>Holmen skog AB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53930-2021</t>
        </is>
      </c>
      <c r="B2822" s="1" t="n">
        <v>44469</v>
      </c>
      <c r="C2822" s="1" t="n">
        <v>45182</v>
      </c>
      <c r="D2822" t="inlineStr">
        <is>
          <t>SÖDERMANLANDS LÄN</t>
        </is>
      </c>
      <c r="E2822" t="inlineStr">
        <is>
          <t>FLEN</t>
        </is>
      </c>
      <c r="G2822" t="n">
        <v>4.2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54169-2021</t>
        </is>
      </c>
      <c r="B2823" s="1" t="n">
        <v>44469</v>
      </c>
      <c r="C2823" s="1" t="n">
        <v>45182</v>
      </c>
      <c r="D2823" t="inlineStr">
        <is>
          <t>SÖDERMANLANDS LÄN</t>
        </is>
      </c>
      <c r="E2823" t="inlineStr">
        <is>
          <t>ESKILSTUNA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54047-2021</t>
        </is>
      </c>
      <c r="B2824" s="1" t="n">
        <v>44470</v>
      </c>
      <c r="C2824" s="1" t="n">
        <v>45182</v>
      </c>
      <c r="D2824" t="inlineStr">
        <is>
          <t>SÖDERMANLANDS LÄN</t>
        </is>
      </c>
      <c r="E2824" t="inlineStr">
        <is>
          <t>ESKILSTUNA</t>
        </is>
      </c>
      <c r="G2824" t="n">
        <v>1.5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54112-2021</t>
        </is>
      </c>
      <c r="B2825" s="1" t="n">
        <v>44470</v>
      </c>
      <c r="C2825" s="1" t="n">
        <v>45182</v>
      </c>
      <c r="D2825" t="inlineStr">
        <is>
          <t>SÖDERMANLANDS LÄN</t>
        </is>
      </c>
      <c r="E2825" t="inlineStr">
        <is>
          <t>VINGÅKER</t>
        </is>
      </c>
      <c r="G2825" t="n">
        <v>4.7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54179-2021</t>
        </is>
      </c>
      <c r="B2826" s="1" t="n">
        <v>44470</v>
      </c>
      <c r="C2826" s="1" t="n">
        <v>45182</v>
      </c>
      <c r="D2826" t="inlineStr">
        <is>
          <t>SÖDERMANLANDS LÄN</t>
        </is>
      </c>
      <c r="E2826" t="inlineStr">
        <is>
          <t>FLEN</t>
        </is>
      </c>
      <c r="G2826" t="n">
        <v>4.1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54325-2021</t>
        </is>
      </c>
      <c r="B2827" s="1" t="n">
        <v>44472</v>
      </c>
      <c r="C2827" s="1" t="n">
        <v>45182</v>
      </c>
      <c r="D2827" t="inlineStr">
        <is>
          <t>SÖDERMANLANDS LÄN</t>
        </is>
      </c>
      <c r="E2827" t="inlineStr">
        <is>
          <t>FLEN</t>
        </is>
      </c>
      <c r="G2827" t="n">
        <v>1.6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54633-2021</t>
        </is>
      </c>
      <c r="B2828" s="1" t="n">
        <v>44473</v>
      </c>
      <c r="C2828" s="1" t="n">
        <v>45182</v>
      </c>
      <c r="D2828" t="inlineStr">
        <is>
          <t>SÖDERMANLANDS LÄN</t>
        </is>
      </c>
      <c r="E2828" t="inlineStr">
        <is>
          <t>ESKILSTUNA</t>
        </is>
      </c>
      <c r="G2828" t="n">
        <v>4.8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54666-2021</t>
        </is>
      </c>
      <c r="B2829" s="1" t="n">
        <v>44473</v>
      </c>
      <c r="C2829" s="1" t="n">
        <v>45182</v>
      </c>
      <c r="D2829" t="inlineStr">
        <is>
          <t>SÖDERMANLANDS LÄN</t>
        </is>
      </c>
      <c r="E2829" t="inlineStr">
        <is>
          <t>FLEN</t>
        </is>
      </c>
      <c r="G2829" t="n">
        <v>10.1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54704-2021</t>
        </is>
      </c>
      <c r="B2830" s="1" t="n">
        <v>44473</v>
      </c>
      <c r="C2830" s="1" t="n">
        <v>45182</v>
      </c>
      <c r="D2830" t="inlineStr">
        <is>
          <t>SÖDERMANLANDS LÄN</t>
        </is>
      </c>
      <c r="E2830" t="inlineStr">
        <is>
          <t>KATRINEHOLM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54598-2021</t>
        </is>
      </c>
      <c r="B2831" s="1" t="n">
        <v>44473</v>
      </c>
      <c r="C2831" s="1" t="n">
        <v>45182</v>
      </c>
      <c r="D2831" t="inlineStr">
        <is>
          <t>SÖDERMANLANDS LÄN</t>
        </is>
      </c>
      <c r="E2831" t="inlineStr">
        <is>
          <t>ESKILSTUNA</t>
        </is>
      </c>
      <c r="G2831" t="n">
        <v>1.3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54645-2021</t>
        </is>
      </c>
      <c r="B2832" s="1" t="n">
        <v>44473</v>
      </c>
      <c r="C2832" s="1" t="n">
        <v>45182</v>
      </c>
      <c r="D2832" t="inlineStr">
        <is>
          <t>SÖDERMANLANDS LÄN</t>
        </is>
      </c>
      <c r="E2832" t="inlineStr">
        <is>
          <t>FLEN</t>
        </is>
      </c>
      <c r="G2832" t="n">
        <v>1.2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54702-2021</t>
        </is>
      </c>
      <c r="B2833" s="1" t="n">
        <v>44473</v>
      </c>
      <c r="C2833" s="1" t="n">
        <v>45182</v>
      </c>
      <c r="D2833" t="inlineStr">
        <is>
          <t>SÖDERMANLANDS LÄN</t>
        </is>
      </c>
      <c r="E2833" t="inlineStr">
        <is>
          <t>GNESTA</t>
        </is>
      </c>
      <c r="G2833" t="n">
        <v>1.1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54698-2021</t>
        </is>
      </c>
      <c r="B2834" s="1" t="n">
        <v>44473</v>
      </c>
      <c r="C2834" s="1" t="n">
        <v>45182</v>
      </c>
      <c r="D2834" t="inlineStr">
        <is>
          <t>SÖDERMANLANDS LÄN</t>
        </is>
      </c>
      <c r="E2834" t="inlineStr">
        <is>
          <t>KATRINEHOLM</t>
        </is>
      </c>
      <c r="F2834" t="inlineStr">
        <is>
          <t>Holmen skog AB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54862-2021</t>
        </is>
      </c>
      <c r="B2835" s="1" t="n">
        <v>44473</v>
      </c>
      <c r="C2835" s="1" t="n">
        <v>45182</v>
      </c>
      <c r="D2835" t="inlineStr">
        <is>
          <t>SÖDERMANLANDS LÄN</t>
        </is>
      </c>
      <c r="E2835" t="inlineStr">
        <is>
          <t>KATRINEHOLM</t>
        </is>
      </c>
      <c r="G2835" t="n">
        <v>1.7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54980-2021</t>
        </is>
      </c>
      <c r="B2836" s="1" t="n">
        <v>44474</v>
      </c>
      <c r="C2836" s="1" t="n">
        <v>45182</v>
      </c>
      <c r="D2836" t="inlineStr">
        <is>
          <t>SÖDERMANLANDS LÄN</t>
        </is>
      </c>
      <c r="E2836" t="inlineStr">
        <is>
          <t>VINGÅKER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54897-2021</t>
        </is>
      </c>
      <c r="B2837" s="1" t="n">
        <v>44474</v>
      </c>
      <c r="C2837" s="1" t="n">
        <v>45182</v>
      </c>
      <c r="D2837" t="inlineStr">
        <is>
          <t>SÖDERMANLANDS LÄN</t>
        </is>
      </c>
      <c r="E2837" t="inlineStr">
        <is>
          <t>NYKÖPING</t>
        </is>
      </c>
      <c r="F2837" t="inlineStr">
        <is>
          <t>Holmen skog AB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54978-2021</t>
        </is>
      </c>
      <c r="B2838" s="1" t="n">
        <v>44474</v>
      </c>
      <c r="C2838" s="1" t="n">
        <v>45182</v>
      </c>
      <c r="D2838" t="inlineStr">
        <is>
          <t>SÖDERMANLANDS LÄN</t>
        </is>
      </c>
      <c r="E2838" t="inlineStr">
        <is>
          <t>VINGÅKER</t>
        </is>
      </c>
      <c r="G2838" t="n">
        <v>2.7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55014-2021</t>
        </is>
      </c>
      <c r="B2839" s="1" t="n">
        <v>44474</v>
      </c>
      <c r="C2839" s="1" t="n">
        <v>45182</v>
      </c>
      <c r="D2839" t="inlineStr">
        <is>
          <t>SÖDERMANLANDS LÄN</t>
        </is>
      </c>
      <c r="E2839" t="inlineStr">
        <is>
          <t>NYKÖPING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55034-2021</t>
        </is>
      </c>
      <c r="B2840" s="1" t="n">
        <v>44474</v>
      </c>
      <c r="C2840" s="1" t="n">
        <v>45182</v>
      </c>
      <c r="D2840" t="inlineStr">
        <is>
          <t>SÖDERMANLANDS LÄN</t>
        </is>
      </c>
      <c r="E2840" t="inlineStr">
        <is>
          <t>KATRINEHOLM</t>
        </is>
      </c>
      <c r="G2840" t="n">
        <v>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55272-2021</t>
        </is>
      </c>
      <c r="B2841" s="1" t="n">
        <v>44475</v>
      </c>
      <c r="C2841" s="1" t="n">
        <v>45182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55304-2021</t>
        </is>
      </c>
      <c r="B2842" s="1" t="n">
        <v>44475</v>
      </c>
      <c r="C2842" s="1" t="n">
        <v>45182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Sveaskog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55450-2021</t>
        </is>
      </c>
      <c r="B2843" s="1" t="n">
        <v>44475</v>
      </c>
      <c r="C2843" s="1" t="n">
        <v>45182</v>
      </c>
      <c r="D2843" t="inlineStr">
        <is>
          <t>SÖDERMANLANDS LÄN</t>
        </is>
      </c>
      <c r="E2843" t="inlineStr">
        <is>
          <t>VINGÅKER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55310-2021</t>
        </is>
      </c>
      <c r="B2844" s="1" t="n">
        <v>44475</v>
      </c>
      <c r="C2844" s="1" t="n">
        <v>45182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Sveaskog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55349-2021</t>
        </is>
      </c>
      <c r="B2845" s="1" t="n">
        <v>44475</v>
      </c>
      <c r="C2845" s="1" t="n">
        <v>45182</v>
      </c>
      <c r="D2845" t="inlineStr">
        <is>
          <t>SÖDERMANLANDS LÄN</t>
        </is>
      </c>
      <c r="E2845" t="inlineStr">
        <is>
          <t>KATRINEHOLM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55506-2021</t>
        </is>
      </c>
      <c r="B2846" s="1" t="n">
        <v>44475</v>
      </c>
      <c r="C2846" s="1" t="n">
        <v>45182</v>
      </c>
      <c r="D2846" t="inlineStr">
        <is>
          <t>SÖDERMANLANDS LÄN</t>
        </is>
      </c>
      <c r="E2846" t="inlineStr">
        <is>
          <t>NYKÖPING</t>
        </is>
      </c>
      <c r="G2846" t="n">
        <v>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55632-2021</t>
        </is>
      </c>
      <c r="B2847" s="1" t="n">
        <v>44475</v>
      </c>
      <c r="C2847" s="1" t="n">
        <v>45182</v>
      </c>
      <c r="D2847" t="inlineStr">
        <is>
          <t>SÖDERMANLANDS LÄN</t>
        </is>
      </c>
      <c r="E2847" t="inlineStr">
        <is>
          <t>GNESTA</t>
        </is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55421-2021</t>
        </is>
      </c>
      <c r="B2848" s="1" t="n">
        <v>44475</v>
      </c>
      <c r="C2848" s="1" t="n">
        <v>45182</v>
      </c>
      <c r="D2848" t="inlineStr">
        <is>
          <t>SÖDERMANLANDS LÄN</t>
        </is>
      </c>
      <c r="E2848" t="inlineStr">
        <is>
          <t>VINGÅKER</t>
        </is>
      </c>
      <c r="G2848" t="n">
        <v>1.2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55440-2021</t>
        </is>
      </c>
      <c r="B2849" s="1" t="n">
        <v>44475</v>
      </c>
      <c r="C2849" s="1" t="n">
        <v>45182</v>
      </c>
      <c r="D2849" t="inlineStr">
        <is>
          <t>SÖDERMANLANDS LÄN</t>
        </is>
      </c>
      <c r="E2849" t="inlineStr">
        <is>
          <t>STRÄNGNÄS</t>
        </is>
      </c>
      <c r="F2849" t="inlineStr">
        <is>
          <t>Övriga Aktiebolag</t>
        </is>
      </c>
      <c r="G2849" t="n">
        <v>11.7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55497-2021</t>
        </is>
      </c>
      <c r="B2850" s="1" t="n">
        <v>44475</v>
      </c>
      <c r="C2850" s="1" t="n">
        <v>45182</v>
      </c>
      <c r="D2850" t="inlineStr">
        <is>
          <t>SÖDERMANLANDS LÄN</t>
        </is>
      </c>
      <c r="E2850" t="inlineStr">
        <is>
          <t>NYKÖPING</t>
        </is>
      </c>
      <c r="G2850" t="n">
        <v>7.7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55663-2021</t>
        </is>
      </c>
      <c r="B2851" s="1" t="n">
        <v>44475</v>
      </c>
      <c r="C2851" s="1" t="n">
        <v>45182</v>
      </c>
      <c r="D2851" t="inlineStr">
        <is>
          <t>SÖDERMANLANDS LÄN</t>
        </is>
      </c>
      <c r="E2851" t="inlineStr">
        <is>
          <t>STRÄNGNÄS</t>
        </is>
      </c>
      <c r="G2851" t="n">
        <v>2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55307-2021</t>
        </is>
      </c>
      <c r="B2852" s="1" t="n">
        <v>44475</v>
      </c>
      <c r="C2852" s="1" t="n">
        <v>45182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Övriga Aktiebolag</t>
        </is>
      </c>
      <c r="G2852" t="n">
        <v>4.4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55434-2021</t>
        </is>
      </c>
      <c r="B2853" s="1" t="n">
        <v>44475</v>
      </c>
      <c r="C2853" s="1" t="n">
        <v>45182</v>
      </c>
      <c r="D2853" t="inlineStr">
        <is>
          <t>SÖDERMANLANDS LÄN</t>
        </is>
      </c>
      <c r="E2853" t="inlineStr">
        <is>
          <t>VINGÅKER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55773-2021</t>
        </is>
      </c>
      <c r="B2854" s="1" t="n">
        <v>44476</v>
      </c>
      <c r="C2854" s="1" t="n">
        <v>45182</v>
      </c>
      <c r="D2854" t="inlineStr">
        <is>
          <t>SÖDERMANLANDS LÄN</t>
        </is>
      </c>
      <c r="E2854" t="inlineStr">
        <is>
          <t>KATRINEHOLM</t>
        </is>
      </c>
      <c r="G2854" t="n">
        <v>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55898-2021</t>
        </is>
      </c>
      <c r="B2855" s="1" t="n">
        <v>44476</v>
      </c>
      <c r="C2855" s="1" t="n">
        <v>45182</v>
      </c>
      <c r="D2855" t="inlineStr">
        <is>
          <t>SÖDERMANLANDS LÄN</t>
        </is>
      </c>
      <c r="E2855" t="inlineStr">
        <is>
          <t>KATRINEHOLM</t>
        </is>
      </c>
      <c r="G2855" t="n">
        <v>2.8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55706-2021</t>
        </is>
      </c>
      <c r="B2856" s="1" t="n">
        <v>44476</v>
      </c>
      <c r="C2856" s="1" t="n">
        <v>45182</v>
      </c>
      <c r="D2856" t="inlineStr">
        <is>
          <t>SÖDERMANLANDS LÄN</t>
        </is>
      </c>
      <c r="E2856" t="inlineStr">
        <is>
          <t>NYKÖPING</t>
        </is>
      </c>
      <c r="G2856" t="n">
        <v>4.2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55730-2021</t>
        </is>
      </c>
      <c r="B2857" s="1" t="n">
        <v>44476</v>
      </c>
      <c r="C2857" s="1" t="n">
        <v>45182</v>
      </c>
      <c r="D2857" t="inlineStr">
        <is>
          <t>SÖDERMANLANDS LÄN</t>
        </is>
      </c>
      <c r="E2857" t="inlineStr">
        <is>
          <t>VINGÅKER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55983-2021</t>
        </is>
      </c>
      <c r="B2858" s="1" t="n">
        <v>44477</v>
      </c>
      <c r="C2858" s="1" t="n">
        <v>45182</v>
      </c>
      <c r="D2858" t="inlineStr">
        <is>
          <t>SÖDERMANLANDS LÄN</t>
        </is>
      </c>
      <c r="E2858" t="inlineStr">
        <is>
          <t>NYKÖPING</t>
        </is>
      </c>
      <c r="G2858" t="n">
        <v>3.2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56625-2021</t>
        </is>
      </c>
      <c r="B2859" s="1" t="n">
        <v>44480</v>
      </c>
      <c r="C2859" s="1" t="n">
        <v>45182</v>
      </c>
      <c r="D2859" t="inlineStr">
        <is>
          <t>SÖDERMANLANDS LÄN</t>
        </is>
      </c>
      <c r="E2859" t="inlineStr">
        <is>
          <t>VINGÅKER</t>
        </is>
      </c>
      <c r="G2859" t="n">
        <v>3.5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56712-2021</t>
        </is>
      </c>
      <c r="B2860" s="1" t="n">
        <v>44480</v>
      </c>
      <c r="C2860" s="1" t="n">
        <v>45182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56315-2021</t>
        </is>
      </c>
      <c r="B2861" s="1" t="n">
        <v>44480</v>
      </c>
      <c r="C2861" s="1" t="n">
        <v>45182</v>
      </c>
      <c r="D2861" t="inlineStr">
        <is>
          <t>SÖDERMANLANDS LÄN</t>
        </is>
      </c>
      <c r="E2861" t="inlineStr">
        <is>
          <t>TROSA</t>
        </is>
      </c>
      <c r="G2861" t="n">
        <v>3.5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56628-2021</t>
        </is>
      </c>
      <c r="B2862" s="1" t="n">
        <v>44480</v>
      </c>
      <c r="C2862" s="1" t="n">
        <v>45182</v>
      </c>
      <c r="D2862" t="inlineStr">
        <is>
          <t>SÖDERMANLANDS LÄN</t>
        </is>
      </c>
      <c r="E2862" t="inlineStr">
        <is>
          <t>KATRINEHOLM</t>
        </is>
      </c>
      <c r="G2862" t="n">
        <v>1.8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56572-2021</t>
        </is>
      </c>
      <c r="B2863" s="1" t="n">
        <v>44480</v>
      </c>
      <c r="C2863" s="1" t="n">
        <v>45182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56337-2021</t>
        </is>
      </c>
      <c r="B2864" s="1" t="n">
        <v>44480</v>
      </c>
      <c r="C2864" s="1" t="n">
        <v>45182</v>
      </c>
      <c r="D2864" t="inlineStr">
        <is>
          <t>SÖDERMANLANDS LÄN</t>
        </is>
      </c>
      <c r="E2864" t="inlineStr">
        <is>
          <t>KATRINEHOLM</t>
        </is>
      </c>
      <c r="F2864" t="inlineStr">
        <is>
          <t>Holmen skog AB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56505-2021</t>
        </is>
      </c>
      <c r="B2865" s="1" t="n">
        <v>44480</v>
      </c>
      <c r="C2865" s="1" t="n">
        <v>45182</v>
      </c>
      <c r="D2865" t="inlineStr">
        <is>
          <t>SÖDERMANLANDS LÄN</t>
        </is>
      </c>
      <c r="E2865" t="inlineStr">
        <is>
          <t>GNESTA</t>
        </is>
      </c>
      <c r="G2865" t="n">
        <v>2.3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56692-2021</t>
        </is>
      </c>
      <c r="B2866" s="1" t="n">
        <v>44480</v>
      </c>
      <c r="C2866" s="1" t="n">
        <v>45182</v>
      </c>
      <c r="D2866" t="inlineStr">
        <is>
          <t>SÖDERMANLANDS LÄN</t>
        </is>
      </c>
      <c r="E2866" t="inlineStr">
        <is>
          <t>VINGÅKER</t>
        </is>
      </c>
      <c r="G2866" t="n">
        <v>7.5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56824-2021</t>
        </is>
      </c>
      <c r="B2867" s="1" t="n">
        <v>44481</v>
      </c>
      <c r="C2867" s="1" t="n">
        <v>45182</v>
      </c>
      <c r="D2867" t="inlineStr">
        <is>
          <t>SÖDERMANLANDS LÄN</t>
        </is>
      </c>
      <c r="E2867" t="inlineStr">
        <is>
          <t>GNESTA</t>
        </is>
      </c>
      <c r="G2867" t="n">
        <v>3.2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56927-2021</t>
        </is>
      </c>
      <c r="B2868" s="1" t="n">
        <v>44481</v>
      </c>
      <c r="C2868" s="1" t="n">
        <v>45182</v>
      </c>
      <c r="D2868" t="inlineStr">
        <is>
          <t>SÖDERMANLANDS LÄN</t>
        </is>
      </c>
      <c r="E2868" t="inlineStr">
        <is>
          <t>GNESTA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57048-2021</t>
        </is>
      </c>
      <c r="B2869" s="1" t="n">
        <v>44481</v>
      </c>
      <c r="C2869" s="1" t="n">
        <v>45182</v>
      </c>
      <c r="D2869" t="inlineStr">
        <is>
          <t>SÖDERMANLANDS LÄN</t>
        </is>
      </c>
      <c r="E2869" t="inlineStr">
        <is>
          <t>STRÄNGNÄS</t>
        </is>
      </c>
      <c r="G2869" t="n">
        <v>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56815-2021</t>
        </is>
      </c>
      <c r="B2870" s="1" t="n">
        <v>44481</v>
      </c>
      <c r="C2870" s="1" t="n">
        <v>45182</v>
      </c>
      <c r="D2870" t="inlineStr">
        <is>
          <t>SÖDERMANLANDS LÄN</t>
        </is>
      </c>
      <c r="E2870" t="inlineStr">
        <is>
          <t>GNESTA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56976-2021</t>
        </is>
      </c>
      <c r="B2871" s="1" t="n">
        <v>44481</v>
      </c>
      <c r="C2871" s="1" t="n">
        <v>45182</v>
      </c>
      <c r="D2871" t="inlineStr">
        <is>
          <t>SÖDERMANLANDS LÄN</t>
        </is>
      </c>
      <c r="E2871" t="inlineStr">
        <is>
          <t>GNESTA</t>
        </is>
      </c>
      <c r="G2871" t="n">
        <v>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57032-2021</t>
        </is>
      </c>
      <c r="B2872" s="1" t="n">
        <v>44482</v>
      </c>
      <c r="C2872" s="1" t="n">
        <v>45182</v>
      </c>
      <c r="D2872" t="inlineStr">
        <is>
          <t>SÖDERMANLANDS LÄN</t>
        </is>
      </c>
      <c r="E2872" t="inlineStr">
        <is>
          <t>VINGÅKER</t>
        </is>
      </c>
      <c r="G2872" t="n">
        <v>1.5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57139-2021</t>
        </is>
      </c>
      <c r="B2873" s="1" t="n">
        <v>44482</v>
      </c>
      <c r="C2873" s="1" t="n">
        <v>45182</v>
      </c>
      <c r="D2873" t="inlineStr">
        <is>
          <t>SÖDERMANLANDS LÄN</t>
        </is>
      </c>
      <c r="E2873" t="inlineStr">
        <is>
          <t>GNESTA</t>
        </is>
      </c>
      <c r="F2873" t="inlineStr">
        <is>
          <t>Holmen skog AB</t>
        </is>
      </c>
      <c r="G2873" t="n">
        <v>2.2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57157-2021</t>
        </is>
      </c>
      <c r="B2874" s="1" t="n">
        <v>44482</v>
      </c>
      <c r="C2874" s="1" t="n">
        <v>45182</v>
      </c>
      <c r="D2874" t="inlineStr">
        <is>
          <t>SÖDERMANLANDS LÄN</t>
        </is>
      </c>
      <c r="E2874" t="inlineStr">
        <is>
          <t>STRÄNGNÄS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57349-2021</t>
        </is>
      </c>
      <c r="B2875" s="1" t="n">
        <v>44483</v>
      </c>
      <c r="C2875" s="1" t="n">
        <v>45182</v>
      </c>
      <c r="D2875" t="inlineStr">
        <is>
          <t>SÖDERMANLANDS LÄN</t>
        </is>
      </c>
      <c r="E2875" t="inlineStr">
        <is>
          <t>ESKILSTUNA</t>
        </is>
      </c>
      <c r="F2875" t="inlineStr">
        <is>
          <t>Sveaskog</t>
        </is>
      </c>
      <c r="G2875" t="n">
        <v>1.9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57521-2021</t>
        </is>
      </c>
      <c r="B2876" s="1" t="n">
        <v>44483</v>
      </c>
      <c r="C2876" s="1" t="n">
        <v>45182</v>
      </c>
      <c r="D2876" t="inlineStr">
        <is>
          <t>SÖDERMANLANDS LÄN</t>
        </is>
      </c>
      <c r="E2876" t="inlineStr">
        <is>
          <t>KATRINEHOLM</t>
        </is>
      </c>
      <c r="G2876" t="n">
        <v>6.5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57510-2021</t>
        </is>
      </c>
      <c r="B2877" s="1" t="n">
        <v>44483</v>
      </c>
      <c r="C2877" s="1" t="n">
        <v>45182</v>
      </c>
      <c r="D2877" t="inlineStr">
        <is>
          <t>SÖDERMANLANDS LÄN</t>
        </is>
      </c>
      <c r="E2877" t="inlineStr">
        <is>
          <t>KATRINEHOLM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57524-2021</t>
        </is>
      </c>
      <c r="B2878" s="1" t="n">
        <v>44483</v>
      </c>
      <c r="C2878" s="1" t="n">
        <v>45182</v>
      </c>
      <c r="D2878" t="inlineStr">
        <is>
          <t>SÖDERMANLANDS LÄN</t>
        </is>
      </c>
      <c r="E2878" t="inlineStr">
        <is>
          <t>KATRINEHOLM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57612-2021</t>
        </is>
      </c>
      <c r="B2879" s="1" t="n">
        <v>44484</v>
      </c>
      <c r="C2879" s="1" t="n">
        <v>45182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57601-2021</t>
        </is>
      </c>
      <c r="B2880" s="1" t="n">
        <v>44484</v>
      </c>
      <c r="C2880" s="1" t="n">
        <v>45182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0.9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57661-2021</t>
        </is>
      </c>
      <c r="B2881" s="1" t="n">
        <v>44484</v>
      </c>
      <c r="C2881" s="1" t="n">
        <v>45182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Allmännings- och besparingsskogar</t>
        </is>
      </c>
      <c r="G2881" t="n">
        <v>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57882-2021</t>
        </is>
      </c>
      <c r="B2882" s="1" t="n">
        <v>44485</v>
      </c>
      <c r="C2882" s="1" t="n">
        <v>45182</v>
      </c>
      <c r="D2882" t="inlineStr">
        <is>
          <t>SÖDERMANLANDS LÄN</t>
        </is>
      </c>
      <c r="E2882" t="inlineStr">
        <is>
          <t>GNESTA</t>
        </is>
      </c>
      <c r="G2882" t="n">
        <v>2.5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58299-2021</t>
        </is>
      </c>
      <c r="B2883" s="1" t="n">
        <v>44487</v>
      </c>
      <c r="C2883" s="1" t="n">
        <v>45182</v>
      </c>
      <c r="D2883" t="inlineStr">
        <is>
          <t>SÖDERMANLANDS LÄN</t>
        </is>
      </c>
      <c r="E2883" t="inlineStr">
        <is>
          <t>FLEN</t>
        </is>
      </c>
      <c r="G2883" t="n">
        <v>3.7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58473-2021</t>
        </is>
      </c>
      <c r="B2884" s="1" t="n">
        <v>44488</v>
      </c>
      <c r="C2884" s="1" t="n">
        <v>45182</v>
      </c>
      <c r="D2884" t="inlineStr">
        <is>
          <t>SÖDERMANLANDS LÄN</t>
        </is>
      </c>
      <c r="E2884" t="inlineStr">
        <is>
          <t>KATRINEHOLM</t>
        </is>
      </c>
      <c r="G2884" t="n">
        <v>0.5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58518-2021</t>
        </is>
      </c>
      <c r="B2885" s="1" t="n">
        <v>44488</v>
      </c>
      <c r="C2885" s="1" t="n">
        <v>45182</v>
      </c>
      <c r="D2885" t="inlineStr">
        <is>
          <t>SÖDERMANLANDS LÄN</t>
        </is>
      </c>
      <c r="E2885" t="inlineStr">
        <is>
          <t>STRÄNGNÄS</t>
        </is>
      </c>
      <c r="G2885" t="n">
        <v>1.4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58862-2021</t>
        </is>
      </c>
      <c r="B2886" s="1" t="n">
        <v>44489</v>
      </c>
      <c r="C2886" s="1" t="n">
        <v>45182</v>
      </c>
      <c r="D2886" t="inlineStr">
        <is>
          <t>SÖDERMANLANDS LÄN</t>
        </is>
      </c>
      <c r="E2886" t="inlineStr">
        <is>
          <t>NYKÖPING</t>
        </is>
      </c>
      <c r="F2886" t="inlineStr">
        <is>
          <t>Övriga Aktiebolag</t>
        </is>
      </c>
      <c r="G2886" t="n">
        <v>2.8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58922-2021</t>
        </is>
      </c>
      <c r="B2887" s="1" t="n">
        <v>44489</v>
      </c>
      <c r="C2887" s="1" t="n">
        <v>45182</v>
      </c>
      <c r="D2887" t="inlineStr">
        <is>
          <t>SÖDERMANLANDS LÄN</t>
        </is>
      </c>
      <c r="E2887" t="inlineStr">
        <is>
          <t>TROSA</t>
        </is>
      </c>
      <c r="F2887" t="inlineStr">
        <is>
          <t>Holmen skog AB</t>
        </is>
      </c>
      <c r="G2887" t="n">
        <v>1.3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58857-2021</t>
        </is>
      </c>
      <c r="B2888" s="1" t="n">
        <v>44489</v>
      </c>
      <c r="C2888" s="1" t="n">
        <v>45182</v>
      </c>
      <c r="D2888" t="inlineStr">
        <is>
          <t>SÖDERMANLANDS LÄN</t>
        </is>
      </c>
      <c r="E2888" t="inlineStr">
        <is>
          <t>NYKÖPING</t>
        </is>
      </c>
      <c r="G2888" t="n">
        <v>2.1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59266-2021</t>
        </is>
      </c>
      <c r="B2889" s="1" t="n">
        <v>44490</v>
      </c>
      <c r="C2889" s="1" t="n">
        <v>45182</v>
      </c>
      <c r="D2889" t="inlineStr">
        <is>
          <t>SÖDERMANLANDS LÄN</t>
        </is>
      </c>
      <c r="E2889" t="inlineStr">
        <is>
          <t>TROSA</t>
        </is>
      </c>
      <c r="F2889" t="inlineStr">
        <is>
          <t>Holmen skog AB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59274-2021</t>
        </is>
      </c>
      <c r="B2890" s="1" t="n">
        <v>44490</v>
      </c>
      <c r="C2890" s="1" t="n">
        <v>45182</v>
      </c>
      <c r="D2890" t="inlineStr">
        <is>
          <t>SÖDERMANLANDS LÄN</t>
        </is>
      </c>
      <c r="E2890" t="inlineStr">
        <is>
          <t>ESKILSTUNA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59405-2021</t>
        </is>
      </c>
      <c r="B2891" s="1" t="n">
        <v>44490</v>
      </c>
      <c r="C2891" s="1" t="n">
        <v>45182</v>
      </c>
      <c r="D2891" t="inlineStr">
        <is>
          <t>SÖDERMANLANDS LÄN</t>
        </is>
      </c>
      <c r="E2891" t="inlineStr">
        <is>
          <t>FLEN</t>
        </is>
      </c>
      <c r="G2891" t="n">
        <v>8.4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59271-2021</t>
        </is>
      </c>
      <c r="B2892" s="1" t="n">
        <v>44490</v>
      </c>
      <c r="C2892" s="1" t="n">
        <v>45182</v>
      </c>
      <c r="D2892" t="inlineStr">
        <is>
          <t>SÖDERMANLANDS LÄN</t>
        </is>
      </c>
      <c r="E2892" t="inlineStr">
        <is>
          <t>ESKILSTUNA</t>
        </is>
      </c>
      <c r="G2892" t="n">
        <v>1.9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60721-2021</t>
        </is>
      </c>
      <c r="B2893" s="1" t="n">
        <v>44490</v>
      </c>
      <c r="C2893" s="1" t="n">
        <v>45182</v>
      </c>
      <c r="D2893" t="inlineStr">
        <is>
          <t>SÖDERMANLANDS LÄN</t>
        </is>
      </c>
      <c r="E2893" t="inlineStr">
        <is>
          <t>ESKILSTUNA</t>
        </is>
      </c>
      <c r="G2893" t="n">
        <v>0.1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59275-2021</t>
        </is>
      </c>
      <c r="B2894" s="1" t="n">
        <v>44490</v>
      </c>
      <c r="C2894" s="1" t="n">
        <v>45182</v>
      </c>
      <c r="D2894" t="inlineStr">
        <is>
          <t>SÖDERMANLANDS LÄN</t>
        </is>
      </c>
      <c r="E2894" t="inlineStr">
        <is>
          <t>ESKILSTUNA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59276-2021</t>
        </is>
      </c>
      <c r="B2895" s="1" t="n">
        <v>44490</v>
      </c>
      <c r="C2895" s="1" t="n">
        <v>45182</v>
      </c>
      <c r="D2895" t="inlineStr">
        <is>
          <t>SÖDERMANLANDS LÄN</t>
        </is>
      </c>
      <c r="E2895" t="inlineStr">
        <is>
          <t>ESKILSTUNA</t>
        </is>
      </c>
      <c r="G2895" t="n">
        <v>5.7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59619-2021</t>
        </is>
      </c>
      <c r="B2896" s="1" t="n">
        <v>44491</v>
      </c>
      <c r="C2896" s="1" t="n">
        <v>45182</v>
      </c>
      <c r="D2896" t="inlineStr">
        <is>
          <t>SÖDERMANLANDS LÄN</t>
        </is>
      </c>
      <c r="E2896" t="inlineStr">
        <is>
          <t>GNESTA</t>
        </is>
      </c>
      <c r="F2896" t="inlineStr">
        <is>
          <t>Kyrkan</t>
        </is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59613-2021</t>
        </is>
      </c>
      <c r="B2897" s="1" t="n">
        <v>44491</v>
      </c>
      <c r="C2897" s="1" t="n">
        <v>45182</v>
      </c>
      <c r="D2897" t="inlineStr">
        <is>
          <t>SÖDERMANLANDS LÄN</t>
        </is>
      </c>
      <c r="E2897" t="inlineStr">
        <is>
          <t>NYKÖPING</t>
        </is>
      </c>
      <c r="F2897" t="inlineStr">
        <is>
          <t>Övriga Aktiebolag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59474-2021</t>
        </is>
      </c>
      <c r="B2898" s="1" t="n">
        <v>44491</v>
      </c>
      <c r="C2898" s="1" t="n">
        <v>45182</v>
      </c>
      <c r="D2898" t="inlineStr">
        <is>
          <t>SÖDERMANLANDS LÄN</t>
        </is>
      </c>
      <c r="E2898" t="inlineStr">
        <is>
          <t>KATRINEHOLM</t>
        </is>
      </c>
      <c r="G2898" t="n">
        <v>2.7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59620-2021</t>
        </is>
      </c>
      <c r="B2899" s="1" t="n">
        <v>44491</v>
      </c>
      <c r="C2899" s="1" t="n">
        <v>45182</v>
      </c>
      <c r="D2899" t="inlineStr">
        <is>
          <t>SÖDERMANLANDS LÄN</t>
        </is>
      </c>
      <c r="E2899" t="inlineStr">
        <is>
          <t>NYKÖPING</t>
        </is>
      </c>
      <c r="F2899" t="inlineStr">
        <is>
          <t>Övriga Aktiebolag</t>
        </is>
      </c>
      <c r="G2899" t="n">
        <v>1.4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59477-2021</t>
        </is>
      </c>
      <c r="B2900" s="1" t="n">
        <v>44491</v>
      </c>
      <c r="C2900" s="1" t="n">
        <v>45182</v>
      </c>
      <c r="D2900" t="inlineStr">
        <is>
          <t>SÖDERMANLANDS LÄN</t>
        </is>
      </c>
      <c r="E2900" t="inlineStr">
        <is>
          <t>KATRINEHOLM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59592-2021</t>
        </is>
      </c>
      <c r="B2901" s="1" t="n">
        <v>44491</v>
      </c>
      <c r="C2901" s="1" t="n">
        <v>45182</v>
      </c>
      <c r="D2901" t="inlineStr">
        <is>
          <t>SÖDERMANLANDS LÄN</t>
        </is>
      </c>
      <c r="E2901" t="inlineStr">
        <is>
          <t>NYKÖPING</t>
        </is>
      </c>
      <c r="F2901" t="inlineStr">
        <is>
          <t>Kyrkan</t>
        </is>
      </c>
      <c r="G2901" t="n">
        <v>3.3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59616-2021</t>
        </is>
      </c>
      <c r="B2902" s="1" t="n">
        <v>44491</v>
      </c>
      <c r="C2902" s="1" t="n">
        <v>45182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59776-2021</t>
        </is>
      </c>
      <c r="B2903" s="1" t="n">
        <v>44494</v>
      </c>
      <c r="C2903" s="1" t="n">
        <v>45182</v>
      </c>
      <c r="D2903" t="inlineStr">
        <is>
          <t>SÖDERMANLANDS LÄN</t>
        </is>
      </c>
      <c r="E2903" t="inlineStr">
        <is>
          <t>NYKÖPING</t>
        </is>
      </c>
      <c r="G2903" t="n">
        <v>1.6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59733-2021</t>
        </is>
      </c>
      <c r="B2904" s="1" t="n">
        <v>44494</v>
      </c>
      <c r="C2904" s="1" t="n">
        <v>45182</v>
      </c>
      <c r="D2904" t="inlineStr">
        <is>
          <t>SÖDERMANLANDS LÄN</t>
        </is>
      </c>
      <c r="E2904" t="inlineStr">
        <is>
          <t>NYKÖPING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60143-2021</t>
        </is>
      </c>
      <c r="B2905" s="1" t="n">
        <v>44494</v>
      </c>
      <c r="C2905" s="1" t="n">
        <v>45182</v>
      </c>
      <c r="D2905" t="inlineStr">
        <is>
          <t>SÖDERMANLANDS LÄN</t>
        </is>
      </c>
      <c r="E2905" t="inlineStr">
        <is>
          <t>ESKILSTUNA</t>
        </is>
      </c>
      <c r="G2905" t="n">
        <v>3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60077-2021</t>
        </is>
      </c>
      <c r="B2906" s="1" t="n">
        <v>44495</v>
      </c>
      <c r="C2906" s="1" t="n">
        <v>45182</v>
      </c>
      <c r="D2906" t="inlineStr">
        <is>
          <t>SÖDERMANLANDS LÄN</t>
        </is>
      </c>
      <c r="E2906" t="inlineStr">
        <is>
          <t>FLEN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60331-2021</t>
        </is>
      </c>
      <c r="B2907" s="1" t="n">
        <v>44495</v>
      </c>
      <c r="C2907" s="1" t="n">
        <v>45182</v>
      </c>
      <c r="D2907" t="inlineStr">
        <is>
          <t>SÖDERMANLANDS LÄN</t>
        </is>
      </c>
      <c r="E2907" t="inlineStr">
        <is>
          <t>STRÄNGNÄS</t>
        </is>
      </c>
      <c r="F2907" t="inlineStr">
        <is>
          <t>Allmännings- och besparingsskogar</t>
        </is>
      </c>
      <c r="G2907" t="n">
        <v>0.6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60938-2021</t>
        </is>
      </c>
      <c r="B2908" s="1" t="n">
        <v>44495</v>
      </c>
      <c r="C2908" s="1" t="n">
        <v>45182</v>
      </c>
      <c r="D2908" t="inlineStr">
        <is>
          <t>SÖDERMANLANDS LÄN</t>
        </is>
      </c>
      <c r="E2908" t="inlineStr">
        <is>
          <t>NYKÖPING</t>
        </is>
      </c>
      <c r="G2908" t="n">
        <v>2.9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60255-2021</t>
        </is>
      </c>
      <c r="B2909" s="1" t="n">
        <v>44495</v>
      </c>
      <c r="C2909" s="1" t="n">
        <v>45182</v>
      </c>
      <c r="D2909" t="inlineStr">
        <is>
          <t>SÖDERMANLANDS LÄN</t>
        </is>
      </c>
      <c r="E2909" t="inlineStr">
        <is>
          <t>FLEN</t>
        </is>
      </c>
      <c r="G2909" t="n">
        <v>4.1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60521-2021</t>
        </is>
      </c>
      <c r="B2910" s="1" t="n">
        <v>44495</v>
      </c>
      <c r="C2910" s="1" t="n">
        <v>45182</v>
      </c>
      <c r="D2910" t="inlineStr">
        <is>
          <t>SÖDERMANLANDS LÄN</t>
        </is>
      </c>
      <c r="E2910" t="inlineStr">
        <is>
          <t>ESKILSTUNA</t>
        </is>
      </c>
      <c r="G2910" t="n">
        <v>1.7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60562-2021</t>
        </is>
      </c>
      <c r="B2911" s="1" t="n">
        <v>44495</v>
      </c>
      <c r="C2911" s="1" t="n">
        <v>45182</v>
      </c>
      <c r="D2911" t="inlineStr">
        <is>
          <t>SÖDERMANLANDS LÄN</t>
        </is>
      </c>
      <c r="E2911" t="inlineStr">
        <is>
          <t>FLEN</t>
        </is>
      </c>
      <c r="F2911" t="inlineStr">
        <is>
          <t>Övriga statliga verk och myndigheter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60572-2021</t>
        </is>
      </c>
      <c r="B2912" s="1" t="n">
        <v>44496</v>
      </c>
      <c r="C2912" s="1" t="n">
        <v>45182</v>
      </c>
      <c r="D2912" t="inlineStr">
        <is>
          <t>SÖDERMANLANDS LÄN</t>
        </is>
      </c>
      <c r="E2912" t="inlineStr">
        <is>
          <t>VINGÅKER</t>
        </is>
      </c>
      <c r="G2912" t="n">
        <v>0.4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60748-2021</t>
        </is>
      </c>
      <c r="B2913" s="1" t="n">
        <v>44496</v>
      </c>
      <c r="C2913" s="1" t="n">
        <v>45182</v>
      </c>
      <c r="D2913" t="inlineStr">
        <is>
          <t>SÖDERMANLANDS LÄN</t>
        </is>
      </c>
      <c r="E2913" t="inlineStr">
        <is>
          <t>STRÄNGNÄS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60764-2021</t>
        </is>
      </c>
      <c r="B2914" s="1" t="n">
        <v>44496</v>
      </c>
      <c r="C2914" s="1" t="n">
        <v>45182</v>
      </c>
      <c r="D2914" t="inlineStr">
        <is>
          <t>SÖDERMANLANDS LÄN</t>
        </is>
      </c>
      <c r="E2914" t="inlineStr">
        <is>
          <t>STRÄNGNÄS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60478-2021</t>
        </is>
      </c>
      <c r="B2915" s="1" t="n">
        <v>44496</v>
      </c>
      <c r="C2915" s="1" t="n">
        <v>45182</v>
      </c>
      <c r="D2915" t="inlineStr">
        <is>
          <t>SÖDERMANLANDS LÄN</t>
        </is>
      </c>
      <c r="E2915" t="inlineStr">
        <is>
          <t>KATRINEHOLM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60501-2021</t>
        </is>
      </c>
      <c r="B2916" s="1" t="n">
        <v>44496</v>
      </c>
      <c r="C2916" s="1" t="n">
        <v>45182</v>
      </c>
      <c r="D2916" t="inlineStr">
        <is>
          <t>SÖDERMANLANDS LÄN</t>
        </is>
      </c>
      <c r="E2916" t="inlineStr">
        <is>
          <t>KATRINEHOLM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60512-2021</t>
        </is>
      </c>
      <c r="B2917" s="1" t="n">
        <v>44496</v>
      </c>
      <c r="C2917" s="1" t="n">
        <v>45182</v>
      </c>
      <c r="D2917" t="inlineStr">
        <is>
          <t>SÖDERMANLANDS LÄN</t>
        </is>
      </c>
      <c r="E2917" t="inlineStr">
        <is>
          <t>NYKÖPING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60515-2021</t>
        </is>
      </c>
      <c r="B2918" s="1" t="n">
        <v>44496</v>
      </c>
      <c r="C2918" s="1" t="n">
        <v>45182</v>
      </c>
      <c r="D2918" t="inlineStr">
        <is>
          <t>SÖDERMANLANDS LÄN</t>
        </is>
      </c>
      <c r="E2918" t="inlineStr">
        <is>
          <t>KATRINEHOLM</t>
        </is>
      </c>
      <c r="G2918" t="n">
        <v>1.8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60537-2021</t>
        </is>
      </c>
      <c r="B2919" s="1" t="n">
        <v>44496</v>
      </c>
      <c r="C2919" s="1" t="n">
        <v>45182</v>
      </c>
      <c r="D2919" t="inlineStr">
        <is>
          <t>SÖDERMANLANDS LÄN</t>
        </is>
      </c>
      <c r="E2919" t="inlineStr">
        <is>
          <t>KATRINEHOLM</t>
        </is>
      </c>
      <c r="G2919" t="n">
        <v>1.1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60578-2021</t>
        </is>
      </c>
      <c r="B2920" s="1" t="n">
        <v>44496</v>
      </c>
      <c r="C2920" s="1" t="n">
        <v>45182</v>
      </c>
      <c r="D2920" t="inlineStr">
        <is>
          <t>SÖDERMANLANDS LÄN</t>
        </is>
      </c>
      <c r="E2920" t="inlineStr">
        <is>
          <t>VINGÅKER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60747-2021</t>
        </is>
      </c>
      <c r="B2921" s="1" t="n">
        <v>44496</v>
      </c>
      <c r="C2921" s="1" t="n">
        <v>45182</v>
      </c>
      <c r="D2921" t="inlineStr">
        <is>
          <t>SÖDERMANLANDS LÄN</t>
        </is>
      </c>
      <c r="E2921" t="inlineStr">
        <is>
          <t>STRÄNGNÄS</t>
        </is>
      </c>
      <c r="G2921" t="n">
        <v>3.3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61321-2021</t>
        </is>
      </c>
      <c r="B2922" s="1" t="n">
        <v>44497</v>
      </c>
      <c r="C2922" s="1" t="n">
        <v>45182</v>
      </c>
      <c r="D2922" t="inlineStr">
        <is>
          <t>SÖDERMANLANDS LÄN</t>
        </is>
      </c>
      <c r="E2922" t="inlineStr">
        <is>
          <t>ESKILSTUNA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61007-2021</t>
        </is>
      </c>
      <c r="B2923" s="1" t="n">
        <v>44497</v>
      </c>
      <c r="C2923" s="1" t="n">
        <v>45182</v>
      </c>
      <c r="D2923" t="inlineStr">
        <is>
          <t>SÖDERMANLANDS LÄN</t>
        </is>
      </c>
      <c r="E2923" t="inlineStr">
        <is>
          <t>NYKÖPING</t>
        </is>
      </c>
      <c r="G2923" t="n">
        <v>2.7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61170-2021</t>
        </is>
      </c>
      <c r="B2924" s="1" t="n">
        <v>44497</v>
      </c>
      <c r="C2924" s="1" t="n">
        <v>45182</v>
      </c>
      <c r="D2924" t="inlineStr">
        <is>
          <t>SÖDERMANLANDS LÄN</t>
        </is>
      </c>
      <c r="E2924" t="inlineStr">
        <is>
          <t>ESKILSTUNA</t>
        </is>
      </c>
      <c r="G2924" t="n">
        <v>7.3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60919-2021</t>
        </is>
      </c>
      <c r="B2925" s="1" t="n">
        <v>44497</v>
      </c>
      <c r="C2925" s="1" t="n">
        <v>45182</v>
      </c>
      <c r="D2925" t="inlineStr">
        <is>
          <t>SÖDERMANLANDS LÄN</t>
        </is>
      </c>
      <c r="E2925" t="inlineStr">
        <is>
          <t>GNESTA</t>
        </is>
      </c>
      <c r="G2925" t="n">
        <v>1.7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61219-2021</t>
        </is>
      </c>
      <c r="B2926" s="1" t="n">
        <v>44498</v>
      </c>
      <c r="C2926" s="1" t="n">
        <v>45182</v>
      </c>
      <c r="D2926" t="inlineStr">
        <is>
          <t>SÖDERMANLANDS LÄN</t>
        </is>
      </c>
      <c r="E2926" t="inlineStr">
        <is>
          <t>KATRINEHOLM</t>
        </is>
      </c>
      <c r="F2926" t="inlineStr">
        <is>
          <t>Holmen skog AB</t>
        </is>
      </c>
      <c r="G2926" t="n">
        <v>0.8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61248-2021</t>
        </is>
      </c>
      <c r="B2927" s="1" t="n">
        <v>44498</v>
      </c>
      <c r="C2927" s="1" t="n">
        <v>45182</v>
      </c>
      <c r="D2927" t="inlineStr">
        <is>
          <t>SÖDERMANLANDS LÄN</t>
        </is>
      </c>
      <c r="E2927" t="inlineStr">
        <is>
          <t>NYKÖPING</t>
        </is>
      </c>
      <c r="F2927" t="inlineStr">
        <is>
          <t>Holmen skog AB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61367-2021</t>
        </is>
      </c>
      <c r="B2928" s="1" t="n">
        <v>44499</v>
      </c>
      <c r="C2928" s="1" t="n">
        <v>45182</v>
      </c>
      <c r="D2928" t="inlineStr">
        <is>
          <t>SÖDERMANLANDS LÄN</t>
        </is>
      </c>
      <c r="E2928" t="inlineStr">
        <is>
          <t>ESKILSTUNA</t>
        </is>
      </c>
      <c r="G2928" t="n">
        <v>3.8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61368-2021</t>
        </is>
      </c>
      <c r="B2929" s="1" t="n">
        <v>44499</v>
      </c>
      <c r="C2929" s="1" t="n">
        <v>45182</v>
      </c>
      <c r="D2929" t="inlineStr">
        <is>
          <t>SÖDERMANLANDS LÄN</t>
        </is>
      </c>
      <c r="E2929" t="inlineStr">
        <is>
          <t>ESKILSTUNA</t>
        </is>
      </c>
      <c r="G2929" t="n">
        <v>5.6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62223-2021</t>
        </is>
      </c>
      <c r="B2930" s="1" t="n">
        <v>44501</v>
      </c>
      <c r="C2930" s="1" t="n">
        <v>45182</v>
      </c>
      <c r="D2930" t="inlineStr">
        <is>
          <t>SÖDERMANLANDS LÄN</t>
        </is>
      </c>
      <c r="E2930" t="inlineStr">
        <is>
          <t>FLEN</t>
        </is>
      </c>
      <c r="G2930" t="n">
        <v>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62076-2021</t>
        </is>
      </c>
      <c r="B2931" s="1" t="n">
        <v>44502</v>
      </c>
      <c r="C2931" s="1" t="n">
        <v>45182</v>
      </c>
      <c r="D2931" t="inlineStr">
        <is>
          <t>SÖDERMANLANDS LÄN</t>
        </is>
      </c>
      <c r="E2931" t="inlineStr">
        <is>
          <t>NYKÖPING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62617-2021</t>
        </is>
      </c>
      <c r="B2932" s="1" t="n">
        <v>44503</v>
      </c>
      <c r="C2932" s="1" t="n">
        <v>45182</v>
      </c>
      <c r="D2932" t="inlineStr">
        <is>
          <t>SÖDERMANLANDS LÄN</t>
        </is>
      </c>
      <c r="E2932" t="inlineStr">
        <is>
          <t>STRÄNGNÄS</t>
        </is>
      </c>
      <c r="G2932" t="n">
        <v>1.5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62308-2021</t>
        </is>
      </c>
      <c r="B2933" s="1" t="n">
        <v>44503</v>
      </c>
      <c r="C2933" s="1" t="n">
        <v>45182</v>
      </c>
      <c r="D2933" t="inlineStr">
        <is>
          <t>SÖDERMANLANDS LÄN</t>
        </is>
      </c>
      <c r="E2933" t="inlineStr">
        <is>
          <t>ESKILSTUNA</t>
        </is>
      </c>
      <c r="G2933" t="n">
        <v>5.5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62894-2021</t>
        </is>
      </c>
      <c r="B2934" s="1" t="n">
        <v>44504</v>
      </c>
      <c r="C2934" s="1" t="n">
        <v>45182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62786-2021</t>
        </is>
      </c>
      <c r="B2935" s="1" t="n">
        <v>44504</v>
      </c>
      <c r="C2935" s="1" t="n">
        <v>45182</v>
      </c>
      <c r="D2935" t="inlineStr">
        <is>
          <t>SÖDERMANLANDS LÄN</t>
        </is>
      </c>
      <c r="E2935" t="inlineStr">
        <is>
          <t>NYKÖPING</t>
        </is>
      </c>
      <c r="G2935" t="n">
        <v>6.6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62912-2021</t>
        </is>
      </c>
      <c r="B2936" s="1" t="n">
        <v>44504</v>
      </c>
      <c r="C2936" s="1" t="n">
        <v>45182</v>
      </c>
      <c r="D2936" t="inlineStr">
        <is>
          <t>SÖDERMANLANDS LÄN</t>
        </is>
      </c>
      <c r="E2936" t="inlineStr">
        <is>
          <t>KATRINEHOLM</t>
        </is>
      </c>
      <c r="G2936" t="n">
        <v>2.6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63006-2021</t>
        </is>
      </c>
      <c r="B2937" s="1" t="n">
        <v>44505</v>
      </c>
      <c r="C2937" s="1" t="n">
        <v>45182</v>
      </c>
      <c r="D2937" t="inlineStr">
        <is>
          <t>SÖDERMANLANDS LÄN</t>
        </is>
      </c>
      <c r="E2937" t="inlineStr">
        <is>
          <t>NYKÖPING</t>
        </is>
      </c>
      <c r="F2937" t="inlineStr">
        <is>
          <t>Holmen skog AB</t>
        </is>
      </c>
      <c r="G2937" t="n">
        <v>1.9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63052-2021</t>
        </is>
      </c>
      <c r="B2938" s="1" t="n">
        <v>44505</v>
      </c>
      <c r="C2938" s="1" t="n">
        <v>45182</v>
      </c>
      <c r="D2938" t="inlineStr">
        <is>
          <t>SÖDERMANLANDS LÄN</t>
        </is>
      </c>
      <c r="E2938" t="inlineStr">
        <is>
          <t>NYKÖPING</t>
        </is>
      </c>
      <c r="G2938" t="n">
        <v>1.3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63017-2021</t>
        </is>
      </c>
      <c r="B2939" s="1" t="n">
        <v>44505</v>
      </c>
      <c r="C2939" s="1" t="n">
        <v>45182</v>
      </c>
      <c r="D2939" t="inlineStr">
        <is>
          <t>SÖDERMANLANDS LÄN</t>
        </is>
      </c>
      <c r="E2939" t="inlineStr">
        <is>
          <t>NYKÖPING</t>
        </is>
      </c>
      <c r="G2939" t="n">
        <v>21.9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63055-2021</t>
        </is>
      </c>
      <c r="B2940" s="1" t="n">
        <v>44505</v>
      </c>
      <c r="C2940" s="1" t="n">
        <v>45182</v>
      </c>
      <c r="D2940" t="inlineStr">
        <is>
          <t>SÖDERMANLANDS LÄN</t>
        </is>
      </c>
      <c r="E2940" t="inlineStr">
        <is>
          <t>NYKÖPING</t>
        </is>
      </c>
      <c r="G2940" t="n">
        <v>0.6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63473-2021</t>
        </is>
      </c>
      <c r="B2941" s="1" t="n">
        <v>44508</v>
      </c>
      <c r="C2941" s="1" t="n">
        <v>45182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2.4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63444-2021</t>
        </is>
      </c>
      <c r="B2942" s="1" t="n">
        <v>44508</v>
      </c>
      <c r="C2942" s="1" t="n">
        <v>45182</v>
      </c>
      <c r="D2942" t="inlineStr">
        <is>
          <t>SÖDERMANLANDS LÄN</t>
        </is>
      </c>
      <c r="E2942" t="inlineStr">
        <is>
          <t>FLEN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63732-2021</t>
        </is>
      </c>
      <c r="B2943" s="1" t="n">
        <v>44508</v>
      </c>
      <c r="C2943" s="1" t="n">
        <v>45182</v>
      </c>
      <c r="D2943" t="inlineStr">
        <is>
          <t>SÖDERMANLANDS LÄN</t>
        </is>
      </c>
      <c r="E2943" t="inlineStr">
        <is>
          <t>STRÄNGNÄS</t>
        </is>
      </c>
      <c r="G2943" t="n">
        <v>6.1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64060-2021</t>
        </is>
      </c>
      <c r="B2944" s="1" t="n">
        <v>44508</v>
      </c>
      <c r="C2944" s="1" t="n">
        <v>45182</v>
      </c>
      <c r="D2944" t="inlineStr">
        <is>
          <t>SÖDERMANLANDS LÄN</t>
        </is>
      </c>
      <c r="E2944" t="inlineStr">
        <is>
          <t>FLEN</t>
        </is>
      </c>
      <c r="G2944" t="n">
        <v>9.1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63943-2021</t>
        </is>
      </c>
      <c r="B2945" s="1" t="n">
        <v>44509</v>
      </c>
      <c r="C2945" s="1" t="n">
        <v>45182</v>
      </c>
      <c r="D2945" t="inlineStr">
        <is>
          <t>SÖDERMANLANDS LÄN</t>
        </is>
      </c>
      <c r="E2945" t="inlineStr">
        <is>
          <t>KATRINEHOLM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64099-2021</t>
        </is>
      </c>
      <c r="B2946" s="1" t="n">
        <v>44509</v>
      </c>
      <c r="C2946" s="1" t="n">
        <v>45182</v>
      </c>
      <c r="D2946" t="inlineStr">
        <is>
          <t>SÖDERMANLANDS LÄN</t>
        </is>
      </c>
      <c r="E2946" t="inlineStr">
        <is>
          <t>NYKÖPING</t>
        </is>
      </c>
      <c r="G2946" t="n">
        <v>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64147-2021</t>
        </is>
      </c>
      <c r="B2947" s="1" t="n">
        <v>44510</v>
      </c>
      <c r="C2947" s="1" t="n">
        <v>45182</v>
      </c>
      <c r="D2947" t="inlineStr">
        <is>
          <t>SÖDERMANLANDS LÄN</t>
        </is>
      </c>
      <c r="E2947" t="inlineStr">
        <is>
          <t>ESKILSTUNA</t>
        </is>
      </c>
      <c r="G2947" t="n">
        <v>1.4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64157-2021</t>
        </is>
      </c>
      <c r="B2948" s="1" t="n">
        <v>44510</v>
      </c>
      <c r="C2948" s="1" t="n">
        <v>45182</v>
      </c>
      <c r="D2948" t="inlineStr">
        <is>
          <t>SÖDERMANLANDS LÄN</t>
        </is>
      </c>
      <c r="E2948" t="inlineStr">
        <is>
          <t>NYKÖPING</t>
        </is>
      </c>
      <c r="G2948" t="n">
        <v>5.5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64159-2021</t>
        </is>
      </c>
      <c r="B2949" s="1" t="n">
        <v>44510</v>
      </c>
      <c r="C2949" s="1" t="n">
        <v>45182</v>
      </c>
      <c r="D2949" t="inlineStr">
        <is>
          <t>SÖDERMANLANDS LÄN</t>
        </is>
      </c>
      <c r="E2949" t="inlineStr">
        <is>
          <t>NYKÖPING</t>
        </is>
      </c>
      <c r="G2949" t="n">
        <v>1.7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64261-2021</t>
        </is>
      </c>
      <c r="B2950" s="1" t="n">
        <v>44510</v>
      </c>
      <c r="C2950" s="1" t="n">
        <v>45182</v>
      </c>
      <c r="D2950" t="inlineStr">
        <is>
          <t>SÖDERMANLANDS LÄN</t>
        </is>
      </c>
      <c r="E2950" t="inlineStr">
        <is>
          <t>KATRINEHOLM</t>
        </is>
      </c>
      <c r="F2950" t="inlineStr">
        <is>
          <t>Holmen skog AB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64162-2021</t>
        </is>
      </c>
      <c r="B2951" s="1" t="n">
        <v>44510</v>
      </c>
      <c r="C2951" s="1" t="n">
        <v>45182</v>
      </c>
      <c r="D2951" t="inlineStr">
        <is>
          <t>SÖDERMANLANDS LÄN</t>
        </is>
      </c>
      <c r="E2951" t="inlineStr">
        <is>
          <t>NYKÖPING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64397-2021</t>
        </is>
      </c>
      <c r="B2952" s="1" t="n">
        <v>44511</v>
      </c>
      <c r="C2952" s="1" t="n">
        <v>45182</v>
      </c>
      <c r="D2952" t="inlineStr">
        <is>
          <t>SÖDERMANLANDS LÄN</t>
        </is>
      </c>
      <c r="E2952" t="inlineStr">
        <is>
          <t>VINGÅKER</t>
        </is>
      </c>
      <c r="G2952" t="n">
        <v>0.8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64406-2021</t>
        </is>
      </c>
      <c r="B2953" s="1" t="n">
        <v>44511</v>
      </c>
      <c r="C2953" s="1" t="n">
        <v>45182</v>
      </c>
      <c r="D2953" t="inlineStr">
        <is>
          <t>SÖDERMANLANDS LÄN</t>
        </is>
      </c>
      <c r="E2953" t="inlineStr">
        <is>
          <t>VINGÅKER</t>
        </is>
      </c>
      <c r="G2953" t="n">
        <v>3.5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64403-2021</t>
        </is>
      </c>
      <c r="B2954" s="1" t="n">
        <v>44511</v>
      </c>
      <c r="C2954" s="1" t="n">
        <v>45182</v>
      </c>
      <c r="D2954" t="inlineStr">
        <is>
          <t>SÖDERMANLANDS LÄN</t>
        </is>
      </c>
      <c r="E2954" t="inlineStr">
        <is>
          <t>STRÄNGNÄS</t>
        </is>
      </c>
      <c r="G2954" t="n">
        <v>1.6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64330-2021</t>
        </is>
      </c>
      <c r="B2955" s="1" t="n">
        <v>44511</v>
      </c>
      <c r="C2955" s="1" t="n">
        <v>45182</v>
      </c>
      <c r="D2955" t="inlineStr">
        <is>
          <t>SÖDERMANLANDS LÄN</t>
        </is>
      </c>
      <c r="E2955" t="inlineStr">
        <is>
          <t>FLEN</t>
        </is>
      </c>
      <c r="G2955" t="n">
        <v>3.2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64879-2021</t>
        </is>
      </c>
      <c r="B2956" s="1" t="n">
        <v>44512</v>
      </c>
      <c r="C2956" s="1" t="n">
        <v>45182</v>
      </c>
      <c r="D2956" t="inlineStr">
        <is>
          <t>SÖDERMANLANDS LÄN</t>
        </is>
      </c>
      <c r="E2956" t="inlineStr">
        <is>
          <t>NYKÖPING</t>
        </is>
      </c>
      <c r="G2956" t="n">
        <v>3.6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65188-2021</t>
        </is>
      </c>
      <c r="B2957" s="1" t="n">
        <v>44512</v>
      </c>
      <c r="C2957" s="1" t="n">
        <v>45182</v>
      </c>
      <c r="D2957" t="inlineStr">
        <is>
          <t>SÖDERMANLANDS LÄN</t>
        </is>
      </c>
      <c r="E2957" t="inlineStr">
        <is>
          <t>KATRINEHOLM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65162-2021</t>
        </is>
      </c>
      <c r="B2958" s="1" t="n">
        <v>44512</v>
      </c>
      <c r="C2958" s="1" t="n">
        <v>45182</v>
      </c>
      <c r="D2958" t="inlineStr">
        <is>
          <t>SÖDERMANLANDS LÄN</t>
        </is>
      </c>
      <c r="E2958" t="inlineStr">
        <is>
          <t>KATRINEHOLM</t>
        </is>
      </c>
      <c r="G2958" t="n">
        <v>1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65589-2021</t>
        </is>
      </c>
      <c r="B2959" s="1" t="n">
        <v>44515</v>
      </c>
      <c r="C2959" s="1" t="n">
        <v>45182</v>
      </c>
      <c r="D2959" t="inlineStr">
        <is>
          <t>SÖDERMANLANDS LÄN</t>
        </is>
      </c>
      <c r="E2959" t="inlineStr">
        <is>
          <t>KATRINEHOLM</t>
        </is>
      </c>
      <c r="G2959" t="n">
        <v>2.6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65406-2021</t>
        </is>
      </c>
      <c r="B2960" s="1" t="n">
        <v>44515</v>
      </c>
      <c r="C2960" s="1" t="n">
        <v>45182</v>
      </c>
      <c r="D2960" t="inlineStr">
        <is>
          <t>SÖDERMANLANDS LÄN</t>
        </is>
      </c>
      <c r="E2960" t="inlineStr">
        <is>
          <t>ESKILSTUNA</t>
        </is>
      </c>
      <c r="F2960" t="inlineStr">
        <is>
          <t>Kyrkan</t>
        </is>
      </c>
      <c r="G2960" t="n">
        <v>3.4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65520-2021</t>
        </is>
      </c>
      <c r="B2961" s="1" t="n">
        <v>44516</v>
      </c>
      <c r="C2961" s="1" t="n">
        <v>45182</v>
      </c>
      <c r="D2961" t="inlineStr">
        <is>
          <t>SÖDERMANLANDS LÄN</t>
        </is>
      </c>
      <c r="E2961" t="inlineStr">
        <is>
          <t>NYKÖPING</t>
        </is>
      </c>
      <c r="F2961" t="inlineStr">
        <is>
          <t>Övriga Aktiebolag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65694-2021</t>
        </is>
      </c>
      <c r="B2962" s="1" t="n">
        <v>44516</v>
      </c>
      <c r="C2962" s="1" t="n">
        <v>45182</v>
      </c>
      <c r="D2962" t="inlineStr">
        <is>
          <t>SÖDERMANLANDS LÄN</t>
        </is>
      </c>
      <c r="E2962" t="inlineStr">
        <is>
          <t>ESKILSTUNA</t>
        </is>
      </c>
      <c r="G2962" t="n">
        <v>1.8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65595-2021</t>
        </is>
      </c>
      <c r="B2963" s="1" t="n">
        <v>44516</v>
      </c>
      <c r="C2963" s="1" t="n">
        <v>45182</v>
      </c>
      <c r="D2963" t="inlineStr">
        <is>
          <t>SÖDERMANLANDS LÄN</t>
        </is>
      </c>
      <c r="E2963" t="inlineStr">
        <is>
          <t>ESKILSTUNA</t>
        </is>
      </c>
      <c r="G2963" t="n">
        <v>9.5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65516-2021</t>
        </is>
      </c>
      <c r="B2964" s="1" t="n">
        <v>44516</v>
      </c>
      <c r="C2964" s="1" t="n">
        <v>45182</v>
      </c>
      <c r="D2964" t="inlineStr">
        <is>
          <t>SÖDERMANLANDS LÄN</t>
        </is>
      </c>
      <c r="E2964" t="inlineStr">
        <is>
          <t>ESKILSTUNA</t>
        </is>
      </c>
      <c r="G2964" t="n">
        <v>5.6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65614-2021</t>
        </is>
      </c>
      <c r="B2965" s="1" t="n">
        <v>44516</v>
      </c>
      <c r="C2965" s="1" t="n">
        <v>45182</v>
      </c>
      <c r="D2965" t="inlineStr">
        <is>
          <t>SÖDERMANLANDS LÄN</t>
        </is>
      </c>
      <c r="E2965" t="inlineStr">
        <is>
          <t>ESKILSTUNA</t>
        </is>
      </c>
      <c r="G2965" t="n">
        <v>6.2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66097-2021</t>
        </is>
      </c>
      <c r="B2966" s="1" t="n">
        <v>44517</v>
      </c>
      <c r="C2966" s="1" t="n">
        <v>45182</v>
      </c>
      <c r="D2966" t="inlineStr">
        <is>
          <t>SÖDERMANLANDS LÄN</t>
        </is>
      </c>
      <c r="E2966" t="inlineStr">
        <is>
          <t>KATRINEHOLM</t>
        </is>
      </c>
      <c r="F2966" t="inlineStr">
        <is>
          <t>Holmen skog AB</t>
        </is>
      </c>
      <c r="G2966" t="n">
        <v>0.3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65923-2021</t>
        </is>
      </c>
      <c r="B2967" s="1" t="n">
        <v>44517</v>
      </c>
      <c r="C2967" s="1" t="n">
        <v>45182</v>
      </c>
      <c r="D2967" t="inlineStr">
        <is>
          <t>SÖDERMANLANDS LÄN</t>
        </is>
      </c>
      <c r="E2967" t="inlineStr">
        <is>
          <t>NYKÖPING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66230-2021</t>
        </is>
      </c>
      <c r="B2968" s="1" t="n">
        <v>44518</v>
      </c>
      <c r="C2968" s="1" t="n">
        <v>45182</v>
      </c>
      <c r="D2968" t="inlineStr">
        <is>
          <t>SÖDERMANLANDS LÄN</t>
        </is>
      </c>
      <c r="E2968" t="inlineStr">
        <is>
          <t>FLEN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66296-2021</t>
        </is>
      </c>
      <c r="B2969" s="1" t="n">
        <v>44518</v>
      </c>
      <c r="C2969" s="1" t="n">
        <v>45182</v>
      </c>
      <c r="D2969" t="inlineStr">
        <is>
          <t>SÖDERMANLANDS LÄN</t>
        </is>
      </c>
      <c r="E2969" t="inlineStr">
        <is>
          <t>STRÄNGNÄS</t>
        </is>
      </c>
      <c r="F2969" t="inlineStr">
        <is>
          <t>Övriga statliga verk och myndigheter</t>
        </is>
      </c>
      <c r="G2969" t="n">
        <v>3.8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66393-2021</t>
        </is>
      </c>
      <c r="B2970" s="1" t="n">
        <v>44518</v>
      </c>
      <c r="C2970" s="1" t="n">
        <v>45182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66540-2021</t>
        </is>
      </c>
      <c r="B2971" s="1" t="n">
        <v>44519</v>
      </c>
      <c r="C2971" s="1" t="n">
        <v>45182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66655-2021</t>
        </is>
      </c>
      <c r="B2972" s="1" t="n">
        <v>44519</v>
      </c>
      <c r="C2972" s="1" t="n">
        <v>45182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3.3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66700-2021</t>
        </is>
      </c>
      <c r="B2973" s="1" t="n">
        <v>44519</v>
      </c>
      <c r="C2973" s="1" t="n">
        <v>45182</v>
      </c>
      <c r="D2973" t="inlineStr">
        <is>
          <t>SÖDERMANLANDS LÄN</t>
        </is>
      </c>
      <c r="E2973" t="inlineStr">
        <is>
          <t>VINGÅKER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66852-2021</t>
        </is>
      </c>
      <c r="B2974" s="1" t="n">
        <v>44522</v>
      </c>
      <c r="C2974" s="1" t="n">
        <v>45182</v>
      </c>
      <c r="D2974" t="inlineStr">
        <is>
          <t>SÖDERMANLANDS LÄN</t>
        </is>
      </c>
      <c r="E2974" t="inlineStr">
        <is>
          <t>NYKÖPING</t>
        </is>
      </c>
      <c r="F2974" t="inlineStr">
        <is>
          <t>Holmen skog AB</t>
        </is>
      </c>
      <c r="G2974" t="n">
        <v>0.7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67047-2021</t>
        </is>
      </c>
      <c r="B2975" s="1" t="n">
        <v>44522</v>
      </c>
      <c r="C2975" s="1" t="n">
        <v>45182</v>
      </c>
      <c r="D2975" t="inlineStr">
        <is>
          <t>SÖDERMANLANDS LÄN</t>
        </is>
      </c>
      <c r="E2975" t="inlineStr">
        <is>
          <t>ESKILSTUNA</t>
        </is>
      </c>
      <c r="F2975" t="inlineStr">
        <is>
          <t>Kyrkan</t>
        </is>
      </c>
      <c r="G2975" t="n">
        <v>2.7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66860-2021</t>
        </is>
      </c>
      <c r="B2976" s="1" t="n">
        <v>44522</v>
      </c>
      <c r="C2976" s="1" t="n">
        <v>45182</v>
      </c>
      <c r="D2976" t="inlineStr">
        <is>
          <t>SÖDERMANLANDS LÄN</t>
        </is>
      </c>
      <c r="E2976" t="inlineStr">
        <is>
          <t>NYKÖPING</t>
        </is>
      </c>
      <c r="F2976" t="inlineStr">
        <is>
          <t>Holmen skog AB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66939-2021</t>
        </is>
      </c>
      <c r="B2977" s="1" t="n">
        <v>44522</v>
      </c>
      <c r="C2977" s="1" t="n">
        <v>45182</v>
      </c>
      <c r="D2977" t="inlineStr">
        <is>
          <t>SÖDERMANLANDS LÄN</t>
        </is>
      </c>
      <c r="E2977" t="inlineStr">
        <is>
          <t>NYKÖPING</t>
        </is>
      </c>
      <c r="G2977" t="n">
        <v>4.4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66975-2021</t>
        </is>
      </c>
      <c r="B2978" s="1" t="n">
        <v>44522</v>
      </c>
      <c r="C2978" s="1" t="n">
        <v>45182</v>
      </c>
      <c r="D2978" t="inlineStr">
        <is>
          <t>SÖDERMANLANDS LÄN</t>
        </is>
      </c>
      <c r="E2978" t="inlineStr">
        <is>
          <t>NYKÖPING</t>
        </is>
      </c>
      <c r="F2978" t="inlineStr">
        <is>
          <t>Holmen skog AB</t>
        </is>
      </c>
      <c r="G2978" t="n">
        <v>3.1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66867-2021</t>
        </is>
      </c>
      <c r="B2979" s="1" t="n">
        <v>44522</v>
      </c>
      <c r="C2979" s="1" t="n">
        <v>45182</v>
      </c>
      <c r="D2979" t="inlineStr">
        <is>
          <t>SÖDERMANLANDS LÄN</t>
        </is>
      </c>
      <c r="E2979" t="inlineStr">
        <is>
          <t>FLEN</t>
        </is>
      </c>
      <c r="F2979" t="inlineStr">
        <is>
          <t>Kyrkan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66979-2021</t>
        </is>
      </c>
      <c r="B2980" s="1" t="n">
        <v>44522</v>
      </c>
      <c r="C2980" s="1" t="n">
        <v>45182</v>
      </c>
      <c r="D2980" t="inlineStr">
        <is>
          <t>SÖDERMANLANDS LÄN</t>
        </is>
      </c>
      <c r="E2980" t="inlineStr">
        <is>
          <t>FLEN</t>
        </is>
      </c>
      <c r="G2980" t="n">
        <v>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66801-2021</t>
        </is>
      </c>
      <c r="B2981" s="1" t="n">
        <v>44522</v>
      </c>
      <c r="C2981" s="1" t="n">
        <v>45182</v>
      </c>
      <c r="D2981" t="inlineStr">
        <is>
          <t>SÖDERMANLANDS LÄN</t>
        </is>
      </c>
      <c r="E2981" t="inlineStr">
        <is>
          <t>KATRINEHOLM</t>
        </is>
      </c>
      <c r="F2981" t="inlineStr">
        <is>
          <t>Holmen skog AB</t>
        </is>
      </c>
      <c r="G2981" t="n">
        <v>0.2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67351-2021</t>
        </is>
      </c>
      <c r="B2982" s="1" t="n">
        <v>44523</v>
      </c>
      <c r="C2982" s="1" t="n">
        <v>45182</v>
      </c>
      <c r="D2982" t="inlineStr">
        <is>
          <t>SÖDERMANLANDS LÄN</t>
        </is>
      </c>
      <c r="E2982" t="inlineStr">
        <is>
          <t>KATRINEHOLM</t>
        </is>
      </c>
      <c r="G2982" t="n">
        <v>5.4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67337-2021</t>
        </is>
      </c>
      <c r="B2983" s="1" t="n">
        <v>44523</v>
      </c>
      <c r="C2983" s="1" t="n">
        <v>45182</v>
      </c>
      <c r="D2983" t="inlineStr">
        <is>
          <t>SÖDERMANLANDS LÄN</t>
        </is>
      </c>
      <c r="E2983" t="inlineStr">
        <is>
          <t>KATRINEHOLM</t>
        </is>
      </c>
      <c r="G2983" t="n">
        <v>5.2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67479-2021</t>
        </is>
      </c>
      <c r="B2984" s="1" t="n">
        <v>44524</v>
      </c>
      <c r="C2984" s="1" t="n">
        <v>45182</v>
      </c>
      <c r="D2984" t="inlineStr">
        <is>
          <t>SÖDERMANLANDS LÄN</t>
        </is>
      </c>
      <c r="E2984" t="inlineStr">
        <is>
          <t>GNESTA</t>
        </is>
      </c>
      <c r="G2984" t="n">
        <v>2.1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67529-2021</t>
        </is>
      </c>
      <c r="B2985" s="1" t="n">
        <v>44524</v>
      </c>
      <c r="C2985" s="1" t="n">
        <v>45182</v>
      </c>
      <c r="D2985" t="inlineStr">
        <is>
          <t>SÖDERMANLANDS LÄN</t>
        </is>
      </c>
      <c r="E2985" t="inlineStr">
        <is>
          <t>ESKILSTUNA</t>
        </is>
      </c>
      <c r="G2985" t="n">
        <v>4.9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67639-2021</t>
        </is>
      </c>
      <c r="B2986" s="1" t="n">
        <v>44524</v>
      </c>
      <c r="C2986" s="1" t="n">
        <v>45182</v>
      </c>
      <c r="D2986" t="inlineStr">
        <is>
          <t>SÖDERMANLANDS LÄN</t>
        </is>
      </c>
      <c r="E2986" t="inlineStr">
        <is>
          <t>STRÄNGNÄS</t>
        </is>
      </c>
      <c r="G2986" t="n">
        <v>0.1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67516-2021</t>
        </is>
      </c>
      <c r="B2987" s="1" t="n">
        <v>44524</v>
      </c>
      <c r="C2987" s="1" t="n">
        <v>45182</v>
      </c>
      <c r="D2987" t="inlineStr">
        <is>
          <t>SÖDERMANLANDS LÄN</t>
        </is>
      </c>
      <c r="E2987" t="inlineStr">
        <is>
          <t>ESKILSTUNA</t>
        </is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67817-2021</t>
        </is>
      </c>
      <c r="B2988" s="1" t="n">
        <v>44525</v>
      </c>
      <c r="C2988" s="1" t="n">
        <v>45182</v>
      </c>
      <c r="D2988" t="inlineStr">
        <is>
          <t>SÖDERMANLANDS LÄN</t>
        </is>
      </c>
      <c r="E2988" t="inlineStr">
        <is>
          <t>NYKÖPING</t>
        </is>
      </c>
      <c r="F2988" t="inlineStr">
        <is>
          <t>Sveaskog</t>
        </is>
      </c>
      <c r="G2988" t="n">
        <v>0.9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68041-2021</t>
        </is>
      </c>
      <c r="B2989" s="1" t="n">
        <v>44525</v>
      </c>
      <c r="C2989" s="1" t="n">
        <v>45182</v>
      </c>
      <c r="D2989" t="inlineStr">
        <is>
          <t>SÖDERMANLANDS LÄN</t>
        </is>
      </c>
      <c r="E2989" t="inlineStr">
        <is>
          <t>NYKÖPING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67802-2021</t>
        </is>
      </c>
      <c r="B2990" s="1" t="n">
        <v>44525</v>
      </c>
      <c r="C2990" s="1" t="n">
        <v>45182</v>
      </c>
      <c r="D2990" t="inlineStr">
        <is>
          <t>SÖDERMANLANDS LÄN</t>
        </is>
      </c>
      <c r="E2990" t="inlineStr">
        <is>
          <t>NYKÖPING</t>
        </is>
      </c>
      <c r="F2990" t="inlineStr">
        <is>
          <t>Sveaskog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67835-2021</t>
        </is>
      </c>
      <c r="B2991" s="1" t="n">
        <v>44525</v>
      </c>
      <c r="C2991" s="1" t="n">
        <v>45182</v>
      </c>
      <c r="D2991" t="inlineStr">
        <is>
          <t>SÖDERMANLANDS LÄN</t>
        </is>
      </c>
      <c r="E2991" t="inlineStr">
        <is>
          <t>VINGÅKER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68015-2021</t>
        </is>
      </c>
      <c r="B2992" s="1" t="n">
        <v>44525</v>
      </c>
      <c r="C2992" s="1" t="n">
        <v>45182</v>
      </c>
      <c r="D2992" t="inlineStr">
        <is>
          <t>SÖDERMANLANDS LÄN</t>
        </is>
      </c>
      <c r="E2992" t="inlineStr">
        <is>
          <t>ESKILSTUNA</t>
        </is>
      </c>
      <c r="G2992" t="n">
        <v>1.3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67823-2021</t>
        </is>
      </c>
      <c r="B2993" s="1" t="n">
        <v>44525</v>
      </c>
      <c r="C2993" s="1" t="n">
        <v>45182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3.1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67805-2021</t>
        </is>
      </c>
      <c r="B2994" s="1" t="n">
        <v>44525</v>
      </c>
      <c r="C2994" s="1" t="n">
        <v>45182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1.5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67925-2021</t>
        </is>
      </c>
      <c r="B2995" s="1" t="n">
        <v>44525</v>
      </c>
      <c r="C2995" s="1" t="n">
        <v>45182</v>
      </c>
      <c r="D2995" t="inlineStr">
        <is>
          <t>SÖDERMANLANDS LÄN</t>
        </is>
      </c>
      <c r="E2995" t="inlineStr">
        <is>
          <t>STRÄNGNÄS</t>
        </is>
      </c>
      <c r="G2995" t="n">
        <v>3.2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68034-2021</t>
        </is>
      </c>
      <c r="B2996" s="1" t="n">
        <v>44525</v>
      </c>
      <c r="C2996" s="1" t="n">
        <v>45182</v>
      </c>
      <c r="D2996" t="inlineStr">
        <is>
          <t>SÖDERMANLANDS LÄN</t>
        </is>
      </c>
      <c r="E2996" t="inlineStr">
        <is>
          <t>NYKÖPING</t>
        </is>
      </c>
      <c r="G2996" t="n">
        <v>1.7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68175-2021</t>
        </is>
      </c>
      <c r="B2997" s="1" t="n">
        <v>44526</v>
      </c>
      <c r="C2997" s="1" t="n">
        <v>45182</v>
      </c>
      <c r="D2997" t="inlineStr">
        <is>
          <t>SÖDERMANLANDS LÄN</t>
        </is>
      </c>
      <c r="E2997" t="inlineStr">
        <is>
          <t>TROSA</t>
        </is>
      </c>
      <c r="F2997" t="inlineStr">
        <is>
          <t>Holmen skog AB</t>
        </is>
      </c>
      <c r="G2997" t="n">
        <v>3.8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68206-2021</t>
        </is>
      </c>
      <c r="B2998" s="1" t="n">
        <v>44526</v>
      </c>
      <c r="C2998" s="1" t="n">
        <v>45182</v>
      </c>
      <c r="D2998" t="inlineStr">
        <is>
          <t>SÖDERMANLANDS LÄN</t>
        </is>
      </c>
      <c r="E2998" t="inlineStr">
        <is>
          <t>KATRINEHOLM</t>
        </is>
      </c>
      <c r="G2998" t="n">
        <v>2.9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68231-2021</t>
        </is>
      </c>
      <c r="B2999" s="1" t="n">
        <v>44526</v>
      </c>
      <c r="C2999" s="1" t="n">
        <v>45182</v>
      </c>
      <c r="D2999" t="inlineStr">
        <is>
          <t>SÖDERMANLANDS LÄN</t>
        </is>
      </c>
      <c r="E2999" t="inlineStr">
        <is>
          <t>NYKÖPING</t>
        </is>
      </c>
      <c r="G2999" t="n">
        <v>3.8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68687-2021</t>
        </is>
      </c>
      <c r="B3000" s="1" t="n">
        <v>44529</v>
      </c>
      <c r="C3000" s="1" t="n">
        <v>45182</v>
      </c>
      <c r="D3000" t="inlineStr">
        <is>
          <t>SÖDERMANLANDS LÄN</t>
        </is>
      </c>
      <c r="E3000" t="inlineStr">
        <is>
          <t>GNESTA</t>
        </is>
      </c>
      <c r="G3000" t="n">
        <v>4.3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68869-2021</t>
        </is>
      </c>
      <c r="B3001" s="1" t="n">
        <v>44529</v>
      </c>
      <c r="C3001" s="1" t="n">
        <v>45182</v>
      </c>
      <c r="D3001" t="inlineStr">
        <is>
          <t>SÖDERMANLANDS LÄN</t>
        </is>
      </c>
      <c r="E3001" t="inlineStr">
        <is>
          <t>GNESTA</t>
        </is>
      </c>
      <c r="G3001" t="n">
        <v>3.4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68401-2021</t>
        </is>
      </c>
      <c r="B3002" s="1" t="n">
        <v>44529</v>
      </c>
      <c r="C3002" s="1" t="n">
        <v>45182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Övriga Aktiebolag</t>
        </is>
      </c>
      <c r="G3002" t="n">
        <v>16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68720-2021</t>
        </is>
      </c>
      <c r="B3003" s="1" t="n">
        <v>44529</v>
      </c>
      <c r="C3003" s="1" t="n">
        <v>45182</v>
      </c>
      <c r="D3003" t="inlineStr">
        <is>
          <t>SÖDERMANLANDS LÄN</t>
        </is>
      </c>
      <c r="E3003" t="inlineStr">
        <is>
          <t>STRÄNGNÄS</t>
        </is>
      </c>
      <c r="G3003" t="n">
        <v>0.7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68500-2021</t>
        </is>
      </c>
      <c r="B3004" s="1" t="n">
        <v>44529</v>
      </c>
      <c r="C3004" s="1" t="n">
        <v>45182</v>
      </c>
      <c r="D3004" t="inlineStr">
        <is>
          <t>SÖDERMANLANDS LÄN</t>
        </is>
      </c>
      <c r="E3004" t="inlineStr">
        <is>
          <t>NYKÖPING</t>
        </is>
      </c>
      <c r="F3004" t="inlineStr">
        <is>
          <t>Övriga Aktiebolag</t>
        </is>
      </c>
      <c r="G3004" t="n">
        <v>13.1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69252-2021</t>
        </is>
      </c>
      <c r="B3005" s="1" t="n">
        <v>44530</v>
      </c>
      <c r="C3005" s="1" t="n">
        <v>45182</v>
      </c>
      <c r="D3005" t="inlineStr">
        <is>
          <t>SÖDERMANLANDS LÄN</t>
        </is>
      </c>
      <c r="E3005" t="inlineStr">
        <is>
          <t>NYKÖPING</t>
        </is>
      </c>
      <c r="G3005" t="n">
        <v>6.4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69244-2021</t>
        </is>
      </c>
      <c r="B3006" s="1" t="n">
        <v>44530</v>
      </c>
      <c r="C3006" s="1" t="n">
        <v>45182</v>
      </c>
      <c r="D3006" t="inlineStr">
        <is>
          <t>SÖDERMANLANDS LÄN</t>
        </is>
      </c>
      <c r="E3006" t="inlineStr">
        <is>
          <t>NYKÖPING</t>
        </is>
      </c>
      <c r="G3006" t="n">
        <v>3.2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69255-2021</t>
        </is>
      </c>
      <c r="B3007" s="1" t="n">
        <v>44530</v>
      </c>
      <c r="C3007" s="1" t="n">
        <v>45182</v>
      </c>
      <c r="D3007" t="inlineStr">
        <is>
          <t>SÖDERMANLANDS LÄN</t>
        </is>
      </c>
      <c r="E3007" t="inlineStr">
        <is>
          <t>NYKÖPING</t>
        </is>
      </c>
      <c r="G3007" t="n">
        <v>0.9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69094-2021</t>
        </is>
      </c>
      <c r="B3008" s="1" t="n">
        <v>44530</v>
      </c>
      <c r="C3008" s="1" t="n">
        <v>45182</v>
      </c>
      <c r="D3008" t="inlineStr">
        <is>
          <t>SÖDERMANLANDS LÄN</t>
        </is>
      </c>
      <c r="E3008" t="inlineStr">
        <is>
          <t>TROSA</t>
        </is>
      </c>
      <c r="F3008" t="inlineStr">
        <is>
          <t>Holmen skog AB</t>
        </is>
      </c>
      <c r="G3008" t="n">
        <v>8.1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69247-2021</t>
        </is>
      </c>
      <c r="B3009" s="1" t="n">
        <v>44530</v>
      </c>
      <c r="C3009" s="1" t="n">
        <v>45182</v>
      </c>
      <c r="D3009" t="inlineStr">
        <is>
          <t>SÖDERMANLANDS LÄN</t>
        </is>
      </c>
      <c r="E3009" t="inlineStr">
        <is>
          <t>NYKÖPING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69178-2021</t>
        </is>
      </c>
      <c r="B3010" s="1" t="n">
        <v>44531</v>
      </c>
      <c r="C3010" s="1" t="n">
        <v>45182</v>
      </c>
      <c r="D3010" t="inlineStr">
        <is>
          <t>SÖDERMANLANDS LÄN</t>
        </is>
      </c>
      <c r="E3010" t="inlineStr">
        <is>
          <t>STRÄNGNÄS</t>
        </is>
      </c>
      <c r="G3010" t="n">
        <v>1.4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69581-2021</t>
        </is>
      </c>
      <c r="B3011" s="1" t="n">
        <v>44531</v>
      </c>
      <c r="C3011" s="1" t="n">
        <v>45182</v>
      </c>
      <c r="D3011" t="inlineStr">
        <is>
          <t>SÖDERMANLANDS LÄN</t>
        </is>
      </c>
      <c r="E3011" t="inlineStr">
        <is>
          <t>VINGÅKER</t>
        </is>
      </c>
      <c r="G3011" t="n">
        <v>2.3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69598-2021</t>
        </is>
      </c>
      <c r="B3012" s="1" t="n">
        <v>44531</v>
      </c>
      <c r="C3012" s="1" t="n">
        <v>45182</v>
      </c>
      <c r="D3012" t="inlineStr">
        <is>
          <t>SÖDERMANLANDS LÄN</t>
        </is>
      </c>
      <c r="E3012" t="inlineStr">
        <is>
          <t>NYKÖPING</t>
        </is>
      </c>
      <c r="G3012" t="n">
        <v>1.3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69622-2021</t>
        </is>
      </c>
      <c r="B3013" s="1" t="n">
        <v>44531</v>
      </c>
      <c r="C3013" s="1" t="n">
        <v>45182</v>
      </c>
      <c r="D3013" t="inlineStr">
        <is>
          <t>SÖDERMANLANDS LÄN</t>
        </is>
      </c>
      <c r="E3013" t="inlineStr">
        <is>
          <t>NYKÖPING</t>
        </is>
      </c>
      <c r="G3013" t="n">
        <v>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69175-2021</t>
        </is>
      </c>
      <c r="B3014" s="1" t="n">
        <v>44531</v>
      </c>
      <c r="C3014" s="1" t="n">
        <v>45182</v>
      </c>
      <c r="D3014" t="inlineStr">
        <is>
          <t>SÖDERMANLANDS LÄN</t>
        </is>
      </c>
      <c r="E3014" t="inlineStr">
        <is>
          <t>STRÄNGNÄS</t>
        </is>
      </c>
      <c r="G3014" t="n">
        <v>1.5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69618-2021</t>
        </is>
      </c>
      <c r="B3015" s="1" t="n">
        <v>44531</v>
      </c>
      <c r="C3015" s="1" t="n">
        <v>45182</v>
      </c>
      <c r="D3015" t="inlineStr">
        <is>
          <t>SÖDERMANLANDS LÄN</t>
        </is>
      </c>
      <c r="E3015" t="inlineStr">
        <is>
          <t>NYKÖPING</t>
        </is>
      </c>
      <c r="G3015" t="n">
        <v>10.1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69602-2021</t>
        </is>
      </c>
      <c r="B3016" s="1" t="n">
        <v>44531</v>
      </c>
      <c r="C3016" s="1" t="n">
        <v>45182</v>
      </c>
      <c r="D3016" t="inlineStr">
        <is>
          <t>SÖDERMANLANDS LÄN</t>
        </is>
      </c>
      <c r="E3016" t="inlineStr">
        <is>
          <t>NYKÖPING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69429-2021</t>
        </is>
      </c>
      <c r="B3017" s="1" t="n">
        <v>44531</v>
      </c>
      <c r="C3017" s="1" t="n">
        <v>45182</v>
      </c>
      <c r="D3017" t="inlineStr">
        <is>
          <t>SÖDERMANLANDS LÄN</t>
        </is>
      </c>
      <c r="E3017" t="inlineStr">
        <is>
          <t>KATRINEHOLM</t>
        </is>
      </c>
      <c r="G3017" t="n">
        <v>1.2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69588-2021</t>
        </is>
      </c>
      <c r="B3018" s="1" t="n">
        <v>44531</v>
      </c>
      <c r="C3018" s="1" t="n">
        <v>45182</v>
      </c>
      <c r="D3018" t="inlineStr">
        <is>
          <t>SÖDERMANLANDS LÄN</t>
        </is>
      </c>
      <c r="E3018" t="inlineStr">
        <is>
          <t>FLEN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69612-2021</t>
        </is>
      </c>
      <c r="B3019" s="1" t="n">
        <v>44531</v>
      </c>
      <c r="C3019" s="1" t="n">
        <v>45182</v>
      </c>
      <c r="D3019" t="inlineStr">
        <is>
          <t>SÖDERMANLANDS LÄN</t>
        </is>
      </c>
      <c r="E3019" t="inlineStr">
        <is>
          <t>NYKÖPING</t>
        </is>
      </c>
      <c r="G3019" t="n">
        <v>9.199999999999999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69922-2021</t>
        </is>
      </c>
      <c r="B3020" s="1" t="n">
        <v>44532</v>
      </c>
      <c r="C3020" s="1" t="n">
        <v>45182</v>
      </c>
      <c r="D3020" t="inlineStr">
        <is>
          <t>SÖDERMANLANDS LÄN</t>
        </is>
      </c>
      <c r="E3020" t="inlineStr">
        <is>
          <t>GNESTA</t>
        </is>
      </c>
      <c r="G3020" t="n">
        <v>2.8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69966-2021</t>
        </is>
      </c>
      <c r="B3021" s="1" t="n">
        <v>44533</v>
      </c>
      <c r="C3021" s="1" t="n">
        <v>45182</v>
      </c>
      <c r="D3021" t="inlineStr">
        <is>
          <t>SÖDERMANLANDS LÄN</t>
        </is>
      </c>
      <c r="E3021" t="inlineStr">
        <is>
          <t>TROSA</t>
        </is>
      </c>
      <c r="G3021" t="n">
        <v>1.9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70056-2021</t>
        </is>
      </c>
      <c r="B3022" s="1" t="n">
        <v>44533</v>
      </c>
      <c r="C3022" s="1" t="n">
        <v>45182</v>
      </c>
      <c r="D3022" t="inlineStr">
        <is>
          <t>SÖDERMANLANDS LÄN</t>
        </is>
      </c>
      <c r="E3022" t="inlineStr">
        <is>
          <t>ESKILSTUNA</t>
        </is>
      </c>
      <c r="G3022" t="n">
        <v>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70191-2021</t>
        </is>
      </c>
      <c r="B3023" s="1" t="n">
        <v>44533</v>
      </c>
      <c r="C3023" s="1" t="n">
        <v>45182</v>
      </c>
      <c r="D3023" t="inlineStr">
        <is>
          <t>SÖDERMANLANDS LÄN</t>
        </is>
      </c>
      <c r="E3023" t="inlineStr">
        <is>
          <t>ESKILSTUNA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70051-2021</t>
        </is>
      </c>
      <c r="B3024" s="1" t="n">
        <v>44533</v>
      </c>
      <c r="C3024" s="1" t="n">
        <v>45182</v>
      </c>
      <c r="D3024" t="inlineStr">
        <is>
          <t>SÖDERMANLANDS LÄN</t>
        </is>
      </c>
      <c r="E3024" t="inlineStr">
        <is>
          <t>ESKILSTUNA</t>
        </is>
      </c>
      <c r="G3024" t="n">
        <v>4.9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70082-2021</t>
        </is>
      </c>
      <c r="B3025" s="1" t="n">
        <v>44533</v>
      </c>
      <c r="C3025" s="1" t="n">
        <v>45182</v>
      </c>
      <c r="D3025" t="inlineStr">
        <is>
          <t>SÖDERMANLANDS LÄN</t>
        </is>
      </c>
      <c r="E3025" t="inlineStr">
        <is>
          <t>ESKILSTUNA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70064-2021</t>
        </is>
      </c>
      <c r="B3026" s="1" t="n">
        <v>44533</v>
      </c>
      <c r="C3026" s="1" t="n">
        <v>45182</v>
      </c>
      <c r="D3026" t="inlineStr">
        <is>
          <t>SÖDERMANLANDS LÄN</t>
        </is>
      </c>
      <c r="E3026" t="inlineStr">
        <is>
          <t>ESKILSTUNA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70215-2021</t>
        </is>
      </c>
      <c r="B3027" s="1" t="n">
        <v>44535</v>
      </c>
      <c r="C3027" s="1" t="n">
        <v>45182</v>
      </c>
      <c r="D3027" t="inlineStr">
        <is>
          <t>SÖDERMANLANDS LÄN</t>
        </is>
      </c>
      <c r="E3027" t="inlineStr">
        <is>
          <t>FLEN</t>
        </is>
      </c>
      <c r="G3027" t="n">
        <v>5.2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70442-2021</t>
        </is>
      </c>
      <c r="B3028" s="1" t="n">
        <v>44536</v>
      </c>
      <c r="C3028" s="1" t="n">
        <v>45182</v>
      </c>
      <c r="D3028" t="inlineStr">
        <is>
          <t>SÖDERMANLANDS LÄN</t>
        </is>
      </c>
      <c r="E3028" t="inlineStr">
        <is>
          <t>KATRINEHOLM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70490-2021</t>
        </is>
      </c>
      <c r="B3029" s="1" t="n">
        <v>44536</v>
      </c>
      <c r="C3029" s="1" t="n">
        <v>45182</v>
      </c>
      <c r="D3029" t="inlineStr">
        <is>
          <t>SÖDERMANLANDS LÄN</t>
        </is>
      </c>
      <c r="E3029" t="inlineStr">
        <is>
          <t>ESKILSTUNA</t>
        </is>
      </c>
      <c r="G3029" t="n">
        <v>5.7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70557-2021</t>
        </is>
      </c>
      <c r="B3030" s="1" t="n">
        <v>44536</v>
      </c>
      <c r="C3030" s="1" t="n">
        <v>45182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70660-2021</t>
        </is>
      </c>
      <c r="B3031" s="1" t="n">
        <v>44536</v>
      </c>
      <c r="C3031" s="1" t="n">
        <v>45182</v>
      </c>
      <c r="D3031" t="inlineStr">
        <is>
          <t>SÖDERMANLANDS LÄN</t>
        </is>
      </c>
      <c r="E3031" t="inlineStr">
        <is>
          <t>ESKILSTUNA</t>
        </is>
      </c>
      <c r="G3031" t="n">
        <v>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70422-2021</t>
        </is>
      </c>
      <c r="B3032" s="1" t="n">
        <v>44536</v>
      </c>
      <c r="C3032" s="1" t="n">
        <v>45182</v>
      </c>
      <c r="D3032" t="inlineStr">
        <is>
          <t>SÖDERMANLANDS LÄN</t>
        </is>
      </c>
      <c r="E3032" t="inlineStr">
        <is>
          <t>KATRINEHOLM</t>
        </is>
      </c>
      <c r="G3032" t="n">
        <v>3.5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70667-2021</t>
        </is>
      </c>
      <c r="B3033" s="1" t="n">
        <v>44536</v>
      </c>
      <c r="C3033" s="1" t="n">
        <v>45182</v>
      </c>
      <c r="D3033" t="inlineStr">
        <is>
          <t>SÖDERMANLANDS LÄN</t>
        </is>
      </c>
      <c r="E3033" t="inlineStr">
        <is>
          <t>ESKILSTUNA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70791-2021</t>
        </is>
      </c>
      <c r="B3034" s="1" t="n">
        <v>44536</v>
      </c>
      <c r="C3034" s="1" t="n">
        <v>45182</v>
      </c>
      <c r="D3034" t="inlineStr">
        <is>
          <t>SÖDERMANLANDS LÄN</t>
        </is>
      </c>
      <c r="E3034" t="inlineStr">
        <is>
          <t>NYKÖPING</t>
        </is>
      </c>
      <c r="G3034" t="n">
        <v>1.4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70092-2021</t>
        </is>
      </c>
      <c r="B3035" s="1" t="n">
        <v>44536</v>
      </c>
      <c r="C3035" s="1" t="n">
        <v>45182</v>
      </c>
      <c r="D3035" t="inlineStr">
        <is>
          <t>SÖDERMANLANDS LÄN</t>
        </is>
      </c>
      <c r="E3035" t="inlineStr">
        <is>
          <t>NYKÖPING</t>
        </is>
      </c>
      <c r="G3035" t="n">
        <v>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70620-2021</t>
        </is>
      </c>
      <c r="B3036" s="1" t="n">
        <v>44536</v>
      </c>
      <c r="C3036" s="1" t="n">
        <v>45182</v>
      </c>
      <c r="D3036" t="inlineStr">
        <is>
          <t>SÖDERMANLANDS LÄN</t>
        </is>
      </c>
      <c r="E3036" t="inlineStr">
        <is>
          <t>ESKILSTUNA</t>
        </is>
      </c>
      <c r="G3036" t="n">
        <v>1.2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70777-2021</t>
        </is>
      </c>
      <c r="B3037" s="1" t="n">
        <v>44536</v>
      </c>
      <c r="C3037" s="1" t="n">
        <v>45182</v>
      </c>
      <c r="D3037" t="inlineStr">
        <is>
          <t>SÖDERMANLANDS LÄN</t>
        </is>
      </c>
      <c r="E3037" t="inlineStr">
        <is>
          <t>NYKÖPING</t>
        </is>
      </c>
      <c r="G3037" t="n">
        <v>8.199999999999999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70560-2021</t>
        </is>
      </c>
      <c r="B3038" s="1" t="n">
        <v>44536</v>
      </c>
      <c r="C3038" s="1" t="n">
        <v>45182</v>
      </c>
      <c r="D3038" t="inlineStr">
        <is>
          <t>SÖDERMANLANDS LÄN</t>
        </is>
      </c>
      <c r="E3038" t="inlineStr">
        <is>
          <t>ESKILSTUNA</t>
        </is>
      </c>
      <c r="G3038" t="n">
        <v>0.9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70666-2021</t>
        </is>
      </c>
      <c r="B3039" s="1" t="n">
        <v>44536</v>
      </c>
      <c r="C3039" s="1" t="n">
        <v>45182</v>
      </c>
      <c r="D3039" t="inlineStr">
        <is>
          <t>SÖDERMANLANDS LÄN</t>
        </is>
      </c>
      <c r="E3039" t="inlineStr">
        <is>
          <t>ESKILSTUNA</t>
        </is>
      </c>
      <c r="G3039" t="n">
        <v>4.1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70701-2021</t>
        </is>
      </c>
      <c r="B3040" s="1" t="n">
        <v>44536</v>
      </c>
      <c r="C3040" s="1" t="n">
        <v>45182</v>
      </c>
      <c r="D3040" t="inlineStr">
        <is>
          <t>SÖDERMANLANDS LÄN</t>
        </is>
      </c>
      <c r="E3040" t="inlineStr">
        <is>
          <t>FLEN</t>
        </is>
      </c>
      <c r="G3040" t="n">
        <v>7.5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70749-2021</t>
        </is>
      </c>
      <c r="B3041" s="1" t="n">
        <v>44536</v>
      </c>
      <c r="C3041" s="1" t="n">
        <v>45182</v>
      </c>
      <c r="D3041" t="inlineStr">
        <is>
          <t>SÖDERMANLANDS LÄN</t>
        </is>
      </c>
      <c r="E3041" t="inlineStr">
        <is>
          <t>NYKÖPING</t>
        </is>
      </c>
      <c r="G3041" t="n">
        <v>5.1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70772-2021</t>
        </is>
      </c>
      <c r="B3042" s="1" t="n">
        <v>44536</v>
      </c>
      <c r="C3042" s="1" t="n">
        <v>45182</v>
      </c>
      <c r="D3042" t="inlineStr">
        <is>
          <t>SÖDERMANLANDS LÄN</t>
        </is>
      </c>
      <c r="E3042" t="inlineStr">
        <is>
          <t>NYKÖPING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71103-2021</t>
        </is>
      </c>
      <c r="B3043" s="1" t="n">
        <v>44537</v>
      </c>
      <c r="C3043" s="1" t="n">
        <v>45182</v>
      </c>
      <c r="D3043" t="inlineStr">
        <is>
          <t>SÖDERMANLANDS LÄN</t>
        </is>
      </c>
      <c r="E3043" t="inlineStr">
        <is>
          <t>NYKÖPING</t>
        </is>
      </c>
      <c r="G3043" t="n">
        <v>2.4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70613-2021</t>
        </is>
      </c>
      <c r="B3044" s="1" t="n">
        <v>44537</v>
      </c>
      <c r="C3044" s="1" t="n">
        <v>45182</v>
      </c>
      <c r="D3044" t="inlineStr">
        <is>
          <t>SÖDERMANLANDS LÄN</t>
        </is>
      </c>
      <c r="E3044" t="inlineStr">
        <is>
          <t>ESKILSTUNA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70782-2021</t>
        </is>
      </c>
      <c r="B3045" s="1" t="n">
        <v>44537</v>
      </c>
      <c r="C3045" s="1" t="n">
        <v>45182</v>
      </c>
      <c r="D3045" t="inlineStr">
        <is>
          <t>SÖDERMANLANDS LÄN</t>
        </is>
      </c>
      <c r="E3045" t="inlineStr">
        <is>
          <t>GNESTA</t>
        </is>
      </c>
      <c r="F3045" t="inlineStr">
        <is>
          <t>Kyrkan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70934-2021</t>
        </is>
      </c>
      <c r="B3046" s="1" t="n">
        <v>44537</v>
      </c>
      <c r="C3046" s="1" t="n">
        <v>45182</v>
      </c>
      <c r="D3046" t="inlineStr">
        <is>
          <t>SÖDERMANLANDS LÄN</t>
        </is>
      </c>
      <c r="E3046" t="inlineStr">
        <is>
          <t>STRÄNGNÄS</t>
        </is>
      </c>
      <c r="G3046" t="n">
        <v>2.3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71111-2021</t>
        </is>
      </c>
      <c r="B3047" s="1" t="n">
        <v>44537</v>
      </c>
      <c r="C3047" s="1" t="n">
        <v>45182</v>
      </c>
      <c r="D3047" t="inlineStr">
        <is>
          <t>SÖDERMANLANDS LÄN</t>
        </is>
      </c>
      <c r="E3047" t="inlineStr">
        <is>
          <t>NYKÖPING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71115-2021</t>
        </is>
      </c>
      <c r="B3048" s="1" t="n">
        <v>44537</v>
      </c>
      <c r="C3048" s="1" t="n">
        <v>45182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71107-2021</t>
        </is>
      </c>
      <c r="B3049" s="1" t="n">
        <v>44537</v>
      </c>
      <c r="C3049" s="1" t="n">
        <v>45182</v>
      </c>
      <c r="D3049" t="inlineStr">
        <is>
          <t>SÖDERMANLANDS LÄN</t>
        </is>
      </c>
      <c r="E3049" t="inlineStr">
        <is>
          <t>NYKÖPING</t>
        </is>
      </c>
      <c r="G3049" t="n">
        <v>6.8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71129-2021</t>
        </is>
      </c>
      <c r="B3050" s="1" t="n">
        <v>44539</v>
      </c>
      <c r="C3050" s="1" t="n">
        <v>45182</v>
      </c>
      <c r="D3050" t="inlineStr">
        <is>
          <t>SÖDERMANLANDS LÄN</t>
        </is>
      </c>
      <c r="E3050" t="inlineStr">
        <is>
          <t>KATRINEHOLM</t>
        </is>
      </c>
      <c r="F3050" t="inlineStr">
        <is>
          <t>Holmen skog AB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71175-2021</t>
        </is>
      </c>
      <c r="B3051" s="1" t="n">
        <v>44539</v>
      </c>
      <c r="C3051" s="1" t="n">
        <v>45182</v>
      </c>
      <c r="D3051" t="inlineStr">
        <is>
          <t>SÖDERMANLANDS LÄN</t>
        </is>
      </c>
      <c r="E3051" t="inlineStr">
        <is>
          <t>NYKÖPING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71177-2021</t>
        </is>
      </c>
      <c r="B3052" s="1" t="n">
        <v>44539</v>
      </c>
      <c r="C3052" s="1" t="n">
        <v>45182</v>
      </c>
      <c r="D3052" t="inlineStr">
        <is>
          <t>SÖDERMANLANDS LÄN</t>
        </is>
      </c>
      <c r="E3052" t="inlineStr">
        <is>
          <t>KATRINEHOLM</t>
        </is>
      </c>
      <c r="G3052" t="n">
        <v>3.9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71150-2021</t>
        </is>
      </c>
      <c r="B3053" s="1" t="n">
        <v>44539</v>
      </c>
      <c r="C3053" s="1" t="n">
        <v>45182</v>
      </c>
      <c r="D3053" t="inlineStr">
        <is>
          <t>SÖDERMANLANDS LÄN</t>
        </is>
      </c>
      <c r="E3053" t="inlineStr">
        <is>
          <t>GNESTA</t>
        </is>
      </c>
      <c r="F3053" t="inlineStr">
        <is>
          <t>Allmännings- och besparingsskogar</t>
        </is>
      </c>
      <c r="G3053" t="n">
        <v>0.9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71414-2021</t>
        </is>
      </c>
      <c r="B3054" s="1" t="n">
        <v>44540</v>
      </c>
      <c r="C3054" s="1" t="n">
        <v>45182</v>
      </c>
      <c r="D3054" t="inlineStr">
        <is>
          <t>SÖDERMANLANDS LÄN</t>
        </is>
      </c>
      <c r="E3054" t="inlineStr">
        <is>
          <t>STRÄNGNÄS</t>
        </is>
      </c>
      <c r="G3054" t="n">
        <v>1.4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71772-2021</t>
        </is>
      </c>
      <c r="B3055" s="1" t="n">
        <v>44543</v>
      </c>
      <c r="C3055" s="1" t="n">
        <v>45182</v>
      </c>
      <c r="D3055" t="inlineStr">
        <is>
          <t>SÖDERMANLANDS LÄN</t>
        </is>
      </c>
      <c r="E3055" t="inlineStr">
        <is>
          <t>GNESTA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72117-2021</t>
        </is>
      </c>
      <c r="B3056" s="1" t="n">
        <v>44543</v>
      </c>
      <c r="C3056" s="1" t="n">
        <v>45182</v>
      </c>
      <c r="D3056" t="inlineStr">
        <is>
          <t>SÖDERMANLANDS LÄN</t>
        </is>
      </c>
      <c r="E3056" t="inlineStr">
        <is>
          <t>NYKÖPING</t>
        </is>
      </c>
      <c r="G3056" t="n">
        <v>14.9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72054-2021</t>
        </is>
      </c>
      <c r="B3057" s="1" t="n">
        <v>44544</v>
      </c>
      <c r="C3057" s="1" t="n">
        <v>45182</v>
      </c>
      <c r="D3057" t="inlineStr">
        <is>
          <t>SÖDERMANLANDS LÄN</t>
        </is>
      </c>
      <c r="E3057" t="inlineStr">
        <is>
          <t>TROSA</t>
        </is>
      </c>
      <c r="F3057" t="inlineStr">
        <is>
          <t>Holmen skog AB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72314-2021</t>
        </is>
      </c>
      <c r="B3058" s="1" t="n">
        <v>44544</v>
      </c>
      <c r="C3058" s="1" t="n">
        <v>45182</v>
      </c>
      <c r="D3058" t="inlineStr">
        <is>
          <t>SÖDERMANLANDS LÄN</t>
        </is>
      </c>
      <c r="E3058" t="inlineStr">
        <is>
          <t>FLEN</t>
        </is>
      </c>
      <c r="G3058" t="n">
        <v>13.8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72307-2021</t>
        </is>
      </c>
      <c r="B3059" s="1" t="n">
        <v>44544</v>
      </c>
      <c r="C3059" s="1" t="n">
        <v>45182</v>
      </c>
      <c r="D3059" t="inlineStr">
        <is>
          <t>SÖDERMANLANDS LÄN</t>
        </is>
      </c>
      <c r="E3059" t="inlineStr">
        <is>
          <t>NYKÖPING</t>
        </is>
      </c>
      <c r="G3059" t="n">
        <v>15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71980-2021</t>
        </is>
      </c>
      <c r="B3060" s="1" t="n">
        <v>44544</v>
      </c>
      <c r="C3060" s="1" t="n">
        <v>45182</v>
      </c>
      <c r="D3060" t="inlineStr">
        <is>
          <t>SÖDERMANLANDS LÄN</t>
        </is>
      </c>
      <c r="E3060" t="inlineStr">
        <is>
          <t>ESKILSTUNA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72304-2021</t>
        </is>
      </c>
      <c r="B3061" s="1" t="n">
        <v>44544</v>
      </c>
      <c r="C3061" s="1" t="n">
        <v>45182</v>
      </c>
      <c r="D3061" t="inlineStr">
        <is>
          <t>SÖDERMANLANDS LÄN</t>
        </is>
      </c>
      <c r="E3061" t="inlineStr">
        <is>
          <t>NYKÖPING</t>
        </is>
      </c>
      <c r="G3061" t="n">
        <v>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71976-2021</t>
        </is>
      </c>
      <c r="B3062" s="1" t="n">
        <v>44544</v>
      </c>
      <c r="C3062" s="1" t="n">
        <v>45182</v>
      </c>
      <c r="D3062" t="inlineStr">
        <is>
          <t>SÖDERMANLANDS LÄN</t>
        </is>
      </c>
      <c r="E3062" t="inlineStr">
        <is>
          <t>ESKILSTUNA</t>
        </is>
      </c>
      <c r="G3062" t="n">
        <v>19.6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72554-2021</t>
        </is>
      </c>
      <c r="B3063" s="1" t="n">
        <v>44545</v>
      </c>
      <c r="C3063" s="1" t="n">
        <v>45182</v>
      </c>
      <c r="D3063" t="inlineStr">
        <is>
          <t>SÖDERMANLANDS LÄN</t>
        </is>
      </c>
      <c r="E3063" t="inlineStr">
        <is>
          <t>NYKÖPING</t>
        </is>
      </c>
      <c r="G3063" t="n">
        <v>1.9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72679-2021</t>
        </is>
      </c>
      <c r="B3064" s="1" t="n">
        <v>44546</v>
      </c>
      <c r="C3064" s="1" t="n">
        <v>45182</v>
      </c>
      <c r="D3064" t="inlineStr">
        <is>
          <t>SÖDERMANLANDS LÄN</t>
        </is>
      </c>
      <c r="E3064" t="inlineStr">
        <is>
          <t>NYKÖPING</t>
        </is>
      </c>
      <c r="G3064" t="n">
        <v>2.1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73063-2021</t>
        </is>
      </c>
      <c r="B3065" s="1" t="n">
        <v>44546</v>
      </c>
      <c r="C3065" s="1" t="n">
        <v>45182</v>
      </c>
      <c r="D3065" t="inlineStr">
        <is>
          <t>SÖDERMANLANDS LÄN</t>
        </is>
      </c>
      <c r="E3065" t="inlineStr">
        <is>
          <t>GNESTA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72529-2021</t>
        </is>
      </c>
      <c r="B3066" s="1" t="n">
        <v>44546</v>
      </c>
      <c r="C3066" s="1" t="n">
        <v>45182</v>
      </c>
      <c r="D3066" t="inlineStr">
        <is>
          <t>SÖDERMANLANDS LÄN</t>
        </is>
      </c>
      <c r="E3066" t="inlineStr">
        <is>
          <t>GNESTA</t>
        </is>
      </c>
      <c r="G3066" t="n">
        <v>0.4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72666-2021</t>
        </is>
      </c>
      <c r="B3067" s="1" t="n">
        <v>44546</v>
      </c>
      <c r="C3067" s="1" t="n">
        <v>45182</v>
      </c>
      <c r="D3067" t="inlineStr">
        <is>
          <t>SÖDERMANLANDS LÄN</t>
        </is>
      </c>
      <c r="E3067" t="inlineStr">
        <is>
          <t>NYKÖPING</t>
        </is>
      </c>
      <c r="F3067" t="inlineStr">
        <is>
          <t>Holmen skog AB</t>
        </is>
      </c>
      <c r="G3067" t="n">
        <v>0.6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72822-2021</t>
        </is>
      </c>
      <c r="B3068" s="1" t="n">
        <v>44546</v>
      </c>
      <c r="C3068" s="1" t="n">
        <v>45182</v>
      </c>
      <c r="D3068" t="inlineStr">
        <is>
          <t>SÖDERMANLANDS LÄN</t>
        </is>
      </c>
      <c r="E3068" t="inlineStr">
        <is>
          <t>KATRINEHOLM</t>
        </is>
      </c>
      <c r="G3068" t="n">
        <v>6.3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73049-2021</t>
        </is>
      </c>
      <c r="B3069" s="1" t="n">
        <v>44546</v>
      </c>
      <c r="C3069" s="1" t="n">
        <v>45182</v>
      </c>
      <c r="D3069" t="inlineStr">
        <is>
          <t>SÖDERMANLANDS LÄN</t>
        </is>
      </c>
      <c r="E3069" t="inlineStr">
        <is>
          <t>GNESTA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73480-2021</t>
        </is>
      </c>
      <c r="B3070" s="1" t="n">
        <v>44550</v>
      </c>
      <c r="C3070" s="1" t="n">
        <v>45182</v>
      </c>
      <c r="D3070" t="inlineStr">
        <is>
          <t>SÖDERMANLANDS LÄN</t>
        </is>
      </c>
      <c r="E3070" t="inlineStr">
        <is>
          <t>ESKILSTUNA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73142-2021</t>
        </is>
      </c>
      <c r="B3071" s="1" t="n">
        <v>44550</v>
      </c>
      <c r="C3071" s="1" t="n">
        <v>45182</v>
      </c>
      <c r="D3071" t="inlineStr">
        <is>
          <t>SÖDERMANLANDS LÄN</t>
        </is>
      </c>
      <c r="E3071" t="inlineStr">
        <is>
          <t>KATRINEHOLM</t>
        </is>
      </c>
      <c r="F3071" t="inlineStr">
        <is>
          <t>Kyrkan</t>
        </is>
      </c>
      <c r="G3071" t="n">
        <v>0.9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73361-2021</t>
        </is>
      </c>
      <c r="B3072" s="1" t="n">
        <v>44551</v>
      </c>
      <c r="C3072" s="1" t="n">
        <v>45182</v>
      </c>
      <c r="D3072" t="inlineStr">
        <is>
          <t>SÖDERMANLANDS LÄN</t>
        </is>
      </c>
      <c r="E3072" t="inlineStr">
        <is>
          <t>KATRINEHOLM</t>
        </is>
      </c>
      <c r="G3072" t="n">
        <v>1.9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73412-2021</t>
        </is>
      </c>
      <c r="B3073" s="1" t="n">
        <v>44551</v>
      </c>
      <c r="C3073" s="1" t="n">
        <v>45182</v>
      </c>
      <c r="D3073" t="inlineStr">
        <is>
          <t>SÖDERMANLANDS LÄN</t>
        </is>
      </c>
      <c r="E3073" t="inlineStr">
        <is>
          <t>KATRINEHOLM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73415-2021</t>
        </is>
      </c>
      <c r="B3074" s="1" t="n">
        <v>44551</v>
      </c>
      <c r="C3074" s="1" t="n">
        <v>45182</v>
      </c>
      <c r="D3074" t="inlineStr">
        <is>
          <t>SÖDERMANLANDS LÄN</t>
        </is>
      </c>
      <c r="E3074" t="inlineStr">
        <is>
          <t>KATRINEHOLM</t>
        </is>
      </c>
      <c r="G3074" t="n">
        <v>3.2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73482-2021</t>
        </is>
      </c>
      <c r="B3075" s="1" t="n">
        <v>44551</v>
      </c>
      <c r="C3075" s="1" t="n">
        <v>45182</v>
      </c>
      <c r="D3075" t="inlineStr">
        <is>
          <t>SÖDERMANLANDS LÄN</t>
        </is>
      </c>
      <c r="E3075" t="inlineStr">
        <is>
          <t>GNESTA</t>
        </is>
      </c>
      <c r="G3075" t="n">
        <v>1.9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73493-2021</t>
        </is>
      </c>
      <c r="B3076" s="1" t="n">
        <v>44551</v>
      </c>
      <c r="C3076" s="1" t="n">
        <v>45182</v>
      </c>
      <c r="D3076" t="inlineStr">
        <is>
          <t>SÖDERMANLANDS LÄN</t>
        </is>
      </c>
      <c r="E3076" t="inlineStr">
        <is>
          <t>GNESTA</t>
        </is>
      </c>
      <c r="G3076" t="n">
        <v>2.6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73407-2021</t>
        </is>
      </c>
      <c r="B3077" s="1" t="n">
        <v>44551</v>
      </c>
      <c r="C3077" s="1" t="n">
        <v>45182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73409-2021</t>
        </is>
      </c>
      <c r="B3078" s="1" t="n">
        <v>44551</v>
      </c>
      <c r="C3078" s="1" t="n">
        <v>45182</v>
      </c>
      <c r="D3078" t="inlineStr">
        <is>
          <t>SÖDERMANLANDS LÄN</t>
        </is>
      </c>
      <c r="E3078" t="inlineStr">
        <is>
          <t>KATRINEHOLM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73877-2021</t>
        </is>
      </c>
      <c r="B3079" s="1" t="n">
        <v>44553</v>
      </c>
      <c r="C3079" s="1" t="n">
        <v>45182</v>
      </c>
      <c r="D3079" t="inlineStr">
        <is>
          <t>SÖDERMANLANDS LÄN</t>
        </is>
      </c>
      <c r="E3079" t="inlineStr">
        <is>
          <t>NYKÖPING</t>
        </is>
      </c>
      <c r="F3079" t="inlineStr">
        <is>
          <t>Holmen skog AB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73929-2021</t>
        </is>
      </c>
      <c r="B3080" s="1" t="n">
        <v>44553</v>
      </c>
      <c r="C3080" s="1" t="n">
        <v>45182</v>
      </c>
      <c r="D3080" t="inlineStr">
        <is>
          <t>SÖDERMANLANDS LÄN</t>
        </is>
      </c>
      <c r="E3080" t="inlineStr">
        <is>
          <t>KATRINEHOLM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73962-2021</t>
        </is>
      </c>
      <c r="B3081" s="1" t="n">
        <v>44553</v>
      </c>
      <c r="C3081" s="1" t="n">
        <v>45182</v>
      </c>
      <c r="D3081" t="inlineStr">
        <is>
          <t>SÖDERMANLANDS LÄN</t>
        </is>
      </c>
      <c r="E3081" t="inlineStr">
        <is>
          <t>NYKÖPING</t>
        </is>
      </c>
      <c r="G3081" t="n">
        <v>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73987-2021</t>
        </is>
      </c>
      <c r="B3082" s="1" t="n">
        <v>44556</v>
      </c>
      <c r="C3082" s="1" t="n">
        <v>45182</v>
      </c>
      <c r="D3082" t="inlineStr">
        <is>
          <t>SÖDERMANLANDS LÄN</t>
        </is>
      </c>
      <c r="E3082" t="inlineStr">
        <is>
          <t>KATRINEHOLM</t>
        </is>
      </c>
      <c r="G3082" t="n">
        <v>10.2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74404-2021</t>
        </is>
      </c>
      <c r="B3083" s="1" t="n">
        <v>44560</v>
      </c>
      <c r="C3083" s="1" t="n">
        <v>45182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74496-2021</t>
        </is>
      </c>
      <c r="B3084" s="1" t="n">
        <v>44560</v>
      </c>
      <c r="C3084" s="1" t="n">
        <v>45182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Kyrkan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398-2022</t>
        </is>
      </c>
      <c r="B3085" s="1" t="n">
        <v>44565</v>
      </c>
      <c r="C3085" s="1" t="n">
        <v>45182</v>
      </c>
      <c r="D3085" t="inlineStr">
        <is>
          <t>SÖDERMANLANDS LÄN</t>
        </is>
      </c>
      <c r="E3085" t="inlineStr">
        <is>
          <t>KATRINEHOLM</t>
        </is>
      </c>
      <c r="G3085" t="n">
        <v>6.2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272-2022</t>
        </is>
      </c>
      <c r="B3086" s="1" t="n">
        <v>44565</v>
      </c>
      <c r="C3086" s="1" t="n">
        <v>45182</v>
      </c>
      <c r="D3086" t="inlineStr">
        <is>
          <t>SÖDERMANLANDS LÄN</t>
        </is>
      </c>
      <c r="E3086" t="inlineStr">
        <is>
          <t>KATRINEHOLM</t>
        </is>
      </c>
      <c r="G3086" t="n">
        <v>5.7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356-2022</t>
        </is>
      </c>
      <c r="B3087" s="1" t="n">
        <v>44565</v>
      </c>
      <c r="C3087" s="1" t="n">
        <v>45182</v>
      </c>
      <c r="D3087" t="inlineStr">
        <is>
          <t>SÖDERMANLANDS LÄN</t>
        </is>
      </c>
      <c r="E3087" t="inlineStr">
        <is>
          <t>VINGÅKER</t>
        </is>
      </c>
      <c r="G3087" t="n">
        <v>13.4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326-2022</t>
        </is>
      </c>
      <c r="B3088" s="1" t="n">
        <v>44565</v>
      </c>
      <c r="C3088" s="1" t="n">
        <v>45182</v>
      </c>
      <c r="D3088" t="inlineStr">
        <is>
          <t>SÖDERMANLANDS LÄN</t>
        </is>
      </c>
      <c r="E3088" t="inlineStr">
        <is>
          <t>VINGÅKER</t>
        </is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476-2022</t>
        </is>
      </c>
      <c r="B3089" s="1" t="n">
        <v>44566</v>
      </c>
      <c r="C3089" s="1" t="n">
        <v>45182</v>
      </c>
      <c r="D3089" t="inlineStr">
        <is>
          <t>SÖDERMANLANDS LÄN</t>
        </is>
      </c>
      <c r="E3089" t="inlineStr">
        <is>
          <t>FLEN</t>
        </is>
      </c>
      <c r="G3089" t="n">
        <v>1.4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569-2022</t>
        </is>
      </c>
      <c r="B3090" s="1" t="n">
        <v>44566</v>
      </c>
      <c r="C3090" s="1" t="n">
        <v>45182</v>
      </c>
      <c r="D3090" t="inlineStr">
        <is>
          <t>SÖDERMANLANDS LÄN</t>
        </is>
      </c>
      <c r="E3090" t="inlineStr">
        <is>
          <t>STRÄNGNÄS</t>
        </is>
      </c>
      <c r="F3090" t="inlineStr">
        <is>
          <t>Allmännings- och besparingsskogar</t>
        </is>
      </c>
      <c r="G3090" t="n">
        <v>8.5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550-2022</t>
        </is>
      </c>
      <c r="B3091" s="1" t="n">
        <v>44566</v>
      </c>
      <c r="C3091" s="1" t="n">
        <v>45182</v>
      </c>
      <c r="D3091" t="inlineStr">
        <is>
          <t>SÖDERMANLANDS LÄN</t>
        </is>
      </c>
      <c r="E3091" t="inlineStr">
        <is>
          <t>FLEN</t>
        </is>
      </c>
      <c r="F3091" t="inlineStr">
        <is>
          <t>Kyrkan</t>
        </is>
      </c>
      <c r="G3091" t="n">
        <v>0.3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895-2022</t>
        </is>
      </c>
      <c r="B3092" s="1" t="n">
        <v>44571</v>
      </c>
      <c r="C3092" s="1" t="n">
        <v>45182</v>
      </c>
      <c r="D3092" t="inlineStr">
        <is>
          <t>SÖDERMANLANDS LÄN</t>
        </is>
      </c>
      <c r="E3092" t="inlineStr">
        <is>
          <t>VINGÅKER</t>
        </is>
      </c>
      <c r="G3092" t="n">
        <v>2.9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1117-2022</t>
        </is>
      </c>
      <c r="B3093" s="1" t="n">
        <v>44571</v>
      </c>
      <c r="C3093" s="1" t="n">
        <v>45182</v>
      </c>
      <c r="D3093" t="inlineStr">
        <is>
          <t>SÖDERMANLANDS LÄN</t>
        </is>
      </c>
      <c r="E3093" t="inlineStr">
        <is>
          <t>STRÄNGNÄS</t>
        </is>
      </c>
      <c r="G3093" t="n">
        <v>2.5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912-2022</t>
        </is>
      </c>
      <c r="B3094" s="1" t="n">
        <v>44571</v>
      </c>
      <c r="C3094" s="1" t="n">
        <v>45182</v>
      </c>
      <c r="D3094" t="inlineStr">
        <is>
          <t>SÖDERMANLANDS LÄN</t>
        </is>
      </c>
      <c r="E3094" t="inlineStr">
        <is>
          <t>KATRINEHOLM</t>
        </is>
      </c>
      <c r="G3094" t="n">
        <v>0.5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985-2022</t>
        </is>
      </c>
      <c r="B3095" s="1" t="n">
        <v>44571</v>
      </c>
      <c r="C3095" s="1" t="n">
        <v>45182</v>
      </c>
      <c r="D3095" t="inlineStr">
        <is>
          <t>SÖDERMANLANDS LÄN</t>
        </is>
      </c>
      <c r="E3095" t="inlineStr">
        <is>
          <t>FLEN</t>
        </is>
      </c>
      <c r="G3095" t="n">
        <v>4.2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954-2022</t>
        </is>
      </c>
      <c r="B3096" s="1" t="n">
        <v>44571</v>
      </c>
      <c r="C3096" s="1" t="n">
        <v>45182</v>
      </c>
      <c r="D3096" t="inlineStr">
        <is>
          <t>SÖDERMANLANDS LÄN</t>
        </is>
      </c>
      <c r="E3096" t="inlineStr">
        <is>
          <t>GNESTA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1242-2022</t>
        </is>
      </c>
      <c r="B3097" s="1" t="n">
        <v>44572</v>
      </c>
      <c r="C3097" s="1" t="n">
        <v>45182</v>
      </c>
      <c r="D3097" t="inlineStr">
        <is>
          <t>SÖDERMANLANDS LÄN</t>
        </is>
      </c>
      <c r="E3097" t="inlineStr">
        <is>
          <t>FLEN</t>
        </is>
      </c>
      <c r="F3097" t="inlineStr">
        <is>
          <t>Övriga statliga verk och myndigheter</t>
        </is>
      </c>
      <c r="G3097" t="n">
        <v>9.300000000000001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1670-2022</t>
        </is>
      </c>
      <c r="B3098" s="1" t="n">
        <v>44573</v>
      </c>
      <c r="C3098" s="1" t="n">
        <v>45182</v>
      </c>
      <c r="D3098" t="inlineStr">
        <is>
          <t>SÖDERMANLANDS LÄN</t>
        </is>
      </c>
      <c r="E3098" t="inlineStr">
        <is>
          <t>VINGÅKER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1565-2022</t>
        </is>
      </c>
      <c r="B3099" s="1" t="n">
        <v>44573</v>
      </c>
      <c r="C3099" s="1" t="n">
        <v>45182</v>
      </c>
      <c r="D3099" t="inlineStr">
        <is>
          <t>SÖDERMANLANDS LÄN</t>
        </is>
      </c>
      <c r="E3099" t="inlineStr">
        <is>
          <t>ESKILSTUNA</t>
        </is>
      </c>
      <c r="G3099" t="n">
        <v>5.8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1668-2022</t>
        </is>
      </c>
      <c r="B3100" s="1" t="n">
        <v>44573</v>
      </c>
      <c r="C3100" s="1" t="n">
        <v>45182</v>
      </c>
      <c r="D3100" t="inlineStr">
        <is>
          <t>SÖDERMANLANDS LÄN</t>
        </is>
      </c>
      <c r="E3100" t="inlineStr">
        <is>
          <t>VINGÅKER</t>
        </is>
      </c>
      <c r="G3100" t="n">
        <v>1.8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1467-2022</t>
        </is>
      </c>
      <c r="B3101" s="1" t="n">
        <v>44573</v>
      </c>
      <c r="C3101" s="1" t="n">
        <v>45182</v>
      </c>
      <c r="D3101" t="inlineStr">
        <is>
          <t>SÖDERMANLANDS LÄN</t>
        </is>
      </c>
      <c r="E3101" t="inlineStr">
        <is>
          <t>NYKÖPING</t>
        </is>
      </c>
      <c r="G3101" t="n">
        <v>2.9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1549-2022</t>
        </is>
      </c>
      <c r="B3102" s="1" t="n">
        <v>44573</v>
      </c>
      <c r="C3102" s="1" t="n">
        <v>45182</v>
      </c>
      <c r="D3102" t="inlineStr">
        <is>
          <t>SÖDERMANLANDS LÄN</t>
        </is>
      </c>
      <c r="E3102" t="inlineStr">
        <is>
          <t>GNESTA</t>
        </is>
      </c>
      <c r="G3102" t="n">
        <v>32.6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1647-2022</t>
        </is>
      </c>
      <c r="B3103" s="1" t="n">
        <v>44574</v>
      </c>
      <c r="C3103" s="1" t="n">
        <v>45182</v>
      </c>
      <c r="D3103" t="inlineStr">
        <is>
          <t>SÖDERMANLANDS LÄN</t>
        </is>
      </c>
      <c r="E3103" t="inlineStr">
        <is>
          <t>NYKÖPING</t>
        </is>
      </c>
      <c r="F3103" t="inlineStr">
        <is>
          <t>Sveaskog</t>
        </is>
      </c>
      <c r="G3103" t="n">
        <v>10.6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1701-2022</t>
        </is>
      </c>
      <c r="B3104" s="1" t="n">
        <v>44574</v>
      </c>
      <c r="C3104" s="1" t="n">
        <v>45182</v>
      </c>
      <c r="D3104" t="inlineStr">
        <is>
          <t>SÖDERMANLANDS LÄN</t>
        </is>
      </c>
      <c r="E3104" t="inlineStr">
        <is>
          <t>KATRINEHOLM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1819-2022</t>
        </is>
      </c>
      <c r="B3105" s="1" t="n">
        <v>44574</v>
      </c>
      <c r="C3105" s="1" t="n">
        <v>45182</v>
      </c>
      <c r="D3105" t="inlineStr">
        <is>
          <t>SÖDERMANLANDS LÄN</t>
        </is>
      </c>
      <c r="E3105" t="inlineStr">
        <is>
          <t>STRÄNGNÄS</t>
        </is>
      </c>
      <c r="F3105" t="inlineStr">
        <is>
          <t>Sveaskog</t>
        </is>
      </c>
      <c r="G3105" t="n">
        <v>4.5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2041-2022</t>
        </is>
      </c>
      <c r="B3106" s="1" t="n">
        <v>44575</v>
      </c>
      <c r="C3106" s="1" t="n">
        <v>45182</v>
      </c>
      <c r="D3106" t="inlineStr">
        <is>
          <t>SÖDERMANLANDS LÄN</t>
        </is>
      </c>
      <c r="E3106" t="inlineStr">
        <is>
          <t>NYKÖPING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1912-2022</t>
        </is>
      </c>
      <c r="B3107" s="1" t="n">
        <v>44575</v>
      </c>
      <c r="C3107" s="1" t="n">
        <v>45182</v>
      </c>
      <c r="D3107" t="inlineStr">
        <is>
          <t>SÖDERMANLANDS LÄN</t>
        </is>
      </c>
      <c r="E3107" t="inlineStr">
        <is>
          <t>NYKÖPING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1930-2022</t>
        </is>
      </c>
      <c r="B3108" s="1" t="n">
        <v>44575</v>
      </c>
      <c r="C3108" s="1" t="n">
        <v>45182</v>
      </c>
      <c r="D3108" t="inlineStr">
        <is>
          <t>SÖDERMANLANDS LÄN</t>
        </is>
      </c>
      <c r="E3108" t="inlineStr">
        <is>
          <t>NYKÖPING</t>
        </is>
      </c>
      <c r="G3108" t="n">
        <v>4.5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2162-2022</t>
        </is>
      </c>
      <c r="B3109" s="1" t="n">
        <v>44578</v>
      </c>
      <c r="C3109" s="1" t="n">
        <v>45182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6.1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2204-2022</t>
        </is>
      </c>
      <c r="B3110" s="1" t="n">
        <v>44578</v>
      </c>
      <c r="C3110" s="1" t="n">
        <v>45182</v>
      </c>
      <c r="D3110" t="inlineStr">
        <is>
          <t>SÖDERMANLANDS LÄN</t>
        </is>
      </c>
      <c r="E3110" t="inlineStr">
        <is>
          <t>FLEN</t>
        </is>
      </c>
      <c r="F3110" t="inlineStr">
        <is>
          <t>Övriga statliga verk och myndigheter</t>
        </is>
      </c>
      <c r="G3110" t="n">
        <v>0.7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2225-2022</t>
        </is>
      </c>
      <c r="B3111" s="1" t="n">
        <v>44578</v>
      </c>
      <c r="C3111" s="1" t="n">
        <v>45182</v>
      </c>
      <c r="D3111" t="inlineStr">
        <is>
          <t>SÖDERMANLANDS LÄN</t>
        </is>
      </c>
      <c r="E3111" t="inlineStr">
        <is>
          <t>NYKÖPING</t>
        </is>
      </c>
      <c r="G3111" t="n">
        <v>3.6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2255-2022</t>
        </is>
      </c>
      <c r="B3112" s="1" t="n">
        <v>44578</v>
      </c>
      <c r="C3112" s="1" t="n">
        <v>45182</v>
      </c>
      <c r="D3112" t="inlineStr">
        <is>
          <t>SÖDERMANLANDS LÄN</t>
        </is>
      </c>
      <c r="E3112" t="inlineStr">
        <is>
          <t>NYKÖPING</t>
        </is>
      </c>
      <c r="G3112" t="n">
        <v>2.1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2256-2022</t>
        </is>
      </c>
      <c r="B3113" s="1" t="n">
        <v>44578</v>
      </c>
      <c r="C3113" s="1" t="n">
        <v>45182</v>
      </c>
      <c r="D3113" t="inlineStr">
        <is>
          <t>SÖDERMANLANDS LÄN</t>
        </is>
      </c>
      <c r="E3113" t="inlineStr">
        <is>
          <t>NYKÖPING</t>
        </is>
      </c>
      <c r="G3113" t="n">
        <v>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2276-2022</t>
        </is>
      </c>
      <c r="B3114" s="1" t="n">
        <v>44578</v>
      </c>
      <c r="C3114" s="1" t="n">
        <v>45182</v>
      </c>
      <c r="D3114" t="inlineStr">
        <is>
          <t>SÖDERMANLANDS LÄN</t>
        </is>
      </c>
      <c r="E3114" t="inlineStr">
        <is>
          <t>GNESTA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2445-2022</t>
        </is>
      </c>
      <c r="B3115" s="1" t="n">
        <v>44579</v>
      </c>
      <c r="C3115" s="1" t="n">
        <v>45182</v>
      </c>
      <c r="D3115" t="inlineStr">
        <is>
          <t>SÖDERMANLANDS LÄN</t>
        </is>
      </c>
      <c r="E3115" t="inlineStr">
        <is>
          <t>NYKÖPING</t>
        </is>
      </c>
      <c r="G3115" t="n">
        <v>6.7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2496-2022</t>
        </is>
      </c>
      <c r="B3116" s="1" t="n">
        <v>44579</v>
      </c>
      <c r="C3116" s="1" t="n">
        <v>45182</v>
      </c>
      <c r="D3116" t="inlineStr">
        <is>
          <t>SÖDERMANLANDS LÄN</t>
        </is>
      </c>
      <c r="E3116" t="inlineStr">
        <is>
          <t>FLEN</t>
        </is>
      </c>
      <c r="G3116" t="n">
        <v>1.8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2507-2022</t>
        </is>
      </c>
      <c r="B3117" s="1" t="n">
        <v>44579</v>
      </c>
      <c r="C3117" s="1" t="n">
        <v>45182</v>
      </c>
      <c r="D3117" t="inlineStr">
        <is>
          <t>SÖDERMANLANDS LÄN</t>
        </is>
      </c>
      <c r="E3117" t="inlineStr">
        <is>
          <t>NYKÖPING</t>
        </is>
      </c>
      <c r="G3117" t="n">
        <v>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2517-2022</t>
        </is>
      </c>
      <c r="B3118" s="1" t="n">
        <v>44579</v>
      </c>
      <c r="C3118" s="1" t="n">
        <v>45182</v>
      </c>
      <c r="D3118" t="inlineStr">
        <is>
          <t>SÖDERMANLANDS LÄN</t>
        </is>
      </c>
      <c r="E3118" t="inlineStr">
        <is>
          <t>NYKÖPING</t>
        </is>
      </c>
      <c r="G3118" t="n">
        <v>1.5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2429-2022</t>
        </is>
      </c>
      <c r="B3119" s="1" t="n">
        <v>44579</v>
      </c>
      <c r="C3119" s="1" t="n">
        <v>45182</v>
      </c>
      <c r="D3119" t="inlineStr">
        <is>
          <t>SÖDERMANLANDS LÄN</t>
        </is>
      </c>
      <c r="E3119" t="inlineStr">
        <is>
          <t>NYKÖPING</t>
        </is>
      </c>
      <c r="G3119" t="n">
        <v>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2468-2022</t>
        </is>
      </c>
      <c r="B3120" s="1" t="n">
        <v>44579</v>
      </c>
      <c r="C3120" s="1" t="n">
        <v>45182</v>
      </c>
      <c r="D3120" t="inlineStr">
        <is>
          <t>SÖDERMANLANDS LÄN</t>
        </is>
      </c>
      <c r="E3120" t="inlineStr">
        <is>
          <t>STRÄNGNÄS</t>
        </is>
      </c>
      <c r="F3120" t="inlineStr">
        <is>
          <t>Övriga Aktiebolag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2428-2022</t>
        </is>
      </c>
      <c r="B3121" s="1" t="n">
        <v>44579</v>
      </c>
      <c r="C3121" s="1" t="n">
        <v>45182</v>
      </c>
      <c r="D3121" t="inlineStr">
        <is>
          <t>SÖDERMANLANDS LÄN</t>
        </is>
      </c>
      <c r="E3121" t="inlineStr">
        <is>
          <t>NYKÖPING</t>
        </is>
      </c>
      <c r="G3121" t="n">
        <v>10.8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2464-2022</t>
        </is>
      </c>
      <c r="B3122" s="1" t="n">
        <v>44579</v>
      </c>
      <c r="C3122" s="1" t="n">
        <v>45182</v>
      </c>
      <c r="D3122" t="inlineStr">
        <is>
          <t>SÖDERMANLANDS LÄN</t>
        </is>
      </c>
      <c r="E3122" t="inlineStr">
        <is>
          <t>GNESTA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2476-2022</t>
        </is>
      </c>
      <c r="B3123" s="1" t="n">
        <v>44579</v>
      </c>
      <c r="C3123" s="1" t="n">
        <v>45182</v>
      </c>
      <c r="D3123" t="inlineStr">
        <is>
          <t>SÖDERMANLANDS LÄN</t>
        </is>
      </c>
      <c r="E3123" t="inlineStr">
        <is>
          <t>GNESTA</t>
        </is>
      </c>
      <c r="G3123" t="n">
        <v>4.3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2497-2022</t>
        </is>
      </c>
      <c r="B3124" s="1" t="n">
        <v>44579</v>
      </c>
      <c r="C3124" s="1" t="n">
        <v>45182</v>
      </c>
      <c r="D3124" t="inlineStr">
        <is>
          <t>SÖDERMANLANDS LÄN</t>
        </is>
      </c>
      <c r="E3124" t="inlineStr">
        <is>
          <t>STRÄNGNÄS</t>
        </is>
      </c>
      <c r="F3124" t="inlineStr">
        <is>
          <t>Allmännings- och besparingsskogar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2510-2022</t>
        </is>
      </c>
      <c r="B3125" s="1" t="n">
        <v>44579</v>
      </c>
      <c r="C3125" s="1" t="n">
        <v>45182</v>
      </c>
      <c r="D3125" t="inlineStr">
        <is>
          <t>SÖDERMANLANDS LÄN</t>
        </is>
      </c>
      <c r="E3125" t="inlineStr">
        <is>
          <t>NYKÖPING</t>
        </is>
      </c>
      <c r="G3125" t="n">
        <v>1.2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2493-2022</t>
        </is>
      </c>
      <c r="B3126" s="1" t="n">
        <v>44579</v>
      </c>
      <c r="C3126" s="1" t="n">
        <v>45182</v>
      </c>
      <c r="D3126" t="inlineStr">
        <is>
          <t>SÖDERMANLANDS LÄN</t>
        </is>
      </c>
      <c r="E3126" t="inlineStr">
        <is>
          <t>STRÄNGNÄS</t>
        </is>
      </c>
      <c r="G3126" t="n">
        <v>36.4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2506-2022</t>
        </is>
      </c>
      <c r="B3127" s="1" t="n">
        <v>44579</v>
      </c>
      <c r="C3127" s="1" t="n">
        <v>45182</v>
      </c>
      <c r="D3127" t="inlineStr">
        <is>
          <t>SÖDERMANLANDS LÄN</t>
        </is>
      </c>
      <c r="E3127" t="inlineStr">
        <is>
          <t>NYKÖPING</t>
        </is>
      </c>
      <c r="G3127" t="n">
        <v>2.1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2513-2022</t>
        </is>
      </c>
      <c r="B3128" s="1" t="n">
        <v>44579</v>
      </c>
      <c r="C3128" s="1" t="n">
        <v>45182</v>
      </c>
      <c r="D3128" t="inlineStr">
        <is>
          <t>SÖDERMANLANDS LÄN</t>
        </is>
      </c>
      <c r="E3128" t="inlineStr">
        <is>
          <t>NYKÖPING</t>
        </is>
      </c>
      <c r="G3128" t="n">
        <v>0.7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2574-2022</t>
        </is>
      </c>
      <c r="B3129" s="1" t="n">
        <v>44579</v>
      </c>
      <c r="C3129" s="1" t="n">
        <v>45182</v>
      </c>
      <c r="D3129" t="inlineStr">
        <is>
          <t>SÖDERMANLANDS LÄN</t>
        </is>
      </c>
      <c r="E3129" t="inlineStr">
        <is>
          <t>STRÄNGNÄS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2734-2022</t>
        </is>
      </c>
      <c r="B3130" s="1" t="n">
        <v>44580</v>
      </c>
      <c r="C3130" s="1" t="n">
        <v>45182</v>
      </c>
      <c r="D3130" t="inlineStr">
        <is>
          <t>SÖDERMANLANDS LÄN</t>
        </is>
      </c>
      <c r="E3130" t="inlineStr">
        <is>
          <t>FLEN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2939-2022</t>
        </is>
      </c>
      <c r="B3131" s="1" t="n">
        <v>44581</v>
      </c>
      <c r="C3131" s="1" t="n">
        <v>45182</v>
      </c>
      <c r="D3131" t="inlineStr">
        <is>
          <t>SÖDERMANLANDS LÄN</t>
        </is>
      </c>
      <c r="E3131" t="inlineStr">
        <is>
          <t>NYKÖPING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2877-2022</t>
        </is>
      </c>
      <c r="B3132" s="1" t="n">
        <v>44581</v>
      </c>
      <c r="C3132" s="1" t="n">
        <v>45182</v>
      </c>
      <c r="D3132" t="inlineStr">
        <is>
          <t>SÖDERMANLANDS LÄN</t>
        </is>
      </c>
      <c r="E3132" t="inlineStr">
        <is>
          <t>KATRINEHOLM</t>
        </is>
      </c>
      <c r="G3132" t="n">
        <v>10.3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2973-2022</t>
        </is>
      </c>
      <c r="B3133" s="1" t="n">
        <v>44581</v>
      </c>
      <c r="C3133" s="1" t="n">
        <v>45182</v>
      </c>
      <c r="D3133" t="inlineStr">
        <is>
          <t>SÖDERMANLANDS LÄN</t>
        </is>
      </c>
      <c r="E3133" t="inlineStr">
        <is>
          <t>NYKÖPING</t>
        </is>
      </c>
      <c r="G3133" t="n">
        <v>5.5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2884-2022</t>
        </is>
      </c>
      <c r="B3134" s="1" t="n">
        <v>44581</v>
      </c>
      <c r="C3134" s="1" t="n">
        <v>45182</v>
      </c>
      <c r="D3134" t="inlineStr">
        <is>
          <t>SÖDERMANLANDS LÄN</t>
        </is>
      </c>
      <c r="E3134" t="inlineStr">
        <is>
          <t>KATRINEHOLM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2947-2022</t>
        </is>
      </c>
      <c r="B3135" s="1" t="n">
        <v>44581</v>
      </c>
      <c r="C3135" s="1" t="n">
        <v>45182</v>
      </c>
      <c r="D3135" t="inlineStr">
        <is>
          <t>SÖDERMANLANDS LÄN</t>
        </is>
      </c>
      <c r="E3135" t="inlineStr">
        <is>
          <t>NYKÖPING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2983-2022</t>
        </is>
      </c>
      <c r="B3136" s="1" t="n">
        <v>44581</v>
      </c>
      <c r="C3136" s="1" t="n">
        <v>45182</v>
      </c>
      <c r="D3136" t="inlineStr">
        <is>
          <t>SÖDERMANLANDS LÄN</t>
        </is>
      </c>
      <c r="E3136" t="inlineStr">
        <is>
          <t>GNESTA</t>
        </is>
      </c>
      <c r="G3136" t="n">
        <v>3.4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3037-2022</t>
        </is>
      </c>
      <c r="B3137" s="1" t="n">
        <v>44581</v>
      </c>
      <c r="C3137" s="1" t="n">
        <v>45182</v>
      </c>
      <c r="D3137" t="inlineStr">
        <is>
          <t>SÖDERMANLANDS LÄN</t>
        </is>
      </c>
      <c r="E3137" t="inlineStr">
        <is>
          <t>STRÄNGNÄS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3185-2022</t>
        </is>
      </c>
      <c r="B3138" s="1" t="n">
        <v>44582</v>
      </c>
      <c r="C3138" s="1" t="n">
        <v>45182</v>
      </c>
      <c r="D3138" t="inlineStr">
        <is>
          <t>SÖDERMANLANDS LÄN</t>
        </is>
      </c>
      <c r="E3138" t="inlineStr">
        <is>
          <t>STRÄNGNÄS</t>
        </is>
      </c>
      <c r="G3138" t="n">
        <v>6.1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3068-2022</t>
        </is>
      </c>
      <c r="B3139" s="1" t="n">
        <v>44582</v>
      </c>
      <c r="C3139" s="1" t="n">
        <v>45182</v>
      </c>
      <c r="D3139" t="inlineStr">
        <is>
          <t>SÖDERMANLANDS LÄN</t>
        </is>
      </c>
      <c r="E3139" t="inlineStr">
        <is>
          <t>VINGÅKER</t>
        </is>
      </c>
      <c r="F3139" t="inlineStr">
        <is>
          <t>Kommuner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3134-2022</t>
        </is>
      </c>
      <c r="B3140" s="1" t="n">
        <v>44582</v>
      </c>
      <c r="C3140" s="1" t="n">
        <v>45182</v>
      </c>
      <c r="D3140" t="inlineStr">
        <is>
          <t>SÖDERMANLANDS LÄN</t>
        </is>
      </c>
      <c r="E3140" t="inlineStr">
        <is>
          <t>TROSA</t>
        </is>
      </c>
      <c r="F3140" t="inlineStr">
        <is>
          <t>Övriga Aktiebolag</t>
        </is>
      </c>
      <c r="G3140" t="n">
        <v>4.1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3075-2022</t>
        </is>
      </c>
      <c r="B3141" s="1" t="n">
        <v>44582</v>
      </c>
      <c r="C3141" s="1" t="n">
        <v>45182</v>
      </c>
      <c r="D3141" t="inlineStr">
        <is>
          <t>SÖDERMANLANDS LÄN</t>
        </is>
      </c>
      <c r="E3141" t="inlineStr">
        <is>
          <t>KATRINEHOLM</t>
        </is>
      </c>
      <c r="G3141" t="n">
        <v>3.5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3139-2022</t>
        </is>
      </c>
      <c r="B3142" s="1" t="n">
        <v>44582</v>
      </c>
      <c r="C3142" s="1" t="n">
        <v>45182</v>
      </c>
      <c r="D3142" t="inlineStr">
        <is>
          <t>SÖDERMANLANDS LÄN</t>
        </is>
      </c>
      <c r="E3142" t="inlineStr">
        <is>
          <t>TROSA</t>
        </is>
      </c>
      <c r="F3142" t="inlineStr">
        <is>
          <t>Övriga Aktiebolag</t>
        </is>
      </c>
      <c r="G3142" t="n">
        <v>5.2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3341-2022</t>
        </is>
      </c>
      <c r="B3143" s="1" t="n">
        <v>44582</v>
      </c>
      <c r="C3143" s="1" t="n">
        <v>45182</v>
      </c>
      <c r="D3143" t="inlineStr">
        <is>
          <t>SÖDERMANLANDS LÄN</t>
        </is>
      </c>
      <c r="E3143" t="inlineStr">
        <is>
          <t>ESKILSTUNA</t>
        </is>
      </c>
      <c r="G3143" t="n">
        <v>2.8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3280-2022</t>
        </is>
      </c>
      <c r="B3144" s="1" t="n">
        <v>44584</v>
      </c>
      <c r="C3144" s="1" t="n">
        <v>45182</v>
      </c>
      <c r="D3144" t="inlineStr">
        <is>
          <t>SÖDERMANLANDS LÄN</t>
        </is>
      </c>
      <c r="E3144" t="inlineStr">
        <is>
          <t>GNESTA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3521-2022</t>
        </is>
      </c>
      <c r="B3145" s="1" t="n">
        <v>44585</v>
      </c>
      <c r="C3145" s="1" t="n">
        <v>45182</v>
      </c>
      <c r="D3145" t="inlineStr">
        <is>
          <t>SÖDERMANLANDS LÄN</t>
        </is>
      </c>
      <c r="E3145" t="inlineStr">
        <is>
          <t>ESKILSTUNA</t>
        </is>
      </c>
      <c r="G3145" t="n">
        <v>0.4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3572-2022</t>
        </is>
      </c>
      <c r="B3146" s="1" t="n">
        <v>44585</v>
      </c>
      <c r="C3146" s="1" t="n">
        <v>45182</v>
      </c>
      <c r="D3146" t="inlineStr">
        <is>
          <t>SÖDERMANLANDS LÄN</t>
        </is>
      </c>
      <c r="E3146" t="inlineStr">
        <is>
          <t>KATRINEHOLM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3919-2022</t>
        </is>
      </c>
      <c r="B3147" s="1" t="n">
        <v>44587</v>
      </c>
      <c r="C3147" s="1" t="n">
        <v>45182</v>
      </c>
      <c r="D3147" t="inlineStr">
        <is>
          <t>SÖDERMANLANDS LÄN</t>
        </is>
      </c>
      <c r="E3147" t="inlineStr">
        <is>
          <t>GNESTA</t>
        </is>
      </c>
      <c r="G3147" t="n">
        <v>2.5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3863-2022</t>
        </is>
      </c>
      <c r="B3148" s="1" t="n">
        <v>44587</v>
      </c>
      <c r="C3148" s="1" t="n">
        <v>45182</v>
      </c>
      <c r="D3148" t="inlineStr">
        <is>
          <t>SÖDERMANLANDS LÄN</t>
        </is>
      </c>
      <c r="E3148" t="inlineStr">
        <is>
          <t>GNESTA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4003-2022</t>
        </is>
      </c>
      <c r="B3149" s="1" t="n">
        <v>44587</v>
      </c>
      <c r="C3149" s="1" t="n">
        <v>45182</v>
      </c>
      <c r="D3149" t="inlineStr">
        <is>
          <t>SÖDERMANLANDS LÄN</t>
        </is>
      </c>
      <c r="E3149" t="inlineStr">
        <is>
          <t>STRÄNGNÄS</t>
        </is>
      </c>
      <c r="G3149" t="n">
        <v>1.9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3939-2022</t>
        </is>
      </c>
      <c r="B3150" s="1" t="n">
        <v>44587</v>
      </c>
      <c r="C3150" s="1" t="n">
        <v>45182</v>
      </c>
      <c r="D3150" t="inlineStr">
        <is>
          <t>SÖDERMANLANDS LÄN</t>
        </is>
      </c>
      <c r="E3150" t="inlineStr">
        <is>
          <t>KATRINEHOLM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4220-2022</t>
        </is>
      </c>
      <c r="B3151" s="1" t="n">
        <v>44588</v>
      </c>
      <c r="C3151" s="1" t="n">
        <v>45182</v>
      </c>
      <c r="D3151" t="inlineStr">
        <is>
          <t>SÖDERMANLANDS LÄN</t>
        </is>
      </c>
      <c r="E3151" t="inlineStr">
        <is>
          <t>ESKILSTUNA</t>
        </is>
      </c>
      <c r="G3151" t="n">
        <v>1.4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4211-2022</t>
        </is>
      </c>
      <c r="B3152" s="1" t="n">
        <v>44588</v>
      </c>
      <c r="C3152" s="1" t="n">
        <v>45182</v>
      </c>
      <c r="D3152" t="inlineStr">
        <is>
          <t>SÖDERMANLANDS LÄN</t>
        </is>
      </c>
      <c r="E3152" t="inlineStr">
        <is>
          <t>ESKILSTUNA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4331-2022</t>
        </is>
      </c>
      <c r="B3153" s="1" t="n">
        <v>44588</v>
      </c>
      <c r="C3153" s="1" t="n">
        <v>45182</v>
      </c>
      <c r="D3153" t="inlineStr">
        <is>
          <t>SÖDERMANLANDS LÄN</t>
        </is>
      </c>
      <c r="E3153" t="inlineStr">
        <is>
          <t>ESKILSTUNA</t>
        </is>
      </c>
      <c r="F3153" t="inlineStr">
        <is>
          <t>Allmännings- och besparingsskogar</t>
        </is>
      </c>
      <c r="G3153" t="n">
        <v>0.8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4065-2022</t>
        </is>
      </c>
      <c r="B3154" s="1" t="n">
        <v>44588</v>
      </c>
      <c r="C3154" s="1" t="n">
        <v>45182</v>
      </c>
      <c r="D3154" t="inlineStr">
        <is>
          <t>SÖDERMANLANDS LÄN</t>
        </is>
      </c>
      <c r="E3154" t="inlineStr">
        <is>
          <t>FLEN</t>
        </is>
      </c>
      <c r="G3154" t="n">
        <v>2.7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4202-2022</t>
        </is>
      </c>
      <c r="B3155" s="1" t="n">
        <v>44588</v>
      </c>
      <c r="C3155" s="1" t="n">
        <v>45182</v>
      </c>
      <c r="D3155" t="inlineStr">
        <is>
          <t>SÖDERMANLANDS LÄN</t>
        </is>
      </c>
      <c r="E3155" t="inlineStr">
        <is>
          <t>ESKILSTUNA</t>
        </is>
      </c>
      <c r="G3155" t="n">
        <v>4.6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4216-2022</t>
        </is>
      </c>
      <c r="B3156" s="1" t="n">
        <v>44588</v>
      </c>
      <c r="C3156" s="1" t="n">
        <v>45182</v>
      </c>
      <c r="D3156" t="inlineStr">
        <is>
          <t>SÖDERMANLANDS LÄN</t>
        </is>
      </c>
      <c r="E3156" t="inlineStr">
        <is>
          <t>FLEN</t>
        </is>
      </c>
      <c r="G3156" t="n">
        <v>3.2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4320-2022</t>
        </is>
      </c>
      <c r="B3157" s="1" t="n">
        <v>44588</v>
      </c>
      <c r="C3157" s="1" t="n">
        <v>45182</v>
      </c>
      <c r="D3157" t="inlineStr">
        <is>
          <t>SÖDERMANLANDS LÄN</t>
        </is>
      </c>
      <c r="E3157" t="inlineStr">
        <is>
          <t>ESKILSTUNA</t>
        </is>
      </c>
      <c r="F3157" t="inlineStr">
        <is>
          <t>Allmännings- och besparingsskogar</t>
        </is>
      </c>
      <c r="G3157" t="n">
        <v>12.2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4383-2022</t>
        </is>
      </c>
      <c r="B3158" s="1" t="n">
        <v>44589</v>
      </c>
      <c r="C3158" s="1" t="n">
        <v>45182</v>
      </c>
      <c r="D3158" t="inlineStr">
        <is>
          <t>SÖDERMANLANDS LÄN</t>
        </is>
      </c>
      <c r="E3158" t="inlineStr">
        <is>
          <t>GNESTA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4438-2022</t>
        </is>
      </c>
      <c r="B3159" s="1" t="n">
        <v>44589</v>
      </c>
      <c r="C3159" s="1" t="n">
        <v>45182</v>
      </c>
      <c r="D3159" t="inlineStr">
        <is>
          <t>SÖDERMANLANDS LÄN</t>
        </is>
      </c>
      <c r="E3159" t="inlineStr">
        <is>
          <t>GNESTA</t>
        </is>
      </c>
      <c r="G3159" t="n">
        <v>1.4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4474-2022</t>
        </is>
      </c>
      <c r="B3160" s="1" t="n">
        <v>44589</v>
      </c>
      <c r="C3160" s="1" t="n">
        <v>45182</v>
      </c>
      <c r="D3160" t="inlineStr">
        <is>
          <t>SÖDERMANLANDS LÄN</t>
        </is>
      </c>
      <c r="E3160" t="inlineStr">
        <is>
          <t>GNESTA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4429-2022</t>
        </is>
      </c>
      <c r="B3161" s="1" t="n">
        <v>44589</v>
      </c>
      <c r="C3161" s="1" t="n">
        <v>45182</v>
      </c>
      <c r="D3161" t="inlineStr">
        <is>
          <t>SÖDERMANLANDS LÄN</t>
        </is>
      </c>
      <c r="E3161" t="inlineStr">
        <is>
          <t>GNESTA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4391-2022</t>
        </is>
      </c>
      <c r="B3162" s="1" t="n">
        <v>44589</v>
      </c>
      <c r="C3162" s="1" t="n">
        <v>45182</v>
      </c>
      <c r="D3162" t="inlineStr">
        <is>
          <t>SÖDERMANLANDS LÄN</t>
        </is>
      </c>
      <c r="E3162" t="inlineStr">
        <is>
          <t>GNESTA</t>
        </is>
      </c>
      <c r="G3162" t="n">
        <v>2.7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4469-2022</t>
        </is>
      </c>
      <c r="B3163" s="1" t="n">
        <v>44589</v>
      </c>
      <c r="C3163" s="1" t="n">
        <v>45182</v>
      </c>
      <c r="D3163" t="inlineStr">
        <is>
          <t>SÖDERMANLANDS LÄN</t>
        </is>
      </c>
      <c r="E3163" t="inlineStr">
        <is>
          <t>GNESTA</t>
        </is>
      </c>
      <c r="G3163" t="n">
        <v>0.6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4621-2022</t>
        </is>
      </c>
      <c r="B3164" s="1" t="n">
        <v>44592</v>
      </c>
      <c r="C3164" s="1" t="n">
        <v>45182</v>
      </c>
      <c r="D3164" t="inlineStr">
        <is>
          <t>SÖDERMANLANDS LÄN</t>
        </is>
      </c>
      <c r="E3164" t="inlineStr">
        <is>
          <t>ESKILSTUNA</t>
        </is>
      </c>
      <c r="G3164" t="n">
        <v>5.1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4959-2022</t>
        </is>
      </c>
      <c r="B3165" s="1" t="n">
        <v>44593</v>
      </c>
      <c r="C3165" s="1" t="n">
        <v>45182</v>
      </c>
      <c r="D3165" t="inlineStr">
        <is>
          <t>SÖDERMANLANDS LÄN</t>
        </is>
      </c>
      <c r="E3165" t="inlineStr">
        <is>
          <t>VINGÅKER</t>
        </is>
      </c>
      <c r="G3165" t="n">
        <v>3.7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4903-2022</t>
        </is>
      </c>
      <c r="B3166" s="1" t="n">
        <v>44593</v>
      </c>
      <c r="C3166" s="1" t="n">
        <v>45182</v>
      </c>
      <c r="D3166" t="inlineStr">
        <is>
          <t>SÖDERMANLANDS LÄN</t>
        </is>
      </c>
      <c r="E3166" t="inlineStr">
        <is>
          <t>NYKÖPING</t>
        </is>
      </c>
      <c r="G3166" t="n">
        <v>2.7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4954-2022</t>
        </is>
      </c>
      <c r="B3167" s="1" t="n">
        <v>44593</v>
      </c>
      <c r="C3167" s="1" t="n">
        <v>45182</v>
      </c>
      <c r="D3167" t="inlineStr">
        <is>
          <t>SÖDERMANLANDS LÄN</t>
        </is>
      </c>
      <c r="E3167" t="inlineStr">
        <is>
          <t>ESKILSTUNA</t>
        </is>
      </c>
      <c r="G3167" t="n">
        <v>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5260-2022</t>
        </is>
      </c>
      <c r="B3168" s="1" t="n">
        <v>44594</v>
      </c>
      <c r="C3168" s="1" t="n">
        <v>45182</v>
      </c>
      <c r="D3168" t="inlineStr">
        <is>
          <t>SÖDERMANLANDS LÄN</t>
        </is>
      </c>
      <c r="E3168" t="inlineStr">
        <is>
          <t>FLEN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5270-2022</t>
        </is>
      </c>
      <c r="B3169" s="1" t="n">
        <v>44594</v>
      </c>
      <c r="C3169" s="1" t="n">
        <v>45182</v>
      </c>
      <c r="D3169" t="inlineStr">
        <is>
          <t>SÖDERMANLANDS LÄN</t>
        </is>
      </c>
      <c r="E3169" t="inlineStr">
        <is>
          <t>GNESTA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5349-2022</t>
        </is>
      </c>
      <c r="B3170" s="1" t="n">
        <v>44594</v>
      </c>
      <c r="C3170" s="1" t="n">
        <v>45182</v>
      </c>
      <c r="D3170" t="inlineStr">
        <is>
          <t>SÖDERMANLANDS LÄN</t>
        </is>
      </c>
      <c r="E3170" t="inlineStr">
        <is>
          <t>VINGÅKER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5348-2022</t>
        </is>
      </c>
      <c r="B3171" s="1" t="n">
        <v>44594</v>
      </c>
      <c r="C3171" s="1" t="n">
        <v>45182</v>
      </c>
      <c r="D3171" t="inlineStr">
        <is>
          <t>SÖDERMANLANDS LÄN</t>
        </is>
      </c>
      <c r="E3171" t="inlineStr">
        <is>
          <t>VINGÅKER</t>
        </is>
      </c>
      <c r="G3171" t="n">
        <v>3.5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5301-2022</t>
        </is>
      </c>
      <c r="B3172" s="1" t="n">
        <v>44594</v>
      </c>
      <c r="C3172" s="1" t="n">
        <v>45182</v>
      </c>
      <c r="D3172" t="inlineStr">
        <is>
          <t>SÖDERMANLANDS LÄN</t>
        </is>
      </c>
      <c r="E3172" t="inlineStr">
        <is>
          <t>GNESTA</t>
        </is>
      </c>
      <c r="G3172" t="n">
        <v>1.9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5337-2022</t>
        </is>
      </c>
      <c r="B3173" s="1" t="n">
        <v>44594</v>
      </c>
      <c r="C3173" s="1" t="n">
        <v>45182</v>
      </c>
      <c r="D3173" t="inlineStr">
        <is>
          <t>SÖDERMANLANDS LÄN</t>
        </is>
      </c>
      <c r="E3173" t="inlineStr">
        <is>
          <t>ESKILSTUNA</t>
        </is>
      </c>
      <c r="F3173" t="inlineStr">
        <is>
          <t>Allmännings- och besparingsskogar</t>
        </is>
      </c>
      <c r="G3173" t="n">
        <v>0.9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5397-2022</t>
        </is>
      </c>
      <c r="B3174" s="1" t="n">
        <v>44595</v>
      </c>
      <c r="C3174" s="1" t="n">
        <v>45182</v>
      </c>
      <c r="D3174" t="inlineStr">
        <is>
          <t>SÖDERMANLANDS LÄN</t>
        </is>
      </c>
      <c r="E3174" t="inlineStr">
        <is>
          <t>GNESTA</t>
        </is>
      </c>
      <c r="F3174" t="inlineStr">
        <is>
          <t>Kyrkan</t>
        </is>
      </c>
      <c r="G3174" t="n">
        <v>1.3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5547-2022</t>
        </is>
      </c>
      <c r="B3175" s="1" t="n">
        <v>44595</v>
      </c>
      <c r="C3175" s="1" t="n">
        <v>45182</v>
      </c>
      <c r="D3175" t="inlineStr">
        <is>
          <t>SÖDERMANLANDS LÄN</t>
        </is>
      </c>
      <c r="E3175" t="inlineStr">
        <is>
          <t>KATRINEHOLM</t>
        </is>
      </c>
      <c r="G3175" t="n">
        <v>6.8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5805-2022</t>
        </is>
      </c>
      <c r="B3176" s="1" t="n">
        <v>44596</v>
      </c>
      <c r="C3176" s="1" t="n">
        <v>45182</v>
      </c>
      <c r="D3176" t="inlineStr">
        <is>
          <t>SÖDERMANLANDS LÄN</t>
        </is>
      </c>
      <c r="E3176" t="inlineStr">
        <is>
          <t>STRÄNGNÄS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5795-2022</t>
        </is>
      </c>
      <c r="B3177" s="1" t="n">
        <v>44596</v>
      </c>
      <c r="C3177" s="1" t="n">
        <v>45182</v>
      </c>
      <c r="D3177" t="inlineStr">
        <is>
          <t>SÖDERMANLANDS LÄN</t>
        </is>
      </c>
      <c r="E3177" t="inlineStr">
        <is>
          <t>KATRINEHOLM</t>
        </is>
      </c>
      <c r="G3177" t="n">
        <v>8.1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5852-2022</t>
        </is>
      </c>
      <c r="B3178" s="1" t="n">
        <v>44596</v>
      </c>
      <c r="C3178" s="1" t="n">
        <v>45182</v>
      </c>
      <c r="D3178" t="inlineStr">
        <is>
          <t>SÖDERMANLANDS LÄN</t>
        </is>
      </c>
      <c r="E3178" t="inlineStr">
        <is>
          <t>FLEN</t>
        </is>
      </c>
      <c r="G3178" t="n">
        <v>2.6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6160-2022</t>
        </is>
      </c>
      <c r="B3179" s="1" t="n">
        <v>44599</v>
      </c>
      <c r="C3179" s="1" t="n">
        <v>45182</v>
      </c>
      <c r="D3179" t="inlineStr">
        <is>
          <t>SÖDERMANLANDS LÄN</t>
        </is>
      </c>
      <c r="E3179" t="inlineStr">
        <is>
          <t>GNESTA</t>
        </is>
      </c>
      <c r="G3179" t="n">
        <v>0.4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6102-2022</t>
        </is>
      </c>
      <c r="B3180" s="1" t="n">
        <v>44599</v>
      </c>
      <c r="C3180" s="1" t="n">
        <v>45182</v>
      </c>
      <c r="D3180" t="inlineStr">
        <is>
          <t>SÖDERMANLANDS LÄN</t>
        </is>
      </c>
      <c r="E3180" t="inlineStr">
        <is>
          <t>TROSA</t>
        </is>
      </c>
      <c r="G3180" t="n">
        <v>3.7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6109-2022</t>
        </is>
      </c>
      <c r="B3181" s="1" t="n">
        <v>44599</v>
      </c>
      <c r="C3181" s="1" t="n">
        <v>45182</v>
      </c>
      <c r="D3181" t="inlineStr">
        <is>
          <t>SÖDERMANLANDS LÄN</t>
        </is>
      </c>
      <c r="E3181" t="inlineStr">
        <is>
          <t>TROSA</t>
        </is>
      </c>
      <c r="G3181" t="n">
        <v>0.5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6145-2022</t>
        </is>
      </c>
      <c r="B3182" s="1" t="n">
        <v>44599</v>
      </c>
      <c r="C3182" s="1" t="n">
        <v>45182</v>
      </c>
      <c r="D3182" t="inlineStr">
        <is>
          <t>SÖDERMANLANDS LÄN</t>
        </is>
      </c>
      <c r="E3182" t="inlineStr">
        <is>
          <t>KATRINEHOLM</t>
        </is>
      </c>
      <c r="G3182" t="n">
        <v>2.3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6155-2022</t>
        </is>
      </c>
      <c r="B3183" s="1" t="n">
        <v>44599</v>
      </c>
      <c r="C3183" s="1" t="n">
        <v>45182</v>
      </c>
      <c r="D3183" t="inlineStr">
        <is>
          <t>SÖDERMANLANDS LÄN</t>
        </is>
      </c>
      <c r="E3183" t="inlineStr">
        <is>
          <t>GNESTA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6124-2022</t>
        </is>
      </c>
      <c r="B3184" s="1" t="n">
        <v>44599</v>
      </c>
      <c r="C3184" s="1" t="n">
        <v>45182</v>
      </c>
      <c r="D3184" t="inlineStr">
        <is>
          <t>SÖDERMANLANDS LÄN</t>
        </is>
      </c>
      <c r="E3184" t="inlineStr">
        <is>
          <t>TROSA</t>
        </is>
      </c>
      <c r="F3184" t="inlineStr">
        <is>
          <t>Holmen skog AB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6446-2022</t>
        </is>
      </c>
      <c r="B3185" s="1" t="n">
        <v>44600</v>
      </c>
      <c r="C3185" s="1" t="n">
        <v>45182</v>
      </c>
      <c r="D3185" t="inlineStr">
        <is>
          <t>SÖDERMANLANDS LÄN</t>
        </is>
      </c>
      <c r="E3185" t="inlineStr">
        <is>
          <t>KATRINEHOLM</t>
        </is>
      </c>
      <c r="G3185" t="n">
        <v>1.5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6531-2022</t>
        </is>
      </c>
      <c r="B3186" s="1" t="n">
        <v>44601</v>
      </c>
      <c r="C3186" s="1" t="n">
        <v>45182</v>
      </c>
      <c r="D3186" t="inlineStr">
        <is>
          <t>SÖDERMANLANDS LÄN</t>
        </is>
      </c>
      <c r="E3186" t="inlineStr">
        <is>
          <t>KATRINEHOLM</t>
        </is>
      </c>
      <c r="G3186" t="n">
        <v>0.8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6533-2022</t>
        </is>
      </c>
      <c r="B3187" s="1" t="n">
        <v>44601</v>
      </c>
      <c r="C3187" s="1" t="n">
        <v>45182</v>
      </c>
      <c r="D3187" t="inlineStr">
        <is>
          <t>SÖDERMANLANDS LÄN</t>
        </is>
      </c>
      <c r="E3187" t="inlineStr">
        <is>
          <t>KATRINEHOLM</t>
        </is>
      </c>
      <c r="G3187" t="n">
        <v>0.4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6499-2022</t>
        </is>
      </c>
      <c r="B3188" s="1" t="n">
        <v>44601</v>
      </c>
      <c r="C3188" s="1" t="n">
        <v>45182</v>
      </c>
      <c r="D3188" t="inlineStr">
        <is>
          <t>SÖDERMANLANDS LÄN</t>
        </is>
      </c>
      <c r="E3188" t="inlineStr">
        <is>
          <t>KATRINEHOLM</t>
        </is>
      </c>
      <c r="F3188" t="inlineStr">
        <is>
          <t>Kyrkan</t>
        </is>
      </c>
      <c r="G3188" t="n">
        <v>8.199999999999999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6606-2022</t>
        </is>
      </c>
      <c r="B3189" s="1" t="n">
        <v>44601</v>
      </c>
      <c r="C3189" s="1" t="n">
        <v>45182</v>
      </c>
      <c r="D3189" t="inlineStr">
        <is>
          <t>SÖDERMANLANDS LÄN</t>
        </is>
      </c>
      <c r="E3189" t="inlineStr">
        <is>
          <t>KATRINEHOLM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6725-2022</t>
        </is>
      </c>
      <c r="B3190" s="1" t="n">
        <v>44602</v>
      </c>
      <c r="C3190" s="1" t="n">
        <v>45182</v>
      </c>
      <c r="D3190" t="inlineStr">
        <is>
          <t>SÖDERMANLANDS LÄN</t>
        </is>
      </c>
      <c r="E3190" t="inlineStr">
        <is>
          <t>FLEN</t>
        </is>
      </c>
      <c r="G3190" t="n">
        <v>5.9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6746-2022</t>
        </is>
      </c>
      <c r="B3191" s="1" t="n">
        <v>44602</v>
      </c>
      <c r="C3191" s="1" t="n">
        <v>45182</v>
      </c>
      <c r="D3191" t="inlineStr">
        <is>
          <t>SÖDERMANLANDS LÄN</t>
        </is>
      </c>
      <c r="E3191" t="inlineStr">
        <is>
          <t>KATRINEHOLM</t>
        </is>
      </c>
      <c r="G3191" t="n">
        <v>3.6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6768-2022</t>
        </is>
      </c>
      <c r="B3192" s="1" t="n">
        <v>44602</v>
      </c>
      <c r="C3192" s="1" t="n">
        <v>45182</v>
      </c>
      <c r="D3192" t="inlineStr">
        <is>
          <t>SÖDERMANLANDS LÄN</t>
        </is>
      </c>
      <c r="E3192" t="inlineStr">
        <is>
          <t>KATRINEHOLM</t>
        </is>
      </c>
      <c r="G3192" t="n">
        <v>12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6763-2022</t>
        </is>
      </c>
      <c r="B3193" s="1" t="n">
        <v>44602</v>
      </c>
      <c r="C3193" s="1" t="n">
        <v>45182</v>
      </c>
      <c r="D3193" t="inlineStr">
        <is>
          <t>SÖDERMANLANDS LÄN</t>
        </is>
      </c>
      <c r="E3193" t="inlineStr">
        <is>
          <t>KATRINEHOLM</t>
        </is>
      </c>
      <c r="G3193" t="n">
        <v>6.7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6695-2022</t>
        </is>
      </c>
      <c r="B3194" s="1" t="n">
        <v>44602</v>
      </c>
      <c r="C3194" s="1" t="n">
        <v>45182</v>
      </c>
      <c r="D3194" t="inlineStr">
        <is>
          <t>SÖDERMANLANDS LÄN</t>
        </is>
      </c>
      <c r="E3194" t="inlineStr">
        <is>
          <t>KATRINEHOLM</t>
        </is>
      </c>
      <c r="G3194" t="n">
        <v>3.4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6722-2022</t>
        </is>
      </c>
      <c r="B3195" s="1" t="n">
        <v>44602</v>
      </c>
      <c r="C3195" s="1" t="n">
        <v>45182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6753-2022</t>
        </is>
      </c>
      <c r="B3196" s="1" t="n">
        <v>44602</v>
      </c>
      <c r="C3196" s="1" t="n">
        <v>45182</v>
      </c>
      <c r="D3196" t="inlineStr">
        <is>
          <t>SÖDERMANLANDS LÄN</t>
        </is>
      </c>
      <c r="E3196" t="inlineStr">
        <is>
          <t>KATRINEHOLM</t>
        </is>
      </c>
      <c r="G3196" t="n">
        <v>4.3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6765-2022</t>
        </is>
      </c>
      <c r="B3197" s="1" t="n">
        <v>44602</v>
      </c>
      <c r="C3197" s="1" t="n">
        <v>45182</v>
      </c>
      <c r="D3197" t="inlineStr">
        <is>
          <t>SÖDERMANLANDS LÄN</t>
        </is>
      </c>
      <c r="E3197" t="inlineStr">
        <is>
          <t>KATRINEHOLM</t>
        </is>
      </c>
      <c r="G3197" t="n">
        <v>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6789-2022</t>
        </is>
      </c>
      <c r="B3198" s="1" t="n">
        <v>44602</v>
      </c>
      <c r="C3198" s="1" t="n">
        <v>45182</v>
      </c>
      <c r="D3198" t="inlineStr">
        <is>
          <t>SÖDERMANLANDS LÄN</t>
        </is>
      </c>
      <c r="E3198" t="inlineStr">
        <is>
          <t>KATRINEHOLM</t>
        </is>
      </c>
      <c r="G3198" t="n">
        <v>4.6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6203-2022</t>
        </is>
      </c>
      <c r="B3199" s="1" t="n">
        <v>44602</v>
      </c>
      <c r="C3199" s="1" t="n">
        <v>45182</v>
      </c>
      <c r="D3199" t="inlineStr">
        <is>
          <t>SÖDERMANLANDS LÄN</t>
        </is>
      </c>
      <c r="E3199" t="inlineStr">
        <is>
          <t>KATRINEHOLM</t>
        </is>
      </c>
      <c r="G3199" t="n">
        <v>11.5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6796-2022</t>
        </is>
      </c>
      <c r="B3200" s="1" t="n">
        <v>44602</v>
      </c>
      <c r="C3200" s="1" t="n">
        <v>45182</v>
      </c>
      <c r="D3200" t="inlineStr">
        <is>
          <t>SÖDERMANLANDS LÄN</t>
        </is>
      </c>
      <c r="E3200" t="inlineStr">
        <is>
          <t>KATRINEHOLM</t>
        </is>
      </c>
      <c r="G3200" t="n">
        <v>1.2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9044-2022</t>
        </is>
      </c>
      <c r="B3201" s="1" t="n">
        <v>44602</v>
      </c>
      <c r="C3201" s="1" t="n">
        <v>45182</v>
      </c>
      <c r="D3201" t="inlineStr">
        <is>
          <t>SÖDERMANLANDS LÄN</t>
        </is>
      </c>
      <c r="E3201" t="inlineStr">
        <is>
          <t>KATRINEHOLM</t>
        </is>
      </c>
      <c r="G3201" t="n">
        <v>5.8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7056-2022</t>
        </is>
      </c>
      <c r="B3202" s="1" t="n">
        <v>44603</v>
      </c>
      <c r="C3202" s="1" t="n">
        <v>45182</v>
      </c>
      <c r="D3202" t="inlineStr">
        <is>
          <t>SÖDERMANLANDS LÄN</t>
        </is>
      </c>
      <c r="E3202" t="inlineStr">
        <is>
          <t>KATRINEHOLM</t>
        </is>
      </c>
      <c r="G3202" t="n">
        <v>0.5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7054-2022</t>
        </is>
      </c>
      <c r="B3203" s="1" t="n">
        <v>44603</v>
      </c>
      <c r="C3203" s="1" t="n">
        <v>45182</v>
      </c>
      <c r="D3203" t="inlineStr">
        <is>
          <t>SÖDERMANLANDS LÄN</t>
        </is>
      </c>
      <c r="E3203" t="inlineStr">
        <is>
          <t>GNESTA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7223-2022</t>
        </is>
      </c>
      <c r="B3204" s="1" t="n">
        <v>44603</v>
      </c>
      <c r="C3204" s="1" t="n">
        <v>45182</v>
      </c>
      <c r="D3204" t="inlineStr">
        <is>
          <t>SÖDERMANLANDS LÄN</t>
        </is>
      </c>
      <c r="E3204" t="inlineStr">
        <is>
          <t>KATRINEHOLM</t>
        </is>
      </c>
      <c r="G3204" t="n">
        <v>0.8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7189-2022</t>
        </is>
      </c>
      <c r="B3205" s="1" t="n">
        <v>44605</v>
      </c>
      <c r="C3205" s="1" t="n">
        <v>45182</v>
      </c>
      <c r="D3205" t="inlineStr">
        <is>
          <t>SÖDERMANLANDS LÄN</t>
        </is>
      </c>
      <c r="E3205" t="inlineStr">
        <is>
          <t>KATRINEHOLM</t>
        </is>
      </c>
      <c r="G3205" t="n">
        <v>1.8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7406-2022</t>
        </is>
      </c>
      <c r="B3206" s="1" t="n">
        <v>44606</v>
      </c>
      <c r="C3206" s="1" t="n">
        <v>45182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3.3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7420-2022</t>
        </is>
      </c>
      <c r="B3207" s="1" t="n">
        <v>44606</v>
      </c>
      <c r="C3207" s="1" t="n">
        <v>45182</v>
      </c>
      <c r="D3207" t="inlineStr">
        <is>
          <t>SÖDERMANLANDS LÄN</t>
        </is>
      </c>
      <c r="E3207" t="inlineStr">
        <is>
          <t>ESKILSTUNA</t>
        </is>
      </c>
      <c r="F3207" t="inlineStr">
        <is>
          <t>Kyrkan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7253-2022</t>
        </is>
      </c>
      <c r="B3208" s="1" t="n">
        <v>44606</v>
      </c>
      <c r="C3208" s="1" t="n">
        <v>45182</v>
      </c>
      <c r="D3208" t="inlineStr">
        <is>
          <t>SÖDERMANLANDS LÄN</t>
        </is>
      </c>
      <c r="E3208" t="inlineStr">
        <is>
          <t>NYKÖPING</t>
        </is>
      </c>
      <c r="F3208" t="inlineStr">
        <is>
          <t>Allmännings- och besparingsskogar</t>
        </is>
      </c>
      <c r="G3208" t="n">
        <v>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7242-2022</t>
        </is>
      </c>
      <c r="B3209" s="1" t="n">
        <v>44606</v>
      </c>
      <c r="C3209" s="1" t="n">
        <v>45182</v>
      </c>
      <c r="D3209" t="inlineStr">
        <is>
          <t>SÖDERMANLANDS LÄN</t>
        </is>
      </c>
      <c r="E3209" t="inlineStr">
        <is>
          <t>FLEN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7303-2022</t>
        </is>
      </c>
      <c r="B3210" s="1" t="n">
        <v>44606</v>
      </c>
      <c r="C3210" s="1" t="n">
        <v>45182</v>
      </c>
      <c r="D3210" t="inlineStr">
        <is>
          <t>SÖDERMANLANDS LÄN</t>
        </is>
      </c>
      <c r="E3210" t="inlineStr">
        <is>
          <t>GNESTA</t>
        </is>
      </c>
      <c r="F3210" t="inlineStr">
        <is>
          <t>Övriga Aktiebolag</t>
        </is>
      </c>
      <c r="G3210" t="n">
        <v>1.2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7423-2022</t>
        </is>
      </c>
      <c r="B3211" s="1" t="n">
        <v>44606</v>
      </c>
      <c r="C3211" s="1" t="n">
        <v>45182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6.3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7550-2022</t>
        </is>
      </c>
      <c r="B3212" s="1" t="n">
        <v>44607</v>
      </c>
      <c r="C3212" s="1" t="n">
        <v>45182</v>
      </c>
      <c r="D3212" t="inlineStr">
        <is>
          <t>SÖDERMANLANDS LÄN</t>
        </is>
      </c>
      <c r="E3212" t="inlineStr">
        <is>
          <t>KATRINEHOLM</t>
        </is>
      </c>
      <c r="G3212" t="n">
        <v>1.2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7742-2022</t>
        </is>
      </c>
      <c r="B3213" s="1" t="n">
        <v>44608</v>
      </c>
      <c r="C3213" s="1" t="n">
        <v>45182</v>
      </c>
      <c r="D3213" t="inlineStr">
        <is>
          <t>SÖDERMANLANDS LÄN</t>
        </is>
      </c>
      <c r="E3213" t="inlineStr">
        <is>
          <t>VINGÅKER</t>
        </is>
      </c>
      <c r="G3213" t="n">
        <v>2.5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7833-2022</t>
        </is>
      </c>
      <c r="B3214" s="1" t="n">
        <v>44608</v>
      </c>
      <c r="C3214" s="1" t="n">
        <v>45182</v>
      </c>
      <c r="D3214" t="inlineStr">
        <is>
          <t>SÖDERMANLANDS LÄN</t>
        </is>
      </c>
      <c r="E3214" t="inlineStr">
        <is>
          <t>ESKILSTUNA</t>
        </is>
      </c>
      <c r="G3214" t="n">
        <v>1.4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7821-2022</t>
        </is>
      </c>
      <c r="B3215" s="1" t="n">
        <v>44608</v>
      </c>
      <c r="C3215" s="1" t="n">
        <v>45182</v>
      </c>
      <c r="D3215" t="inlineStr">
        <is>
          <t>SÖDERMANLANDS LÄN</t>
        </is>
      </c>
      <c r="E3215" t="inlineStr">
        <is>
          <t>VINGÅKER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7739-2022</t>
        </is>
      </c>
      <c r="B3216" s="1" t="n">
        <v>44608</v>
      </c>
      <c r="C3216" s="1" t="n">
        <v>45182</v>
      </c>
      <c r="D3216" t="inlineStr">
        <is>
          <t>SÖDERMANLANDS LÄN</t>
        </is>
      </c>
      <c r="E3216" t="inlineStr">
        <is>
          <t>VINGÅKER</t>
        </is>
      </c>
      <c r="G3216" t="n">
        <v>2.4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7756-2022</t>
        </is>
      </c>
      <c r="B3217" s="1" t="n">
        <v>44608</v>
      </c>
      <c r="C3217" s="1" t="n">
        <v>45182</v>
      </c>
      <c r="D3217" t="inlineStr">
        <is>
          <t>SÖDERMANLANDS LÄN</t>
        </is>
      </c>
      <c r="E3217" t="inlineStr">
        <is>
          <t>VINGÅKER</t>
        </is>
      </c>
      <c r="G3217" t="n">
        <v>0.6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7863-2022</t>
        </is>
      </c>
      <c r="B3218" s="1" t="n">
        <v>44608</v>
      </c>
      <c r="C3218" s="1" t="n">
        <v>45182</v>
      </c>
      <c r="D3218" t="inlineStr">
        <is>
          <t>SÖDERMANLANDS LÄN</t>
        </is>
      </c>
      <c r="E3218" t="inlineStr">
        <is>
          <t>FLEN</t>
        </is>
      </c>
      <c r="F3218" t="inlineStr">
        <is>
          <t>Övriga statliga verk och myndigheter</t>
        </is>
      </c>
      <c r="G3218" t="n">
        <v>0.8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7931-2022</t>
        </is>
      </c>
      <c r="B3219" s="1" t="n">
        <v>44608</v>
      </c>
      <c r="C3219" s="1" t="n">
        <v>45182</v>
      </c>
      <c r="D3219" t="inlineStr">
        <is>
          <t>SÖDERMANLANDS LÄN</t>
        </is>
      </c>
      <c r="E3219" t="inlineStr">
        <is>
          <t>STRÄNGNÄS</t>
        </is>
      </c>
      <c r="G3219" t="n">
        <v>4.7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7818-2022</t>
        </is>
      </c>
      <c r="B3220" s="1" t="n">
        <v>44608</v>
      </c>
      <c r="C3220" s="1" t="n">
        <v>45182</v>
      </c>
      <c r="D3220" t="inlineStr">
        <is>
          <t>SÖDERMANLANDS LÄN</t>
        </is>
      </c>
      <c r="E3220" t="inlineStr">
        <is>
          <t>ESKILSTUNA</t>
        </is>
      </c>
      <c r="G3220" t="n">
        <v>0.4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7825-2022</t>
        </is>
      </c>
      <c r="B3221" s="1" t="n">
        <v>44608</v>
      </c>
      <c r="C3221" s="1" t="n">
        <v>45182</v>
      </c>
      <c r="D3221" t="inlineStr">
        <is>
          <t>SÖDERMANLANDS LÄN</t>
        </is>
      </c>
      <c r="E3221" t="inlineStr">
        <is>
          <t>VINGÅKER</t>
        </is>
      </c>
      <c r="G3221" t="n">
        <v>1.2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7887-2022</t>
        </is>
      </c>
      <c r="B3222" s="1" t="n">
        <v>44608</v>
      </c>
      <c r="C3222" s="1" t="n">
        <v>45182</v>
      </c>
      <c r="D3222" t="inlineStr">
        <is>
          <t>SÖDERMANLANDS LÄN</t>
        </is>
      </c>
      <c r="E3222" t="inlineStr">
        <is>
          <t>NYKÖPING</t>
        </is>
      </c>
      <c r="G3222" t="n">
        <v>2.8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7923-2022</t>
        </is>
      </c>
      <c r="B3223" s="1" t="n">
        <v>44608</v>
      </c>
      <c r="C3223" s="1" t="n">
        <v>45182</v>
      </c>
      <c r="D3223" t="inlineStr">
        <is>
          <t>SÖDERMANLANDS LÄN</t>
        </is>
      </c>
      <c r="E3223" t="inlineStr">
        <is>
          <t>STRÄNGNÄS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8301-2022</t>
        </is>
      </c>
      <c r="B3224" s="1" t="n">
        <v>44610</v>
      </c>
      <c r="C3224" s="1" t="n">
        <v>45182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3.3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8277-2022</t>
        </is>
      </c>
      <c r="B3225" s="1" t="n">
        <v>44610</v>
      </c>
      <c r="C3225" s="1" t="n">
        <v>45182</v>
      </c>
      <c r="D3225" t="inlineStr">
        <is>
          <t>SÖDERMANLANDS LÄN</t>
        </is>
      </c>
      <c r="E3225" t="inlineStr">
        <is>
          <t>ESKILSTUNA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8478-2022</t>
        </is>
      </c>
      <c r="B3226" s="1" t="n">
        <v>44613</v>
      </c>
      <c r="C3226" s="1" t="n">
        <v>45182</v>
      </c>
      <c r="D3226" t="inlineStr">
        <is>
          <t>SÖDERMANLANDS LÄN</t>
        </is>
      </c>
      <c r="E3226" t="inlineStr">
        <is>
          <t>ESKILSTUNA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8517-2022</t>
        </is>
      </c>
      <c r="B3227" s="1" t="n">
        <v>44613</v>
      </c>
      <c r="C3227" s="1" t="n">
        <v>45182</v>
      </c>
      <c r="D3227" t="inlineStr">
        <is>
          <t>SÖDERMANLANDS LÄN</t>
        </is>
      </c>
      <c r="E3227" t="inlineStr">
        <is>
          <t>NYKÖPING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8523-2022</t>
        </is>
      </c>
      <c r="B3228" s="1" t="n">
        <v>44613</v>
      </c>
      <c r="C3228" s="1" t="n">
        <v>45182</v>
      </c>
      <c r="D3228" t="inlineStr">
        <is>
          <t>SÖDERMANLANDS LÄN</t>
        </is>
      </c>
      <c r="E3228" t="inlineStr">
        <is>
          <t>NYKÖPING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8532-2022</t>
        </is>
      </c>
      <c r="B3229" s="1" t="n">
        <v>44613</v>
      </c>
      <c r="C3229" s="1" t="n">
        <v>45182</v>
      </c>
      <c r="D3229" t="inlineStr">
        <is>
          <t>SÖDERMANLANDS LÄN</t>
        </is>
      </c>
      <c r="E3229" t="inlineStr">
        <is>
          <t>NYKÖPING</t>
        </is>
      </c>
      <c r="G3229" t="n">
        <v>1.8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8783-2022</t>
        </is>
      </c>
      <c r="B3230" s="1" t="n">
        <v>44614</v>
      </c>
      <c r="C3230" s="1" t="n">
        <v>45182</v>
      </c>
      <c r="D3230" t="inlineStr">
        <is>
          <t>SÖDERMANLANDS LÄN</t>
        </is>
      </c>
      <c r="E3230" t="inlineStr">
        <is>
          <t>NYKÖPING</t>
        </is>
      </c>
      <c r="G3230" t="n">
        <v>4.9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8903-2022</t>
        </is>
      </c>
      <c r="B3231" s="1" t="n">
        <v>44614</v>
      </c>
      <c r="C3231" s="1" t="n">
        <v>45182</v>
      </c>
      <c r="D3231" t="inlineStr">
        <is>
          <t>SÖDERMANLANDS LÄN</t>
        </is>
      </c>
      <c r="E3231" t="inlineStr">
        <is>
          <t>FLEN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8990-2022</t>
        </is>
      </c>
      <c r="B3232" s="1" t="n">
        <v>44614</v>
      </c>
      <c r="C3232" s="1" t="n">
        <v>45182</v>
      </c>
      <c r="D3232" t="inlineStr">
        <is>
          <t>SÖDERMANLANDS LÄN</t>
        </is>
      </c>
      <c r="E3232" t="inlineStr">
        <is>
          <t>FLEN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8781-2022</t>
        </is>
      </c>
      <c r="B3233" s="1" t="n">
        <v>44614</v>
      </c>
      <c r="C3233" s="1" t="n">
        <v>45182</v>
      </c>
      <c r="D3233" t="inlineStr">
        <is>
          <t>SÖDERMANLANDS LÄN</t>
        </is>
      </c>
      <c r="E3233" t="inlineStr">
        <is>
          <t>NYKÖPING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8793-2022</t>
        </is>
      </c>
      <c r="B3234" s="1" t="n">
        <v>44614</v>
      </c>
      <c r="C3234" s="1" t="n">
        <v>45182</v>
      </c>
      <c r="D3234" t="inlineStr">
        <is>
          <t>SÖDERMANLANDS LÄN</t>
        </is>
      </c>
      <c r="E3234" t="inlineStr">
        <is>
          <t>FLEN</t>
        </is>
      </c>
      <c r="G3234" t="n">
        <v>2.2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8778-2022</t>
        </is>
      </c>
      <c r="B3235" s="1" t="n">
        <v>44614</v>
      </c>
      <c r="C3235" s="1" t="n">
        <v>45182</v>
      </c>
      <c r="D3235" t="inlineStr">
        <is>
          <t>SÖDERMANLANDS LÄN</t>
        </is>
      </c>
      <c r="E3235" t="inlineStr">
        <is>
          <t>NYKÖPING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9174-2022</t>
        </is>
      </c>
      <c r="B3236" s="1" t="n">
        <v>44615</v>
      </c>
      <c r="C3236" s="1" t="n">
        <v>45182</v>
      </c>
      <c r="D3236" t="inlineStr">
        <is>
          <t>SÖDERMANLANDS LÄN</t>
        </is>
      </c>
      <c r="E3236" t="inlineStr">
        <is>
          <t>NYKÖPING</t>
        </is>
      </c>
      <c r="G3236" t="n">
        <v>2.6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9158-2022</t>
        </is>
      </c>
      <c r="B3237" s="1" t="n">
        <v>44615</v>
      </c>
      <c r="C3237" s="1" t="n">
        <v>45182</v>
      </c>
      <c r="D3237" t="inlineStr">
        <is>
          <t>SÖDERMANLANDS LÄN</t>
        </is>
      </c>
      <c r="E3237" t="inlineStr">
        <is>
          <t>STRÄNGNÄS</t>
        </is>
      </c>
      <c r="G3237" t="n">
        <v>3.3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9190-2022</t>
        </is>
      </c>
      <c r="B3238" s="1" t="n">
        <v>44615</v>
      </c>
      <c r="C3238" s="1" t="n">
        <v>45182</v>
      </c>
      <c r="D3238" t="inlineStr">
        <is>
          <t>SÖDERMANLANDS LÄN</t>
        </is>
      </c>
      <c r="E3238" t="inlineStr">
        <is>
          <t>KATRINEHOLM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9431-2022</t>
        </is>
      </c>
      <c r="B3239" s="1" t="n">
        <v>44616</v>
      </c>
      <c r="C3239" s="1" t="n">
        <v>45182</v>
      </c>
      <c r="D3239" t="inlineStr">
        <is>
          <t>SÖDERMANLANDS LÄN</t>
        </is>
      </c>
      <c r="E3239" t="inlineStr">
        <is>
          <t>FLEN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9521-2022</t>
        </is>
      </c>
      <c r="B3240" s="1" t="n">
        <v>44616</v>
      </c>
      <c r="C3240" s="1" t="n">
        <v>45182</v>
      </c>
      <c r="D3240" t="inlineStr">
        <is>
          <t>SÖDERMANLANDS LÄN</t>
        </is>
      </c>
      <c r="E3240" t="inlineStr">
        <is>
          <t>ESKILSTUNA</t>
        </is>
      </c>
      <c r="G3240" t="n">
        <v>5.7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9419-2022</t>
        </is>
      </c>
      <c r="B3241" s="1" t="n">
        <v>44616</v>
      </c>
      <c r="C3241" s="1" t="n">
        <v>45182</v>
      </c>
      <c r="D3241" t="inlineStr">
        <is>
          <t>SÖDERMANLANDS LÄN</t>
        </is>
      </c>
      <c r="E3241" t="inlineStr">
        <is>
          <t>KATRINEHOLM</t>
        </is>
      </c>
      <c r="F3241" t="inlineStr">
        <is>
          <t>Övriga Aktiebolag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9511-2022</t>
        </is>
      </c>
      <c r="B3242" s="1" t="n">
        <v>44616</v>
      </c>
      <c r="C3242" s="1" t="n">
        <v>45182</v>
      </c>
      <c r="D3242" t="inlineStr">
        <is>
          <t>SÖDERMANLANDS LÄN</t>
        </is>
      </c>
      <c r="E3242" t="inlineStr">
        <is>
          <t>STRÄNGNÄS</t>
        </is>
      </c>
      <c r="G3242" t="n">
        <v>5.3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9536-2022</t>
        </is>
      </c>
      <c r="B3243" s="1" t="n">
        <v>44617</v>
      </c>
      <c r="C3243" s="1" t="n">
        <v>45182</v>
      </c>
      <c r="D3243" t="inlineStr">
        <is>
          <t>SÖDERMANLANDS LÄN</t>
        </is>
      </c>
      <c r="E3243" t="inlineStr">
        <is>
          <t>ESKILSTUNA</t>
        </is>
      </c>
      <c r="G3243" t="n">
        <v>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9625-2022</t>
        </is>
      </c>
      <c r="B3244" s="1" t="n">
        <v>44617</v>
      </c>
      <c r="C3244" s="1" t="n">
        <v>45182</v>
      </c>
      <c r="D3244" t="inlineStr">
        <is>
          <t>SÖDERMANLANDS LÄN</t>
        </is>
      </c>
      <c r="E3244" t="inlineStr">
        <is>
          <t>STRÄNGNÄS</t>
        </is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9646-2022</t>
        </is>
      </c>
      <c r="B3245" s="1" t="n">
        <v>44617</v>
      </c>
      <c r="C3245" s="1" t="n">
        <v>45182</v>
      </c>
      <c r="D3245" t="inlineStr">
        <is>
          <t>SÖDERMANLANDS LÄN</t>
        </is>
      </c>
      <c r="E3245" t="inlineStr">
        <is>
          <t>ESKILSTUNA</t>
        </is>
      </c>
      <c r="G3245" t="n">
        <v>0.9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9575-2022</t>
        </is>
      </c>
      <c r="B3246" s="1" t="n">
        <v>44617</v>
      </c>
      <c r="C3246" s="1" t="n">
        <v>45182</v>
      </c>
      <c r="D3246" t="inlineStr">
        <is>
          <t>SÖDERMANLANDS LÄN</t>
        </is>
      </c>
      <c r="E3246" t="inlineStr">
        <is>
          <t>ESKILSTUNA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9648-2022</t>
        </is>
      </c>
      <c r="B3247" s="1" t="n">
        <v>44617</v>
      </c>
      <c r="C3247" s="1" t="n">
        <v>45182</v>
      </c>
      <c r="D3247" t="inlineStr">
        <is>
          <t>SÖDERMANLANDS LÄN</t>
        </is>
      </c>
      <c r="E3247" t="inlineStr">
        <is>
          <t>VINGÅKER</t>
        </is>
      </c>
      <c r="G3247" t="n">
        <v>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9607-2022</t>
        </is>
      </c>
      <c r="B3248" s="1" t="n">
        <v>44617</v>
      </c>
      <c r="C3248" s="1" t="n">
        <v>45182</v>
      </c>
      <c r="D3248" t="inlineStr">
        <is>
          <t>SÖDERMANLANDS LÄN</t>
        </is>
      </c>
      <c r="E3248" t="inlineStr">
        <is>
          <t>STRÄNGNÄS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9753-2022</t>
        </is>
      </c>
      <c r="B3249" s="1" t="n">
        <v>44618</v>
      </c>
      <c r="C3249" s="1" t="n">
        <v>45182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9786-2022</t>
        </is>
      </c>
      <c r="B3250" s="1" t="n">
        <v>44619</v>
      </c>
      <c r="C3250" s="1" t="n">
        <v>45182</v>
      </c>
      <c r="D3250" t="inlineStr">
        <is>
          <t>SÖDERMANLANDS LÄN</t>
        </is>
      </c>
      <c r="E3250" t="inlineStr">
        <is>
          <t>KATRINEHOLM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9842-2022</t>
        </is>
      </c>
      <c r="B3251" s="1" t="n">
        <v>44620</v>
      </c>
      <c r="C3251" s="1" t="n">
        <v>45182</v>
      </c>
      <c r="D3251" t="inlineStr">
        <is>
          <t>SÖDERMANLANDS LÄN</t>
        </is>
      </c>
      <c r="E3251" t="inlineStr">
        <is>
          <t>NYKÖPING</t>
        </is>
      </c>
      <c r="G3251" t="n">
        <v>2.4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9861-2022</t>
        </is>
      </c>
      <c r="B3252" s="1" t="n">
        <v>44620</v>
      </c>
      <c r="C3252" s="1" t="n">
        <v>45182</v>
      </c>
      <c r="D3252" t="inlineStr">
        <is>
          <t>SÖDERMANLANDS LÄN</t>
        </is>
      </c>
      <c r="E3252" t="inlineStr">
        <is>
          <t>STRÄNGNÄS</t>
        </is>
      </c>
      <c r="G3252" t="n">
        <v>0.5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9992-2022</t>
        </is>
      </c>
      <c r="B3253" s="1" t="n">
        <v>44621</v>
      </c>
      <c r="C3253" s="1" t="n">
        <v>45182</v>
      </c>
      <c r="D3253" t="inlineStr">
        <is>
          <t>SÖDERMANLANDS LÄN</t>
        </is>
      </c>
      <c r="E3253" t="inlineStr">
        <is>
          <t>KATRINEHOLM</t>
        </is>
      </c>
      <c r="G3253" t="n">
        <v>1.6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10440-2022</t>
        </is>
      </c>
      <c r="B3254" s="1" t="n">
        <v>44623</v>
      </c>
      <c r="C3254" s="1" t="n">
        <v>45182</v>
      </c>
      <c r="D3254" t="inlineStr">
        <is>
          <t>SÖDERMANLANDS LÄN</t>
        </is>
      </c>
      <c r="E3254" t="inlineStr">
        <is>
          <t>VINGÅKER</t>
        </is>
      </c>
      <c r="G3254" t="n">
        <v>1.1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10341-2022</t>
        </is>
      </c>
      <c r="B3255" s="1" t="n">
        <v>44623</v>
      </c>
      <c r="C3255" s="1" t="n">
        <v>45182</v>
      </c>
      <c r="D3255" t="inlineStr">
        <is>
          <t>SÖDERMANLANDS LÄN</t>
        </is>
      </c>
      <c r="E3255" t="inlineStr">
        <is>
          <t>KATRINEHOLM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10438-2022</t>
        </is>
      </c>
      <c r="B3256" s="1" t="n">
        <v>44623</v>
      </c>
      <c r="C3256" s="1" t="n">
        <v>45182</v>
      </c>
      <c r="D3256" t="inlineStr">
        <is>
          <t>SÖDERMANLANDS LÄN</t>
        </is>
      </c>
      <c r="E3256" t="inlineStr">
        <is>
          <t>VINGÅKER</t>
        </is>
      </c>
      <c r="G3256" t="n">
        <v>5.3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10446-2022</t>
        </is>
      </c>
      <c r="B3257" s="1" t="n">
        <v>44623</v>
      </c>
      <c r="C3257" s="1" t="n">
        <v>45182</v>
      </c>
      <c r="D3257" t="inlineStr">
        <is>
          <t>SÖDERMANLANDS LÄN</t>
        </is>
      </c>
      <c r="E3257" t="inlineStr">
        <is>
          <t>STRÄNGNÄS</t>
        </is>
      </c>
      <c r="G3257" t="n">
        <v>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10357-2022</t>
        </is>
      </c>
      <c r="B3258" s="1" t="n">
        <v>44623</v>
      </c>
      <c r="C3258" s="1" t="n">
        <v>45182</v>
      </c>
      <c r="D3258" t="inlineStr">
        <is>
          <t>SÖDERMANLANDS LÄN</t>
        </is>
      </c>
      <c r="E3258" t="inlineStr">
        <is>
          <t>NYKÖPING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10391-2022</t>
        </is>
      </c>
      <c r="B3259" s="1" t="n">
        <v>44623</v>
      </c>
      <c r="C3259" s="1" t="n">
        <v>45182</v>
      </c>
      <c r="D3259" t="inlineStr">
        <is>
          <t>SÖDERMANLANDS LÄN</t>
        </is>
      </c>
      <c r="E3259" t="inlineStr">
        <is>
          <t>STRÄNGNÄS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10413-2022</t>
        </is>
      </c>
      <c r="B3260" s="1" t="n">
        <v>44623</v>
      </c>
      <c r="C3260" s="1" t="n">
        <v>45182</v>
      </c>
      <c r="D3260" t="inlineStr">
        <is>
          <t>SÖDERMANLANDS LÄN</t>
        </is>
      </c>
      <c r="E3260" t="inlineStr">
        <is>
          <t>STRÄNGNÄS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10435-2022</t>
        </is>
      </c>
      <c r="B3261" s="1" t="n">
        <v>44623</v>
      </c>
      <c r="C3261" s="1" t="n">
        <v>45182</v>
      </c>
      <c r="D3261" t="inlineStr">
        <is>
          <t>SÖDERMANLANDS LÄN</t>
        </is>
      </c>
      <c r="E3261" t="inlineStr">
        <is>
          <t>NYKÖPING</t>
        </is>
      </c>
      <c r="G3261" t="n">
        <v>6.4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10827-2022</t>
        </is>
      </c>
      <c r="B3262" s="1" t="n">
        <v>44624</v>
      </c>
      <c r="C3262" s="1" t="n">
        <v>45182</v>
      </c>
      <c r="D3262" t="inlineStr">
        <is>
          <t>SÖDERMANLANDS LÄN</t>
        </is>
      </c>
      <c r="E3262" t="inlineStr">
        <is>
          <t>FLEN</t>
        </is>
      </c>
      <c r="G3262" t="n">
        <v>3.6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10771-2022</t>
        </is>
      </c>
      <c r="B3263" s="1" t="n">
        <v>44624</v>
      </c>
      <c r="C3263" s="1" t="n">
        <v>45182</v>
      </c>
      <c r="D3263" t="inlineStr">
        <is>
          <t>SÖDERMANLANDS LÄN</t>
        </is>
      </c>
      <c r="E3263" t="inlineStr">
        <is>
          <t>FLEN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10828-2022</t>
        </is>
      </c>
      <c r="B3264" s="1" t="n">
        <v>44624</v>
      </c>
      <c r="C3264" s="1" t="n">
        <v>45182</v>
      </c>
      <c r="D3264" t="inlineStr">
        <is>
          <t>SÖDERMANLANDS LÄN</t>
        </is>
      </c>
      <c r="E3264" t="inlineStr">
        <is>
          <t>FLEN</t>
        </is>
      </c>
      <c r="G3264" t="n">
        <v>2.4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10738-2022</t>
        </is>
      </c>
      <c r="B3265" s="1" t="n">
        <v>44624</v>
      </c>
      <c r="C3265" s="1" t="n">
        <v>45182</v>
      </c>
      <c r="D3265" t="inlineStr">
        <is>
          <t>SÖDERMANLANDS LÄN</t>
        </is>
      </c>
      <c r="E3265" t="inlineStr">
        <is>
          <t>FLEN</t>
        </is>
      </c>
      <c r="G3265" t="n">
        <v>1.7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10745-2022</t>
        </is>
      </c>
      <c r="B3266" s="1" t="n">
        <v>44624</v>
      </c>
      <c r="C3266" s="1" t="n">
        <v>45182</v>
      </c>
      <c r="D3266" t="inlineStr">
        <is>
          <t>SÖDERMANLANDS LÄN</t>
        </is>
      </c>
      <c r="E3266" t="inlineStr">
        <is>
          <t>FLEN</t>
        </is>
      </c>
      <c r="G3266" t="n">
        <v>4.2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10715-2022</t>
        </is>
      </c>
      <c r="B3267" s="1" t="n">
        <v>44626</v>
      </c>
      <c r="C3267" s="1" t="n">
        <v>45182</v>
      </c>
      <c r="D3267" t="inlineStr">
        <is>
          <t>SÖDERMANLANDS LÄN</t>
        </is>
      </c>
      <c r="E3267" t="inlineStr">
        <is>
          <t>ESKILSTUNA</t>
        </is>
      </c>
      <c r="G3267" t="n">
        <v>3.7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10873-2022</t>
        </is>
      </c>
      <c r="B3268" s="1" t="n">
        <v>44627</v>
      </c>
      <c r="C3268" s="1" t="n">
        <v>45182</v>
      </c>
      <c r="D3268" t="inlineStr">
        <is>
          <t>SÖDERMANLANDS LÄN</t>
        </is>
      </c>
      <c r="E3268" t="inlineStr">
        <is>
          <t>NYKÖPING</t>
        </is>
      </c>
      <c r="F3268" t="inlineStr">
        <is>
          <t>Övriga Aktiebolag</t>
        </is>
      </c>
      <c r="G3268" t="n">
        <v>2.9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11024-2022</t>
        </is>
      </c>
      <c r="B3269" s="1" t="n">
        <v>44628</v>
      </c>
      <c r="C3269" s="1" t="n">
        <v>45182</v>
      </c>
      <c r="D3269" t="inlineStr">
        <is>
          <t>SÖDERMANLANDS LÄN</t>
        </is>
      </c>
      <c r="E3269" t="inlineStr">
        <is>
          <t>KATRINEHOLM</t>
        </is>
      </c>
      <c r="G3269" t="n">
        <v>0.4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10996-2022</t>
        </is>
      </c>
      <c r="B3270" s="1" t="n">
        <v>44628</v>
      </c>
      <c r="C3270" s="1" t="n">
        <v>45182</v>
      </c>
      <c r="D3270" t="inlineStr">
        <is>
          <t>SÖDERMANLANDS LÄN</t>
        </is>
      </c>
      <c r="E3270" t="inlineStr">
        <is>
          <t>KATRINEHOLM</t>
        </is>
      </c>
      <c r="G3270" t="n">
        <v>0.3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11108-2022</t>
        </is>
      </c>
      <c r="B3271" s="1" t="n">
        <v>44628</v>
      </c>
      <c r="C3271" s="1" t="n">
        <v>45182</v>
      </c>
      <c r="D3271" t="inlineStr">
        <is>
          <t>SÖDERMANLANDS LÄN</t>
        </is>
      </c>
      <c r="E3271" t="inlineStr">
        <is>
          <t>ESKILSTUNA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11137-2022</t>
        </is>
      </c>
      <c r="B3272" s="1" t="n">
        <v>44628</v>
      </c>
      <c r="C3272" s="1" t="n">
        <v>45182</v>
      </c>
      <c r="D3272" t="inlineStr">
        <is>
          <t>SÖDERMANLANDS LÄN</t>
        </is>
      </c>
      <c r="E3272" t="inlineStr">
        <is>
          <t>ESKILSTUNA</t>
        </is>
      </c>
      <c r="G3272" t="n">
        <v>5.2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11326-2022</t>
        </is>
      </c>
      <c r="B3273" s="1" t="n">
        <v>44629</v>
      </c>
      <c r="C3273" s="1" t="n">
        <v>45182</v>
      </c>
      <c r="D3273" t="inlineStr">
        <is>
          <t>SÖDERMANLANDS LÄN</t>
        </is>
      </c>
      <c r="E3273" t="inlineStr">
        <is>
          <t>VINGÅKER</t>
        </is>
      </c>
      <c r="G3273" t="n">
        <v>10.4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11443-2022</t>
        </is>
      </c>
      <c r="B3274" s="1" t="n">
        <v>44630</v>
      </c>
      <c r="C3274" s="1" t="n">
        <v>45182</v>
      </c>
      <c r="D3274" t="inlineStr">
        <is>
          <t>SÖDERMANLANDS LÄN</t>
        </is>
      </c>
      <c r="E3274" t="inlineStr">
        <is>
          <t>NYKÖPING</t>
        </is>
      </c>
      <c r="G3274" t="n">
        <v>4.6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11507-2022</t>
        </is>
      </c>
      <c r="B3275" s="1" t="n">
        <v>44631</v>
      </c>
      <c r="C3275" s="1" t="n">
        <v>45182</v>
      </c>
      <c r="D3275" t="inlineStr">
        <is>
          <t>SÖDERMANLANDS LÄN</t>
        </is>
      </c>
      <c r="E3275" t="inlineStr">
        <is>
          <t>STRÄNGNÄS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11728-2022</t>
        </is>
      </c>
      <c r="B3276" s="1" t="n">
        <v>44634</v>
      </c>
      <c r="C3276" s="1" t="n">
        <v>45182</v>
      </c>
      <c r="D3276" t="inlineStr">
        <is>
          <t>SÖDERMANLANDS LÄN</t>
        </is>
      </c>
      <c r="E3276" t="inlineStr">
        <is>
          <t>NYKÖPING</t>
        </is>
      </c>
      <c r="G3276" t="n">
        <v>11.4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11705-2022</t>
        </is>
      </c>
      <c r="B3277" s="1" t="n">
        <v>44634</v>
      </c>
      <c r="C3277" s="1" t="n">
        <v>45182</v>
      </c>
      <c r="D3277" t="inlineStr">
        <is>
          <t>SÖDERMANLANDS LÄN</t>
        </is>
      </c>
      <c r="E3277" t="inlineStr">
        <is>
          <t>ESKILSTUNA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11929-2022</t>
        </is>
      </c>
      <c r="B3278" s="1" t="n">
        <v>44635</v>
      </c>
      <c r="C3278" s="1" t="n">
        <v>45182</v>
      </c>
      <c r="D3278" t="inlineStr">
        <is>
          <t>SÖDERMANLANDS LÄN</t>
        </is>
      </c>
      <c r="E3278" t="inlineStr">
        <is>
          <t>GNESTA</t>
        </is>
      </c>
      <c r="G3278" t="n">
        <v>6.8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12072-2022</t>
        </is>
      </c>
      <c r="B3279" s="1" t="n">
        <v>44636</v>
      </c>
      <c r="C3279" s="1" t="n">
        <v>45182</v>
      </c>
      <c r="D3279" t="inlineStr">
        <is>
          <t>SÖDERMANLANDS LÄN</t>
        </is>
      </c>
      <c r="E3279" t="inlineStr">
        <is>
          <t>ESKILSTUNA</t>
        </is>
      </c>
      <c r="G3279" t="n">
        <v>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12116-2022</t>
        </is>
      </c>
      <c r="B3280" s="1" t="n">
        <v>44636</v>
      </c>
      <c r="C3280" s="1" t="n">
        <v>45182</v>
      </c>
      <c r="D3280" t="inlineStr">
        <is>
          <t>SÖDERMANLANDS LÄN</t>
        </is>
      </c>
      <c r="E3280" t="inlineStr">
        <is>
          <t>FLEN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12171-2022</t>
        </is>
      </c>
      <c r="B3281" s="1" t="n">
        <v>44636</v>
      </c>
      <c r="C3281" s="1" t="n">
        <v>45182</v>
      </c>
      <c r="D3281" t="inlineStr">
        <is>
          <t>SÖDERMANLANDS LÄN</t>
        </is>
      </c>
      <c r="E3281" t="inlineStr">
        <is>
          <t>FLEN</t>
        </is>
      </c>
      <c r="G3281" t="n">
        <v>0.5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12172-2022</t>
        </is>
      </c>
      <c r="B3282" s="1" t="n">
        <v>44636</v>
      </c>
      <c r="C3282" s="1" t="n">
        <v>45182</v>
      </c>
      <c r="D3282" t="inlineStr">
        <is>
          <t>SÖDERMANLANDS LÄN</t>
        </is>
      </c>
      <c r="E3282" t="inlineStr">
        <is>
          <t>FLEN</t>
        </is>
      </c>
      <c r="G3282" t="n">
        <v>2.2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12174-2022</t>
        </is>
      </c>
      <c r="B3283" s="1" t="n">
        <v>44636</v>
      </c>
      <c r="C3283" s="1" t="n">
        <v>45182</v>
      </c>
      <c r="D3283" t="inlineStr">
        <is>
          <t>SÖDERMANLANDS LÄN</t>
        </is>
      </c>
      <c r="E3283" t="inlineStr">
        <is>
          <t>FLEN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12277-2022</t>
        </is>
      </c>
      <c r="B3284" s="1" t="n">
        <v>44637</v>
      </c>
      <c r="C3284" s="1" t="n">
        <v>45182</v>
      </c>
      <c r="D3284" t="inlineStr">
        <is>
          <t>SÖDERMANLANDS LÄN</t>
        </is>
      </c>
      <c r="E3284" t="inlineStr">
        <is>
          <t>STRÄNGNÄS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12303-2022</t>
        </is>
      </c>
      <c r="B3285" s="1" t="n">
        <v>44637</v>
      </c>
      <c r="C3285" s="1" t="n">
        <v>45182</v>
      </c>
      <c r="D3285" t="inlineStr">
        <is>
          <t>SÖDERMANLANDS LÄN</t>
        </is>
      </c>
      <c r="E3285" t="inlineStr">
        <is>
          <t>FLEN</t>
        </is>
      </c>
      <c r="G3285" t="n">
        <v>1.4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12306-2022</t>
        </is>
      </c>
      <c r="B3286" s="1" t="n">
        <v>44637</v>
      </c>
      <c r="C3286" s="1" t="n">
        <v>45182</v>
      </c>
      <c r="D3286" t="inlineStr">
        <is>
          <t>SÖDERMANLANDS LÄN</t>
        </is>
      </c>
      <c r="E3286" t="inlineStr">
        <is>
          <t>FLEN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12547-2022</t>
        </is>
      </c>
      <c r="B3287" s="1" t="n">
        <v>44638</v>
      </c>
      <c r="C3287" s="1" t="n">
        <v>45182</v>
      </c>
      <c r="D3287" t="inlineStr">
        <is>
          <t>SÖDERMANLANDS LÄN</t>
        </is>
      </c>
      <c r="E3287" t="inlineStr">
        <is>
          <t>ESKILSTUNA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12633-2022</t>
        </is>
      </c>
      <c r="B3288" s="1" t="n">
        <v>44638</v>
      </c>
      <c r="C3288" s="1" t="n">
        <v>45182</v>
      </c>
      <c r="D3288" t="inlineStr">
        <is>
          <t>SÖDERMANLANDS LÄN</t>
        </is>
      </c>
      <c r="E3288" t="inlineStr">
        <is>
          <t>KATRINEHOLM</t>
        </is>
      </c>
      <c r="G3288" t="n">
        <v>6.4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12608-2022</t>
        </is>
      </c>
      <c r="B3289" s="1" t="n">
        <v>44640</v>
      </c>
      <c r="C3289" s="1" t="n">
        <v>45182</v>
      </c>
      <c r="D3289" t="inlineStr">
        <is>
          <t>SÖDERMANLANDS LÄN</t>
        </is>
      </c>
      <c r="E3289" t="inlineStr">
        <is>
          <t>FLEN</t>
        </is>
      </c>
      <c r="G3289" t="n">
        <v>1.9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12658-2022</t>
        </is>
      </c>
      <c r="B3290" s="1" t="n">
        <v>44641</v>
      </c>
      <c r="C3290" s="1" t="n">
        <v>45182</v>
      </c>
      <c r="D3290" t="inlineStr">
        <is>
          <t>SÖDERMANLANDS LÄN</t>
        </is>
      </c>
      <c r="E3290" t="inlineStr">
        <is>
          <t>KATRINEHOLM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12685-2022</t>
        </is>
      </c>
      <c r="B3291" s="1" t="n">
        <v>44641</v>
      </c>
      <c r="C3291" s="1" t="n">
        <v>45182</v>
      </c>
      <c r="D3291" t="inlineStr">
        <is>
          <t>SÖDERMANLANDS LÄN</t>
        </is>
      </c>
      <c r="E3291" t="inlineStr">
        <is>
          <t>STRÄNGNÄS</t>
        </is>
      </c>
      <c r="G3291" t="n">
        <v>6.9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12872-2022</t>
        </is>
      </c>
      <c r="B3292" s="1" t="n">
        <v>44642</v>
      </c>
      <c r="C3292" s="1" t="n">
        <v>45182</v>
      </c>
      <c r="D3292" t="inlineStr">
        <is>
          <t>SÖDERMANLANDS LÄN</t>
        </is>
      </c>
      <c r="E3292" t="inlineStr">
        <is>
          <t>ESKILSTUNA</t>
        </is>
      </c>
      <c r="F3292" t="inlineStr">
        <is>
          <t>Allmännings- och besparingsskogar</t>
        </is>
      </c>
      <c r="G3292" t="n">
        <v>4.2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13529-2022</t>
        </is>
      </c>
      <c r="B3293" s="1" t="n">
        <v>44643</v>
      </c>
      <c r="C3293" s="1" t="n">
        <v>45182</v>
      </c>
      <c r="D3293" t="inlineStr">
        <is>
          <t>SÖDERMANLANDS LÄN</t>
        </is>
      </c>
      <c r="E3293" t="inlineStr">
        <is>
          <t>FLEN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12975-2022</t>
        </is>
      </c>
      <c r="B3294" s="1" t="n">
        <v>44643</v>
      </c>
      <c r="C3294" s="1" t="n">
        <v>45182</v>
      </c>
      <c r="D3294" t="inlineStr">
        <is>
          <t>SÖDERMANLANDS LÄN</t>
        </is>
      </c>
      <c r="E3294" t="inlineStr">
        <is>
          <t>KATRINEHOLM</t>
        </is>
      </c>
      <c r="G3294" t="n">
        <v>2.4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13533-2022</t>
        </is>
      </c>
      <c r="B3295" s="1" t="n">
        <v>44643</v>
      </c>
      <c r="C3295" s="1" t="n">
        <v>45182</v>
      </c>
      <c r="D3295" t="inlineStr">
        <is>
          <t>SÖDERMANLANDS LÄN</t>
        </is>
      </c>
      <c r="E3295" t="inlineStr">
        <is>
          <t>FLEN</t>
        </is>
      </c>
      <c r="G3295" t="n">
        <v>2.2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13544-2022</t>
        </is>
      </c>
      <c r="B3296" s="1" t="n">
        <v>44643</v>
      </c>
      <c r="C3296" s="1" t="n">
        <v>45182</v>
      </c>
      <c r="D3296" t="inlineStr">
        <is>
          <t>SÖDERMANLANDS LÄN</t>
        </is>
      </c>
      <c r="E3296" t="inlineStr">
        <is>
          <t>FLEN</t>
        </is>
      </c>
      <c r="G3296" t="n">
        <v>1.8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13613-2022</t>
        </is>
      </c>
      <c r="B3297" s="1" t="n">
        <v>44643</v>
      </c>
      <c r="C3297" s="1" t="n">
        <v>45182</v>
      </c>
      <c r="D3297" t="inlineStr">
        <is>
          <t>SÖDERMANLANDS LÄN</t>
        </is>
      </c>
      <c r="E3297" t="inlineStr">
        <is>
          <t>ESKILSTUNA</t>
        </is>
      </c>
      <c r="G3297" t="n">
        <v>0.8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13188-2022</t>
        </is>
      </c>
      <c r="B3298" s="1" t="n">
        <v>44644</v>
      </c>
      <c r="C3298" s="1" t="n">
        <v>45182</v>
      </c>
      <c r="D3298" t="inlineStr">
        <is>
          <t>SÖDERMANLANDS LÄN</t>
        </is>
      </c>
      <c r="E3298" t="inlineStr">
        <is>
          <t>STRÄNGNÄS</t>
        </is>
      </c>
      <c r="G3298" t="n">
        <v>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13198-2022</t>
        </is>
      </c>
      <c r="B3299" s="1" t="n">
        <v>44644</v>
      </c>
      <c r="C3299" s="1" t="n">
        <v>45182</v>
      </c>
      <c r="D3299" t="inlineStr">
        <is>
          <t>SÖDERMANLANDS LÄN</t>
        </is>
      </c>
      <c r="E3299" t="inlineStr">
        <is>
          <t>KATRINEHOLM</t>
        </is>
      </c>
      <c r="G3299" t="n">
        <v>3.2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13259-2022</t>
        </is>
      </c>
      <c r="B3300" s="1" t="n">
        <v>44644</v>
      </c>
      <c r="C3300" s="1" t="n">
        <v>45182</v>
      </c>
      <c r="D3300" t="inlineStr">
        <is>
          <t>SÖDERMANLANDS LÄN</t>
        </is>
      </c>
      <c r="E3300" t="inlineStr">
        <is>
          <t>STRÄNGNÄS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13176-2022</t>
        </is>
      </c>
      <c r="B3301" s="1" t="n">
        <v>44644</v>
      </c>
      <c r="C3301" s="1" t="n">
        <v>45182</v>
      </c>
      <c r="D3301" t="inlineStr">
        <is>
          <t>SÖDERMANLANDS LÄN</t>
        </is>
      </c>
      <c r="E3301" t="inlineStr">
        <is>
          <t>ESKILSTUNA</t>
        </is>
      </c>
      <c r="G3301" t="n">
        <v>3.6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13542-2022</t>
        </is>
      </c>
      <c r="B3302" s="1" t="n">
        <v>44648</v>
      </c>
      <c r="C3302" s="1" t="n">
        <v>45182</v>
      </c>
      <c r="D3302" t="inlineStr">
        <is>
          <t>SÖDERMANLANDS LÄN</t>
        </is>
      </c>
      <c r="E3302" t="inlineStr">
        <is>
          <t>NYKÖPING</t>
        </is>
      </c>
      <c r="G3302" t="n">
        <v>3.5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13559-2022</t>
        </is>
      </c>
      <c r="B3303" s="1" t="n">
        <v>44648</v>
      </c>
      <c r="C3303" s="1" t="n">
        <v>45182</v>
      </c>
      <c r="D3303" t="inlineStr">
        <is>
          <t>SÖDERMANLANDS LÄN</t>
        </is>
      </c>
      <c r="E3303" t="inlineStr">
        <is>
          <t>NYKÖPING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13587-2022</t>
        </is>
      </c>
      <c r="B3304" s="1" t="n">
        <v>44648</v>
      </c>
      <c r="C3304" s="1" t="n">
        <v>45182</v>
      </c>
      <c r="D3304" t="inlineStr">
        <is>
          <t>SÖDERMANLANDS LÄN</t>
        </is>
      </c>
      <c r="E3304" t="inlineStr">
        <is>
          <t>FLEN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13621-2022</t>
        </is>
      </c>
      <c r="B3305" s="1" t="n">
        <v>44648</v>
      </c>
      <c r="C3305" s="1" t="n">
        <v>45182</v>
      </c>
      <c r="D3305" t="inlineStr">
        <is>
          <t>SÖDERMANLANDS LÄN</t>
        </is>
      </c>
      <c r="E3305" t="inlineStr">
        <is>
          <t>ESKILSTUNA</t>
        </is>
      </c>
      <c r="G3305" t="n">
        <v>0.2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13861-2022</t>
        </is>
      </c>
      <c r="B3306" s="1" t="n">
        <v>44649</v>
      </c>
      <c r="C3306" s="1" t="n">
        <v>45182</v>
      </c>
      <c r="D3306" t="inlineStr">
        <is>
          <t>SÖDERMANLANDS LÄN</t>
        </is>
      </c>
      <c r="E3306" t="inlineStr">
        <is>
          <t>NYKÖPING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13858-2022</t>
        </is>
      </c>
      <c r="B3307" s="1" t="n">
        <v>44649</v>
      </c>
      <c r="C3307" s="1" t="n">
        <v>45182</v>
      </c>
      <c r="D3307" t="inlineStr">
        <is>
          <t>SÖDERMANLANDS LÄN</t>
        </is>
      </c>
      <c r="E3307" t="inlineStr">
        <is>
          <t>NYKÖPING</t>
        </is>
      </c>
      <c r="G3307" t="n">
        <v>1.9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13860-2022</t>
        </is>
      </c>
      <c r="B3308" s="1" t="n">
        <v>44649</v>
      </c>
      <c r="C3308" s="1" t="n">
        <v>45182</v>
      </c>
      <c r="D3308" t="inlineStr">
        <is>
          <t>SÖDERMANLANDS LÄN</t>
        </is>
      </c>
      <c r="E3308" t="inlineStr">
        <is>
          <t>KATRINEHOLM</t>
        </is>
      </c>
      <c r="G3308" t="n">
        <v>2.6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13963-2022</t>
        </is>
      </c>
      <c r="B3309" s="1" t="n">
        <v>44650</v>
      </c>
      <c r="C3309" s="1" t="n">
        <v>45182</v>
      </c>
      <c r="D3309" t="inlineStr">
        <is>
          <t>SÖDERMANLANDS LÄN</t>
        </is>
      </c>
      <c r="E3309" t="inlineStr">
        <is>
          <t>NYKÖPING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14024-2022</t>
        </is>
      </c>
      <c r="B3310" s="1" t="n">
        <v>44650</v>
      </c>
      <c r="C3310" s="1" t="n">
        <v>45182</v>
      </c>
      <c r="D3310" t="inlineStr">
        <is>
          <t>SÖDERMANLANDS LÄN</t>
        </is>
      </c>
      <c r="E3310" t="inlineStr">
        <is>
          <t>STRÄNGNÄS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14020-2022</t>
        </is>
      </c>
      <c r="B3311" s="1" t="n">
        <v>44650</v>
      </c>
      <c r="C3311" s="1" t="n">
        <v>45182</v>
      </c>
      <c r="D3311" t="inlineStr">
        <is>
          <t>SÖDERMANLANDS LÄN</t>
        </is>
      </c>
      <c r="E3311" t="inlineStr">
        <is>
          <t>STRÄNGNÄS</t>
        </is>
      </c>
      <c r="G3311" t="n">
        <v>1.8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13959-2022</t>
        </is>
      </c>
      <c r="B3312" s="1" t="n">
        <v>44650</v>
      </c>
      <c r="C3312" s="1" t="n">
        <v>45182</v>
      </c>
      <c r="D3312" t="inlineStr">
        <is>
          <t>SÖDERMANLANDS LÄN</t>
        </is>
      </c>
      <c r="E3312" t="inlineStr">
        <is>
          <t>KATRINEHOLM</t>
        </is>
      </c>
      <c r="G3312" t="n">
        <v>2.4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14078-2022</t>
        </is>
      </c>
      <c r="B3313" s="1" t="n">
        <v>44650</v>
      </c>
      <c r="C3313" s="1" t="n">
        <v>45182</v>
      </c>
      <c r="D3313" t="inlineStr">
        <is>
          <t>SÖDERMANLANDS LÄN</t>
        </is>
      </c>
      <c r="E3313" t="inlineStr">
        <is>
          <t>GNESTA</t>
        </is>
      </c>
      <c r="G3313" t="n">
        <v>6.7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14087-2022</t>
        </is>
      </c>
      <c r="B3314" s="1" t="n">
        <v>44651</v>
      </c>
      <c r="C3314" s="1" t="n">
        <v>45182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4.1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14154-2022</t>
        </is>
      </c>
      <c r="B3315" s="1" t="n">
        <v>44651</v>
      </c>
      <c r="C3315" s="1" t="n">
        <v>45182</v>
      </c>
      <c r="D3315" t="inlineStr">
        <is>
          <t>SÖDERMANLANDS LÄN</t>
        </is>
      </c>
      <c r="E3315" t="inlineStr">
        <is>
          <t>VINGÅKER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14370-2022</t>
        </is>
      </c>
      <c r="B3316" s="1" t="n">
        <v>44652</v>
      </c>
      <c r="C3316" s="1" t="n">
        <v>45182</v>
      </c>
      <c r="D3316" t="inlineStr">
        <is>
          <t>SÖDERMANLANDS LÄN</t>
        </is>
      </c>
      <c r="E3316" t="inlineStr">
        <is>
          <t>NYKÖPING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14470-2022</t>
        </is>
      </c>
      <c r="B3317" s="1" t="n">
        <v>44654</v>
      </c>
      <c r="C3317" s="1" t="n">
        <v>45182</v>
      </c>
      <c r="D3317" t="inlineStr">
        <is>
          <t>SÖDERMANLANDS LÄN</t>
        </is>
      </c>
      <c r="E3317" t="inlineStr">
        <is>
          <t>ESKILSTUNA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14522-2022</t>
        </is>
      </c>
      <c r="B3318" s="1" t="n">
        <v>44655</v>
      </c>
      <c r="C3318" s="1" t="n">
        <v>45182</v>
      </c>
      <c r="D3318" t="inlineStr">
        <is>
          <t>SÖDERMANLANDS LÄN</t>
        </is>
      </c>
      <c r="E3318" t="inlineStr">
        <is>
          <t>VINGÅKER</t>
        </is>
      </c>
      <c r="F3318" t="inlineStr">
        <is>
          <t>Kommuner</t>
        </is>
      </c>
      <c r="G3318" t="n">
        <v>3.5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14590-2022</t>
        </is>
      </c>
      <c r="B3319" s="1" t="n">
        <v>44655</v>
      </c>
      <c r="C3319" s="1" t="n">
        <v>45182</v>
      </c>
      <c r="D3319" t="inlineStr">
        <is>
          <t>SÖDERMANLANDS LÄN</t>
        </is>
      </c>
      <c r="E3319" t="inlineStr">
        <is>
          <t>STRÄNGNÄS</t>
        </is>
      </c>
      <c r="G3319" t="n">
        <v>1.9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14633-2022</t>
        </is>
      </c>
      <c r="B3320" s="1" t="n">
        <v>44655</v>
      </c>
      <c r="C3320" s="1" t="n">
        <v>45182</v>
      </c>
      <c r="D3320" t="inlineStr">
        <is>
          <t>SÖDERMANLANDS LÄN</t>
        </is>
      </c>
      <c r="E3320" t="inlineStr">
        <is>
          <t>ESKILSTUNA</t>
        </is>
      </c>
      <c r="F3320" t="inlineStr">
        <is>
          <t>Kyrkan</t>
        </is>
      </c>
      <c r="G3320" t="n">
        <v>20.8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14517-2022</t>
        </is>
      </c>
      <c r="B3321" s="1" t="n">
        <v>44655</v>
      </c>
      <c r="C3321" s="1" t="n">
        <v>45182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14534-2022</t>
        </is>
      </c>
      <c r="B3322" s="1" t="n">
        <v>44655</v>
      </c>
      <c r="C3322" s="1" t="n">
        <v>45182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14532-2022</t>
        </is>
      </c>
      <c r="B3323" s="1" t="n">
        <v>44655</v>
      </c>
      <c r="C3323" s="1" t="n">
        <v>45182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14537-2022</t>
        </is>
      </c>
      <c r="B3324" s="1" t="n">
        <v>44655</v>
      </c>
      <c r="C3324" s="1" t="n">
        <v>45182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14828-2022</t>
        </is>
      </c>
      <c r="B3325" s="1" t="n">
        <v>44656</v>
      </c>
      <c r="C3325" s="1" t="n">
        <v>45182</v>
      </c>
      <c r="D3325" t="inlineStr">
        <is>
          <t>SÖDERMANLANDS LÄN</t>
        </is>
      </c>
      <c r="E3325" t="inlineStr">
        <is>
          <t>NYKÖPING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15105-2022</t>
        </is>
      </c>
      <c r="B3326" s="1" t="n">
        <v>44657</v>
      </c>
      <c r="C3326" s="1" t="n">
        <v>45182</v>
      </c>
      <c r="D3326" t="inlineStr">
        <is>
          <t>SÖDERMANLANDS LÄN</t>
        </is>
      </c>
      <c r="E3326" t="inlineStr">
        <is>
          <t>GNESTA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15147-2022</t>
        </is>
      </c>
      <c r="B3327" s="1" t="n">
        <v>44658</v>
      </c>
      <c r="C3327" s="1" t="n">
        <v>45182</v>
      </c>
      <c r="D3327" t="inlineStr">
        <is>
          <t>SÖDERMANLANDS LÄN</t>
        </is>
      </c>
      <c r="E3327" t="inlineStr">
        <is>
          <t>NYKÖPING</t>
        </is>
      </c>
      <c r="F3327" t="inlineStr">
        <is>
          <t>Allmännings- och besparingsskogar</t>
        </is>
      </c>
      <c r="G3327" t="n">
        <v>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15247-2022</t>
        </is>
      </c>
      <c r="B3328" s="1" t="n">
        <v>44658</v>
      </c>
      <c r="C3328" s="1" t="n">
        <v>45182</v>
      </c>
      <c r="D3328" t="inlineStr">
        <is>
          <t>SÖDERMANLANDS LÄN</t>
        </is>
      </c>
      <c r="E3328" t="inlineStr">
        <is>
          <t>ESKILSTUNA</t>
        </is>
      </c>
      <c r="F3328" t="inlineStr">
        <is>
          <t>Allmännings- och besparingsskogar</t>
        </is>
      </c>
      <c r="G3328" t="n">
        <v>4.2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15108-2022</t>
        </is>
      </c>
      <c r="B3329" s="1" t="n">
        <v>44658</v>
      </c>
      <c r="C3329" s="1" t="n">
        <v>45182</v>
      </c>
      <c r="D3329" t="inlineStr">
        <is>
          <t>SÖDERMANLANDS LÄN</t>
        </is>
      </c>
      <c r="E3329" t="inlineStr">
        <is>
          <t>KATRINEHOLM</t>
        </is>
      </c>
      <c r="G3329" t="n">
        <v>2.5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15397-2022</t>
        </is>
      </c>
      <c r="B3330" s="1" t="n">
        <v>44659</v>
      </c>
      <c r="C3330" s="1" t="n">
        <v>45182</v>
      </c>
      <c r="D3330" t="inlineStr">
        <is>
          <t>SÖDERMANLANDS LÄN</t>
        </is>
      </c>
      <c r="E3330" t="inlineStr">
        <is>
          <t>STRÄNGNÄS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15291-2022</t>
        </is>
      </c>
      <c r="B3331" s="1" t="n">
        <v>44659</v>
      </c>
      <c r="C3331" s="1" t="n">
        <v>45182</v>
      </c>
      <c r="D3331" t="inlineStr">
        <is>
          <t>SÖDERMANLANDS LÄN</t>
        </is>
      </c>
      <c r="E3331" t="inlineStr">
        <is>
          <t>GNESTA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15404-2022</t>
        </is>
      </c>
      <c r="B3332" s="1" t="n">
        <v>44659</v>
      </c>
      <c r="C3332" s="1" t="n">
        <v>45182</v>
      </c>
      <c r="D3332" t="inlineStr">
        <is>
          <t>SÖDERMANLANDS LÄN</t>
        </is>
      </c>
      <c r="E3332" t="inlineStr">
        <is>
          <t>NYKÖPING</t>
        </is>
      </c>
      <c r="G3332" t="n">
        <v>2.5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15391-2022</t>
        </is>
      </c>
      <c r="B3333" s="1" t="n">
        <v>44659</v>
      </c>
      <c r="C3333" s="1" t="n">
        <v>45182</v>
      </c>
      <c r="D3333" t="inlineStr">
        <is>
          <t>SÖDERMANLANDS LÄN</t>
        </is>
      </c>
      <c r="E3333" t="inlineStr">
        <is>
          <t>NYKÖPING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15399-2022</t>
        </is>
      </c>
      <c r="B3334" s="1" t="n">
        <v>44659</v>
      </c>
      <c r="C3334" s="1" t="n">
        <v>45182</v>
      </c>
      <c r="D3334" t="inlineStr">
        <is>
          <t>SÖDERMANLANDS LÄN</t>
        </is>
      </c>
      <c r="E3334" t="inlineStr">
        <is>
          <t>KATRINEHOLM</t>
        </is>
      </c>
      <c r="G3334" t="n">
        <v>5.6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15520-2022</t>
        </is>
      </c>
      <c r="B3335" s="1" t="n">
        <v>44662</v>
      </c>
      <c r="C3335" s="1" t="n">
        <v>45182</v>
      </c>
      <c r="D3335" t="inlineStr">
        <is>
          <t>SÖDERMANLANDS LÄN</t>
        </is>
      </c>
      <c r="E3335" t="inlineStr">
        <is>
          <t>ESKILSTUNA</t>
        </is>
      </c>
      <c r="G3335" t="n">
        <v>2.8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15466-2022</t>
        </is>
      </c>
      <c r="B3336" s="1" t="n">
        <v>44662</v>
      </c>
      <c r="C3336" s="1" t="n">
        <v>45182</v>
      </c>
      <c r="D3336" t="inlineStr">
        <is>
          <t>SÖDERMANLANDS LÄN</t>
        </is>
      </c>
      <c r="E3336" t="inlineStr">
        <is>
          <t>NYKÖPING</t>
        </is>
      </c>
      <c r="G3336" t="n">
        <v>0.3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15542-2022</t>
        </is>
      </c>
      <c r="B3337" s="1" t="n">
        <v>44662</v>
      </c>
      <c r="C3337" s="1" t="n">
        <v>45182</v>
      </c>
      <c r="D3337" t="inlineStr">
        <is>
          <t>SÖDERMANLANDS LÄN</t>
        </is>
      </c>
      <c r="E3337" t="inlineStr">
        <is>
          <t>TROSA</t>
        </is>
      </c>
      <c r="G3337" t="n">
        <v>6.4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15564-2022</t>
        </is>
      </c>
      <c r="B3338" s="1" t="n">
        <v>44662</v>
      </c>
      <c r="C3338" s="1" t="n">
        <v>45182</v>
      </c>
      <c r="D3338" t="inlineStr">
        <is>
          <t>SÖDERMANLANDS LÄN</t>
        </is>
      </c>
      <c r="E3338" t="inlineStr">
        <is>
          <t>ESKILSTUNA</t>
        </is>
      </c>
      <c r="G3338" t="n">
        <v>3.6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15578-2022</t>
        </is>
      </c>
      <c r="B3339" s="1" t="n">
        <v>44662</v>
      </c>
      <c r="C3339" s="1" t="n">
        <v>45182</v>
      </c>
      <c r="D3339" t="inlineStr">
        <is>
          <t>SÖDERMANLANDS LÄN</t>
        </is>
      </c>
      <c r="E3339" t="inlineStr">
        <is>
          <t>ESKILSTUNA</t>
        </is>
      </c>
      <c r="G3339" t="n">
        <v>20.3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15814-2022</t>
        </is>
      </c>
      <c r="B3340" s="1" t="n">
        <v>44664</v>
      </c>
      <c r="C3340" s="1" t="n">
        <v>45182</v>
      </c>
      <c r="D3340" t="inlineStr">
        <is>
          <t>SÖDERMANLANDS LÄN</t>
        </is>
      </c>
      <c r="E3340" t="inlineStr">
        <is>
          <t>STRÄNGNÄS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15917-2022</t>
        </is>
      </c>
      <c r="B3341" s="1" t="n">
        <v>44664</v>
      </c>
      <c r="C3341" s="1" t="n">
        <v>45182</v>
      </c>
      <c r="D3341" t="inlineStr">
        <is>
          <t>SÖDERMANLANDS LÄN</t>
        </is>
      </c>
      <c r="E3341" t="inlineStr">
        <is>
          <t>ESKILSTUNA</t>
        </is>
      </c>
      <c r="G3341" t="n">
        <v>1.6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15954-2022</t>
        </is>
      </c>
      <c r="B3342" s="1" t="n">
        <v>44664</v>
      </c>
      <c r="C3342" s="1" t="n">
        <v>45182</v>
      </c>
      <c r="D3342" t="inlineStr">
        <is>
          <t>SÖDERMANLANDS LÄN</t>
        </is>
      </c>
      <c r="E3342" t="inlineStr">
        <is>
          <t>NYKÖPING</t>
        </is>
      </c>
      <c r="F3342" t="inlineStr">
        <is>
          <t>Kyrkan</t>
        </is>
      </c>
      <c r="G3342" t="n">
        <v>20.8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15897-2022</t>
        </is>
      </c>
      <c r="B3343" s="1" t="n">
        <v>44664</v>
      </c>
      <c r="C3343" s="1" t="n">
        <v>45182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2.6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15892-2022</t>
        </is>
      </c>
      <c r="B3344" s="1" t="n">
        <v>44664</v>
      </c>
      <c r="C3344" s="1" t="n">
        <v>45182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0.5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15963-2022</t>
        </is>
      </c>
      <c r="B3345" s="1" t="n">
        <v>44664</v>
      </c>
      <c r="C3345" s="1" t="n">
        <v>45182</v>
      </c>
      <c r="D3345" t="inlineStr">
        <is>
          <t>SÖDERMANLANDS LÄN</t>
        </is>
      </c>
      <c r="E3345" t="inlineStr">
        <is>
          <t>ESKILSTUNA</t>
        </is>
      </c>
      <c r="F3345" t="inlineStr">
        <is>
          <t>Allmännings- och besparingsskogar</t>
        </is>
      </c>
      <c r="G3345" t="n">
        <v>6.7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15910-2022</t>
        </is>
      </c>
      <c r="B3346" s="1" t="n">
        <v>44664</v>
      </c>
      <c r="C3346" s="1" t="n">
        <v>45182</v>
      </c>
      <c r="D3346" t="inlineStr">
        <is>
          <t>SÖDERMANLANDS LÄN</t>
        </is>
      </c>
      <c r="E3346" t="inlineStr">
        <is>
          <t>KATRINEHOLM</t>
        </is>
      </c>
      <c r="G3346" t="n">
        <v>5.6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16163-2022</t>
        </is>
      </c>
      <c r="B3347" s="1" t="n">
        <v>44667</v>
      </c>
      <c r="C3347" s="1" t="n">
        <v>45182</v>
      </c>
      <c r="D3347" t="inlineStr">
        <is>
          <t>SÖDERMANLANDS LÄN</t>
        </is>
      </c>
      <c r="E3347" t="inlineStr">
        <is>
          <t>FLEN</t>
        </is>
      </c>
      <c r="G3347" t="n">
        <v>4.7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16382-2022</t>
        </is>
      </c>
      <c r="B3348" s="1" t="n">
        <v>44671</v>
      </c>
      <c r="C3348" s="1" t="n">
        <v>45182</v>
      </c>
      <c r="D3348" t="inlineStr">
        <is>
          <t>SÖDERMANLANDS LÄN</t>
        </is>
      </c>
      <c r="E3348" t="inlineStr">
        <is>
          <t>FLEN</t>
        </is>
      </c>
      <c r="F3348" t="inlineStr">
        <is>
          <t>Kyrkan</t>
        </is>
      </c>
      <c r="G3348" t="n">
        <v>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16391-2022</t>
        </is>
      </c>
      <c r="B3349" s="1" t="n">
        <v>44671</v>
      </c>
      <c r="C3349" s="1" t="n">
        <v>45182</v>
      </c>
      <c r="D3349" t="inlineStr">
        <is>
          <t>SÖDERMANLANDS LÄN</t>
        </is>
      </c>
      <c r="E3349" t="inlineStr">
        <is>
          <t>ESKILSTUNA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16414-2022</t>
        </is>
      </c>
      <c r="B3350" s="1" t="n">
        <v>44671</v>
      </c>
      <c r="C3350" s="1" t="n">
        <v>45182</v>
      </c>
      <c r="D3350" t="inlineStr">
        <is>
          <t>SÖDERMANLANDS LÄN</t>
        </is>
      </c>
      <c r="E3350" t="inlineStr">
        <is>
          <t>STRÄNGNÄS</t>
        </is>
      </c>
      <c r="F3350" t="inlineStr">
        <is>
          <t>Övriga Aktiebolag</t>
        </is>
      </c>
      <c r="G3350" t="n">
        <v>3.6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16493-2022</t>
        </is>
      </c>
      <c r="B3351" s="1" t="n">
        <v>44671</v>
      </c>
      <c r="C3351" s="1" t="n">
        <v>45182</v>
      </c>
      <c r="D3351" t="inlineStr">
        <is>
          <t>SÖDERMANLANDS LÄN</t>
        </is>
      </c>
      <c r="E3351" t="inlineStr">
        <is>
          <t>VINGÅKER</t>
        </is>
      </c>
      <c r="G3351" t="n">
        <v>1.7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16395-2022</t>
        </is>
      </c>
      <c r="B3352" s="1" t="n">
        <v>44671</v>
      </c>
      <c r="C3352" s="1" t="n">
        <v>45182</v>
      </c>
      <c r="D3352" t="inlineStr">
        <is>
          <t>SÖDERMANLANDS LÄN</t>
        </is>
      </c>
      <c r="E3352" t="inlineStr">
        <is>
          <t>ESKILSTUNA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16411-2022</t>
        </is>
      </c>
      <c r="B3353" s="1" t="n">
        <v>44671</v>
      </c>
      <c r="C3353" s="1" t="n">
        <v>45182</v>
      </c>
      <c r="D3353" t="inlineStr">
        <is>
          <t>SÖDERMANLANDS LÄN</t>
        </is>
      </c>
      <c r="E3353" t="inlineStr">
        <is>
          <t>STRÄNGNÄS</t>
        </is>
      </c>
      <c r="G3353" t="n">
        <v>6.3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16495-2022</t>
        </is>
      </c>
      <c r="B3354" s="1" t="n">
        <v>44671</v>
      </c>
      <c r="C3354" s="1" t="n">
        <v>45182</v>
      </c>
      <c r="D3354" t="inlineStr">
        <is>
          <t>SÖDERMANLANDS LÄN</t>
        </is>
      </c>
      <c r="E3354" t="inlineStr">
        <is>
          <t>VINGÅKER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16716-2022</t>
        </is>
      </c>
      <c r="B3355" s="1" t="n">
        <v>44673</v>
      </c>
      <c r="C3355" s="1" t="n">
        <v>45182</v>
      </c>
      <c r="D3355" t="inlineStr">
        <is>
          <t>SÖDERMANLANDS LÄN</t>
        </is>
      </c>
      <c r="E3355" t="inlineStr">
        <is>
          <t>NYKÖPING</t>
        </is>
      </c>
      <c r="G3355" t="n">
        <v>5.1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16730-2022</t>
        </is>
      </c>
      <c r="B3356" s="1" t="n">
        <v>44673</v>
      </c>
      <c r="C3356" s="1" t="n">
        <v>45182</v>
      </c>
      <c r="D3356" t="inlineStr">
        <is>
          <t>SÖDERMANLANDS LÄN</t>
        </is>
      </c>
      <c r="E3356" t="inlineStr">
        <is>
          <t>ESKILSTUNA</t>
        </is>
      </c>
      <c r="G3356" t="n">
        <v>0.7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16731-2022</t>
        </is>
      </c>
      <c r="B3357" s="1" t="n">
        <v>44673</v>
      </c>
      <c r="C3357" s="1" t="n">
        <v>45182</v>
      </c>
      <c r="D3357" t="inlineStr">
        <is>
          <t>SÖDERMANLANDS LÄN</t>
        </is>
      </c>
      <c r="E3357" t="inlineStr">
        <is>
          <t>ESKILSTUNA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17066-2022</t>
        </is>
      </c>
      <c r="B3358" s="1" t="n">
        <v>44676</v>
      </c>
      <c r="C3358" s="1" t="n">
        <v>45182</v>
      </c>
      <c r="D3358" t="inlineStr">
        <is>
          <t>SÖDERMANLANDS LÄN</t>
        </is>
      </c>
      <c r="E3358" t="inlineStr">
        <is>
          <t>STRÄNGNÄS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16906-2022</t>
        </is>
      </c>
      <c r="B3359" s="1" t="n">
        <v>44676</v>
      </c>
      <c r="C3359" s="1" t="n">
        <v>45182</v>
      </c>
      <c r="D3359" t="inlineStr">
        <is>
          <t>SÖDERMANLANDS LÄN</t>
        </is>
      </c>
      <c r="E3359" t="inlineStr">
        <is>
          <t>NYKÖPING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16937-2022</t>
        </is>
      </c>
      <c r="B3360" s="1" t="n">
        <v>44676</v>
      </c>
      <c r="C3360" s="1" t="n">
        <v>45182</v>
      </c>
      <c r="D3360" t="inlineStr">
        <is>
          <t>SÖDERMANLANDS LÄN</t>
        </is>
      </c>
      <c r="E3360" t="inlineStr">
        <is>
          <t>FLEN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17304-2022</t>
        </is>
      </c>
      <c r="B3361" s="1" t="n">
        <v>44678</v>
      </c>
      <c r="C3361" s="1" t="n">
        <v>45182</v>
      </c>
      <c r="D3361" t="inlineStr">
        <is>
          <t>SÖDERMANLANDS LÄN</t>
        </is>
      </c>
      <c r="E3361" t="inlineStr">
        <is>
          <t>GNESTA</t>
        </is>
      </c>
      <c r="G3361" t="n">
        <v>4.9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17435-2022</t>
        </is>
      </c>
      <c r="B3362" s="1" t="n">
        <v>44678</v>
      </c>
      <c r="C3362" s="1" t="n">
        <v>45182</v>
      </c>
      <c r="D3362" t="inlineStr">
        <is>
          <t>SÖDERMANLANDS LÄN</t>
        </is>
      </c>
      <c r="E3362" t="inlineStr">
        <is>
          <t>VINGÅKER</t>
        </is>
      </c>
      <c r="G3362" t="n">
        <v>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17360-2022</t>
        </is>
      </c>
      <c r="B3363" s="1" t="n">
        <v>44678</v>
      </c>
      <c r="C3363" s="1" t="n">
        <v>45182</v>
      </c>
      <c r="D3363" t="inlineStr">
        <is>
          <t>SÖDERMANLANDS LÄN</t>
        </is>
      </c>
      <c r="E3363" t="inlineStr">
        <is>
          <t>KATRINEHOLM</t>
        </is>
      </c>
      <c r="G3363" t="n">
        <v>4.5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17234-2022</t>
        </is>
      </c>
      <c r="B3364" s="1" t="n">
        <v>44678</v>
      </c>
      <c r="C3364" s="1" t="n">
        <v>45182</v>
      </c>
      <c r="D3364" t="inlineStr">
        <is>
          <t>SÖDERMANLANDS LÄN</t>
        </is>
      </c>
      <c r="E3364" t="inlineStr">
        <is>
          <t>NYKÖPING</t>
        </is>
      </c>
      <c r="G3364" t="n">
        <v>3.2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17276-2022</t>
        </is>
      </c>
      <c r="B3365" s="1" t="n">
        <v>44678</v>
      </c>
      <c r="C3365" s="1" t="n">
        <v>45182</v>
      </c>
      <c r="D3365" t="inlineStr">
        <is>
          <t>SÖDERMANLANDS LÄN</t>
        </is>
      </c>
      <c r="E3365" t="inlineStr">
        <is>
          <t>KATRINEHOLM</t>
        </is>
      </c>
      <c r="F3365" t="inlineStr">
        <is>
          <t>Övriga Aktiebolag</t>
        </is>
      </c>
      <c r="G3365" t="n">
        <v>8.5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17305-2022</t>
        </is>
      </c>
      <c r="B3366" s="1" t="n">
        <v>44678</v>
      </c>
      <c r="C3366" s="1" t="n">
        <v>45182</v>
      </c>
      <c r="D3366" t="inlineStr">
        <is>
          <t>SÖDERMANLANDS LÄN</t>
        </is>
      </c>
      <c r="E3366" t="inlineStr">
        <is>
          <t>GNESTA</t>
        </is>
      </c>
      <c r="G3366" t="n">
        <v>0.7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17370-2022</t>
        </is>
      </c>
      <c r="B3367" s="1" t="n">
        <v>44678</v>
      </c>
      <c r="C3367" s="1" t="n">
        <v>45182</v>
      </c>
      <c r="D3367" t="inlineStr">
        <is>
          <t>SÖDERMANLANDS LÄN</t>
        </is>
      </c>
      <c r="E3367" t="inlineStr">
        <is>
          <t>STRÄNGNÄS</t>
        </is>
      </c>
      <c r="G3367" t="n">
        <v>0.8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17541-2022</t>
        </is>
      </c>
      <c r="B3368" s="1" t="n">
        <v>44679</v>
      </c>
      <c r="C3368" s="1" t="n">
        <v>45182</v>
      </c>
      <c r="D3368" t="inlineStr">
        <is>
          <t>SÖDERMANLANDS LÄN</t>
        </is>
      </c>
      <c r="E3368" t="inlineStr">
        <is>
          <t>NYKÖPING</t>
        </is>
      </c>
      <c r="G3368" t="n">
        <v>0.4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17628-2022</t>
        </is>
      </c>
      <c r="B3369" s="1" t="n">
        <v>44680</v>
      </c>
      <c r="C3369" s="1" t="n">
        <v>45182</v>
      </c>
      <c r="D3369" t="inlineStr">
        <is>
          <t>SÖDERMANLANDS LÄN</t>
        </is>
      </c>
      <c r="E3369" t="inlineStr">
        <is>
          <t>VINGÅKER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17662-2022</t>
        </is>
      </c>
      <c r="B3370" s="1" t="n">
        <v>44680</v>
      </c>
      <c r="C3370" s="1" t="n">
        <v>45182</v>
      </c>
      <c r="D3370" t="inlineStr">
        <is>
          <t>SÖDERMANLANDS LÄN</t>
        </is>
      </c>
      <c r="E3370" t="inlineStr">
        <is>
          <t>FLEN</t>
        </is>
      </c>
      <c r="G3370" t="n">
        <v>1.7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17600-2022</t>
        </is>
      </c>
      <c r="B3371" s="1" t="n">
        <v>44680</v>
      </c>
      <c r="C3371" s="1" t="n">
        <v>45182</v>
      </c>
      <c r="D3371" t="inlineStr">
        <is>
          <t>SÖDERMANLANDS LÄN</t>
        </is>
      </c>
      <c r="E3371" t="inlineStr">
        <is>
          <t>TROSA</t>
        </is>
      </c>
      <c r="G3371" t="n">
        <v>7.7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17800-2022</t>
        </is>
      </c>
      <c r="B3372" s="1" t="n">
        <v>44683</v>
      </c>
      <c r="C3372" s="1" t="n">
        <v>45182</v>
      </c>
      <c r="D3372" t="inlineStr">
        <is>
          <t>SÖDERMANLANDS LÄN</t>
        </is>
      </c>
      <c r="E3372" t="inlineStr">
        <is>
          <t>KATRINEHOLM</t>
        </is>
      </c>
      <c r="G3372" t="n">
        <v>8.1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17816-2022</t>
        </is>
      </c>
      <c r="B3373" s="1" t="n">
        <v>44683</v>
      </c>
      <c r="C3373" s="1" t="n">
        <v>45182</v>
      </c>
      <c r="D3373" t="inlineStr">
        <is>
          <t>SÖDERMANLANDS LÄN</t>
        </is>
      </c>
      <c r="E3373" t="inlineStr">
        <is>
          <t>ESKILSTUNA</t>
        </is>
      </c>
      <c r="G3373" t="n">
        <v>2.8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17841-2022</t>
        </is>
      </c>
      <c r="B3374" s="1" t="n">
        <v>44683</v>
      </c>
      <c r="C3374" s="1" t="n">
        <v>45182</v>
      </c>
      <c r="D3374" t="inlineStr">
        <is>
          <t>SÖDERMANLANDS LÄN</t>
        </is>
      </c>
      <c r="E3374" t="inlineStr">
        <is>
          <t>ESKILSTUNA</t>
        </is>
      </c>
      <c r="F3374" t="inlineStr">
        <is>
          <t>Allmännings- och besparingsskogar</t>
        </is>
      </c>
      <c r="G3374" t="n">
        <v>2.2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18241-2022</t>
        </is>
      </c>
      <c r="B3375" s="1" t="n">
        <v>44685</v>
      </c>
      <c r="C3375" s="1" t="n">
        <v>45182</v>
      </c>
      <c r="D3375" t="inlineStr">
        <is>
          <t>SÖDERMANLANDS LÄN</t>
        </is>
      </c>
      <c r="E3375" t="inlineStr">
        <is>
          <t>VINGÅKER</t>
        </is>
      </c>
      <c r="G3375" t="n">
        <v>2.1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18297-2022</t>
        </is>
      </c>
      <c r="B3376" s="1" t="n">
        <v>44685</v>
      </c>
      <c r="C3376" s="1" t="n">
        <v>45182</v>
      </c>
      <c r="D3376" t="inlineStr">
        <is>
          <t>SÖDERMANLANDS LÄN</t>
        </is>
      </c>
      <c r="E3376" t="inlineStr">
        <is>
          <t>VINGÅKER</t>
        </is>
      </c>
      <c r="G3376" t="n">
        <v>2.4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18252-2022</t>
        </is>
      </c>
      <c r="B3377" s="1" t="n">
        <v>44685</v>
      </c>
      <c r="C3377" s="1" t="n">
        <v>45182</v>
      </c>
      <c r="D3377" t="inlineStr">
        <is>
          <t>SÖDERMANLANDS LÄN</t>
        </is>
      </c>
      <c r="E3377" t="inlineStr">
        <is>
          <t>VINGÅKER</t>
        </is>
      </c>
      <c r="G3377" t="n">
        <v>12.7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18216-2022</t>
        </is>
      </c>
      <c r="B3378" s="1" t="n">
        <v>44685</v>
      </c>
      <c r="C3378" s="1" t="n">
        <v>45182</v>
      </c>
      <c r="D3378" t="inlineStr">
        <is>
          <t>SÖDERMANLANDS LÄN</t>
        </is>
      </c>
      <c r="E3378" t="inlineStr">
        <is>
          <t>NYKÖPING</t>
        </is>
      </c>
      <c r="F3378" t="inlineStr">
        <is>
          <t>Holmen skog AB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18293-2022</t>
        </is>
      </c>
      <c r="B3379" s="1" t="n">
        <v>44685</v>
      </c>
      <c r="C3379" s="1" t="n">
        <v>45182</v>
      </c>
      <c r="D3379" t="inlineStr">
        <is>
          <t>SÖDERMANLANDS LÄN</t>
        </is>
      </c>
      <c r="E3379" t="inlineStr">
        <is>
          <t>VINGÅKER</t>
        </is>
      </c>
      <c r="G3379" t="n">
        <v>1.7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18780-2022</t>
        </is>
      </c>
      <c r="B3380" s="1" t="n">
        <v>44689</v>
      </c>
      <c r="C3380" s="1" t="n">
        <v>45182</v>
      </c>
      <c r="D3380" t="inlineStr">
        <is>
          <t>SÖDERMANLANDS LÄN</t>
        </is>
      </c>
      <c r="E3380" t="inlineStr">
        <is>
          <t>ESKILSTUNA</t>
        </is>
      </c>
      <c r="G3380" t="n">
        <v>3.2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18824-2022</t>
        </is>
      </c>
      <c r="B3381" s="1" t="n">
        <v>44690</v>
      </c>
      <c r="C3381" s="1" t="n">
        <v>45182</v>
      </c>
      <c r="D3381" t="inlineStr">
        <is>
          <t>SÖDERMANLANDS LÄN</t>
        </is>
      </c>
      <c r="E3381" t="inlineStr">
        <is>
          <t>NYKÖPING</t>
        </is>
      </c>
      <c r="G3381" t="n">
        <v>1.2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18821-2022</t>
        </is>
      </c>
      <c r="B3382" s="1" t="n">
        <v>44690</v>
      </c>
      <c r="C3382" s="1" t="n">
        <v>45182</v>
      </c>
      <c r="D3382" t="inlineStr">
        <is>
          <t>SÖDERMANLANDS LÄN</t>
        </is>
      </c>
      <c r="E3382" t="inlineStr">
        <is>
          <t>NYKÖPING</t>
        </is>
      </c>
      <c r="G3382" t="n">
        <v>2.8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18827-2022</t>
        </is>
      </c>
      <c r="B3383" s="1" t="n">
        <v>44690</v>
      </c>
      <c r="C3383" s="1" t="n">
        <v>45182</v>
      </c>
      <c r="D3383" t="inlineStr">
        <is>
          <t>SÖDERMANLANDS LÄN</t>
        </is>
      </c>
      <c r="E3383" t="inlineStr">
        <is>
          <t>NYKÖPING</t>
        </is>
      </c>
      <c r="G3383" t="n">
        <v>7.9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19139-2022</t>
        </is>
      </c>
      <c r="B3384" s="1" t="n">
        <v>44691</v>
      </c>
      <c r="C3384" s="1" t="n">
        <v>45182</v>
      </c>
      <c r="D3384" t="inlineStr">
        <is>
          <t>SÖDERMANLANDS LÄN</t>
        </is>
      </c>
      <c r="E3384" t="inlineStr">
        <is>
          <t>GNESTA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19370-2022</t>
        </is>
      </c>
      <c r="B3385" s="1" t="n">
        <v>44692</v>
      </c>
      <c r="C3385" s="1" t="n">
        <v>45182</v>
      </c>
      <c r="D3385" t="inlineStr">
        <is>
          <t>SÖDERMANLANDS LÄN</t>
        </is>
      </c>
      <c r="E3385" t="inlineStr">
        <is>
          <t>VINGÅKER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19479-2022</t>
        </is>
      </c>
      <c r="B3386" s="1" t="n">
        <v>44693</v>
      </c>
      <c r="C3386" s="1" t="n">
        <v>45182</v>
      </c>
      <c r="D3386" t="inlineStr">
        <is>
          <t>SÖDERMANLANDS LÄN</t>
        </is>
      </c>
      <c r="E3386" t="inlineStr">
        <is>
          <t>KATRINEHOLM</t>
        </is>
      </c>
      <c r="G3386" t="n">
        <v>6.2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19550-2022</t>
        </is>
      </c>
      <c r="B3387" s="1" t="n">
        <v>44693</v>
      </c>
      <c r="C3387" s="1" t="n">
        <v>45182</v>
      </c>
      <c r="D3387" t="inlineStr">
        <is>
          <t>SÖDERMANLANDS LÄN</t>
        </is>
      </c>
      <c r="E3387" t="inlineStr">
        <is>
          <t>ESKILSTUNA</t>
        </is>
      </c>
      <c r="F3387" t="inlineStr">
        <is>
          <t>Allmännings- och besparingsskogar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19670-2022</t>
        </is>
      </c>
      <c r="B3388" s="1" t="n">
        <v>44694</v>
      </c>
      <c r="C3388" s="1" t="n">
        <v>45182</v>
      </c>
      <c r="D3388" t="inlineStr">
        <is>
          <t>SÖDERMANLANDS LÄN</t>
        </is>
      </c>
      <c r="E3388" t="inlineStr">
        <is>
          <t>KATRINEHOLM</t>
        </is>
      </c>
      <c r="G3388" t="n">
        <v>13.6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19685-2022</t>
        </is>
      </c>
      <c r="B3389" s="1" t="n">
        <v>44694</v>
      </c>
      <c r="C3389" s="1" t="n">
        <v>45182</v>
      </c>
      <c r="D3389" t="inlineStr">
        <is>
          <t>SÖDERMANLANDS LÄN</t>
        </is>
      </c>
      <c r="E3389" t="inlineStr">
        <is>
          <t>KATRINEHOLM</t>
        </is>
      </c>
      <c r="G3389" t="n">
        <v>1.7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19868-2022</t>
        </is>
      </c>
      <c r="B3390" s="1" t="n">
        <v>44696</v>
      </c>
      <c r="C3390" s="1" t="n">
        <v>45182</v>
      </c>
      <c r="D3390" t="inlineStr">
        <is>
          <t>SÖDERMANLANDS LÄN</t>
        </is>
      </c>
      <c r="E3390" t="inlineStr">
        <is>
          <t>KATRINEHOLM</t>
        </is>
      </c>
      <c r="G3390" t="n">
        <v>13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19994-2022</t>
        </is>
      </c>
      <c r="B3391" s="1" t="n">
        <v>44697</v>
      </c>
      <c r="C3391" s="1" t="n">
        <v>45182</v>
      </c>
      <c r="D3391" t="inlineStr">
        <is>
          <t>SÖDERMANLANDS LÄN</t>
        </is>
      </c>
      <c r="E3391" t="inlineStr">
        <is>
          <t>FLEN</t>
        </is>
      </c>
      <c r="F3391" t="inlineStr">
        <is>
          <t>Kyrkan</t>
        </is>
      </c>
      <c r="G3391" t="n">
        <v>3.2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19912-2022</t>
        </is>
      </c>
      <c r="B3392" s="1" t="n">
        <v>44697</v>
      </c>
      <c r="C3392" s="1" t="n">
        <v>45182</v>
      </c>
      <c r="D3392" t="inlineStr">
        <is>
          <t>SÖDERMANLANDS LÄN</t>
        </is>
      </c>
      <c r="E3392" t="inlineStr">
        <is>
          <t>KATRINEHOLM</t>
        </is>
      </c>
      <c r="G3392" t="n">
        <v>3.1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20013-2022</t>
        </is>
      </c>
      <c r="B3393" s="1" t="n">
        <v>44697</v>
      </c>
      <c r="C3393" s="1" t="n">
        <v>45182</v>
      </c>
      <c r="D3393" t="inlineStr">
        <is>
          <t>SÖDERMANLANDS LÄN</t>
        </is>
      </c>
      <c r="E3393" t="inlineStr">
        <is>
          <t>FLEN</t>
        </is>
      </c>
      <c r="G3393" t="n">
        <v>0.9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20131-2022</t>
        </is>
      </c>
      <c r="B3394" s="1" t="n">
        <v>44698</v>
      </c>
      <c r="C3394" s="1" t="n">
        <v>45182</v>
      </c>
      <c r="D3394" t="inlineStr">
        <is>
          <t>SÖDERMANLANDS LÄN</t>
        </is>
      </c>
      <c r="E3394" t="inlineStr">
        <is>
          <t>NYKÖPING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20180-2022</t>
        </is>
      </c>
      <c r="B3395" s="1" t="n">
        <v>44698</v>
      </c>
      <c r="C3395" s="1" t="n">
        <v>45182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Kyrkan</t>
        </is>
      </c>
      <c r="G3395" t="n">
        <v>1.5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20376-2022</t>
        </is>
      </c>
      <c r="B3396" s="1" t="n">
        <v>44699</v>
      </c>
      <c r="C3396" s="1" t="n">
        <v>45182</v>
      </c>
      <c r="D3396" t="inlineStr">
        <is>
          <t>SÖDERMANLANDS LÄN</t>
        </is>
      </c>
      <c r="E3396" t="inlineStr">
        <is>
          <t>ESKILSTUNA</t>
        </is>
      </c>
      <c r="F3396" t="inlineStr">
        <is>
          <t>Naturvårdsverket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20480-2022</t>
        </is>
      </c>
      <c r="B3397" s="1" t="n">
        <v>44699</v>
      </c>
      <c r="C3397" s="1" t="n">
        <v>45182</v>
      </c>
      <c r="D3397" t="inlineStr">
        <is>
          <t>SÖDERMANLANDS LÄN</t>
        </is>
      </c>
      <c r="E3397" t="inlineStr">
        <is>
          <t>KATRINEHOLM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20792-2022</t>
        </is>
      </c>
      <c r="B3398" s="1" t="n">
        <v>44701</v>
      </c>
      <c r="C3398" s="1" t="n">
        <v>45182</v>
      </c>
      <c r="D3398" t="inlineStr">
        <is>
          <t>SÖDERMANLANDS LÄN</t>
        </is>
      </c>
      <c r="E3398" t="inlineStr">
        <is>
          <t>GNESTA</t>
        </is>
      </c>
      <c r="F3398" t="inlineStr">
        <is>
          <t>Övriga Aktiebolag</t>
        </is>
      </c>
      <c r="G3398" t="n">
        <v>0.6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20823-2022</t>
        </is>
      </c>
      <c r="B3399" s="1" t="n">
        <v>44701</v>
      </c>
      <c r="C3399" s="1" t="n">
        <v>45182</v>
      </c>
      <c r="D3399" t="inlineStr">
        <is>
          <t>SÖDERMANLANDS LÄN</t>
        </is>
      </c>
      <c r="E3399" t="inlineStr">
        <is>
          <t>ESKILSTUNA</t>
        </is>
      </c>
      <c r="G3399" t="n">
        <v>5.3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20775-2022</t>
        </is>
      </c>
      <c r="B3400" s="1" t="n">
        <v>44701</v>
      </c>
      <c r="C3400" s="1" t="n">
        <v>45182</v>
      </c>
      <c r="D3400" t="inlineStr">
        <is>
          <t>SÖDERMANLANDS LÄN</t>
        </is>
      </c>
      <c r="E3400" t="inlineStr">
        <is>
          <t>NYKÖPING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20791-2022</t>
        </is>
      </c>
      <c r="B3401" s="1" t="n">
        <v>44701</v>
      </c>
      <c r="C3401" s="1" t="n">
        <v>45182</v>
      </c>
      <c r="D3401" t="inlineStr">
        <is>
          <t>SÖDERMANLANDS LÄN</t>
        </is>
      </c>
      <c r="E3401" t="inlineStr">
        <is>
          <t>FLEN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20847-2022</t>
        </is>
      </c>
      <c r="B3402" s="1" t="n">
        <v>44701</v>
      </c>
      <c r="C3402" s="1" t="n">
        <v>45182</v>
      </c>
      <c r="D3402" t="inlineStr">
        <is>
          <t>SÖDERMANLANDS LÄN</t>
        </is>
      </c>
      <c r="E3402" t="inlineStr">
        <is>
          <t>KATRINEHOLM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20799-2022</t>
        </is>
      </c>
      <c r="B3403" s="1" t="n">
        <v>44701</v>
      </c>
      <c r="C3403" s="1" t="n">
        <v>45182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21218-2022</t>
        </is>
      </c>
      <c r="B3404" s="1" t="n">
        <v>44704</v>
      </c>
      <c r="C3404" s="1" t="n">
        <v>45182</v>
      </c>
      <c r="D3404" t="inlineStr">
        <is>
          <t>SÖDERMANLANDS LÄN</t>
        </is>
      </c>
      <c r="E3404" t="inlineStr">
        <is>
          <t>FLEN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21317-2022</t>
        </is>
      </c>
      <c r="B3405" s="1" t="n">
        <v>44705</v>
      </c>
      <c r="C3405" s="1" t="n">
        <v>45182</v>
      </c>
      <c r="D3405" t="inlineStr">
        <is>
          <t>SÖDERMANLANDS LÄN</t>
        </is>
      </c>
      <c r="E3405" t="inlineStr">
        <is>
          <t>STRÄNGNÄS</t>
        </is>
      </c>
      <c r="G3405" t="n">
        <v>1.9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21351-2022</t>
        </is>
      </c>
      <c r="B3406" s="1" t="n">
        <v>44705</v>
      </c>
      <c r="C3406" s="1" t="n">
        <v>45182</v>
      </c>
      <c r="D3406" t="inlineStr">
        <is>
          <t>SÖDERMANLANDS LÄN</t>
        </is>
      </c>
      <c r="E3406" t="inlineStr">
        <is>
          <t>FLEN</t>
        </is>
      </c>
      <c r="G3406" t="n">
        <v>1.1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21526-2022</t>
        </is>
      </c>
      <c r="B3407" s="1" t="n">
        <v>44706</v>
      </c>
      <c r="C3407" s="1" t="n">
        <v>45182</v>
      </c>
      <c r="D3407" t="inlineStr">
        <is>
          <t>SÖDERMANLANDS LÄN</t>
        </is>
      </c>
      <c r="E3407" t="inlineStr">
        <is>
          <t>STRÄNGNÄS</t>
        </is>
      </c>
      <c r="F3407" t="inlineStr">
        <is>
          <t>Allmännings- och besparingsskogar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21576-2022</t>
        </is>
      </c>
      <c r="B3408" s="1" t="n">
        <v>44706</v>
      </c>
      <c r="C3408" s="1" t="n">
        <v>45182</v>
      </c>
      <c r="D3408" t="inlineStr">
        <is>
          <t>SÖDERMANLANDS LÄN</t>
        </is>
      </c>
      <c r="E3408" t="inlineStr">
        <is>
          <t>KATRINEHOLM</t>
        </is>
      </c>
      <c r="G3408" t="n">
        <v>4.2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21794-2022</t>
        </is>
      </c>
      <c r="B3409" s="1" t="n">
        <v>44708</v>
      </c>
      <c r="C3409" s="1" t="n">
        <v>45182</v>
      </c>
      <c r="D3409" t="inlineStr">
        <is>
          <t>SÖDERMANLANDS LÄN</t>
        </is>
      </c>
      <c r="E3409" t="inlineStr">
        <is>
          <t>STRÄNGNÄS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21804-2022</t>
        </is>
      </c>
      <c r="B3410" s="1" t="n">
        <v>44708</v>
      </c>
      <c r="C3410" s="1" t="n">
        <v>45182</v>
      </c>
      <c r="D3410" t="inlineStr">
        <is>
          <t>SÖDERMANLANDS LÄN</t>
        </is>
      </c>
      <c r="E3410" t="inlineStr">
        <is>
          <t>NYKÖPING</t>
        </is>
      </c>
      <c r="G3410" t="n">
        <v>12.7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21959-2022</t>
        </is>
      </c>
      <c r="B3411" s="1" t="n">
        <v>44708</v>
      </c>
      <c r="C3411" s="1" t="n">
        <v>45182</v>
      </c>
      <c r="D3411" t="inlineStr">
        <is>
          <t>SÖDERMANLANDS LÄN</t>
        </is>
      </c>
      <c r="E3411" t="inlineStr">
        <is>
          <t>KATRINEHOLM</t>
        </is>
      </c>
      <c r="G3411" t="n">
        <v>1.5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22080-2022</t>
        </is>
      </c>
      <c r="B3412" s="1" t="n">
        <v>44711</v>
      </c>
      <c r="C3412" s="1" t="n">
        <v>45182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22069-2022</t>
        </is>
      </c>
      <c r="B3413" s="1" t="n">
        <v>44711</v>
      </c>
      <c r="C3413" s="1" t="n">
        <v>45182</v>
      </c>
      <c r="D3413" t="inlineStr">
        <is>
          <t>SÖDERMANLANDS LÄN</t>
        </is>
      </c>
      <c r="E3413" t="inlineStr">
        <is>
          <t>STRÄNGNÄS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22185-2022</t>
        </is>
      </c>
      <c r="B3414" s="1" t="n">
        <v>44712</v>
      </c>
      <c r="C3414" s="1" t="n">
        <v>45182</v>
      </c>
      <c r="D3414" t="inlineStr">
        <is>
          <t>SÖDERMANLANDS LÄN</t>
        </is>
      </c>
      <c r="E3414" t="inlineStr">
        <is>
          <t>ESKILSTUNA</t>
        </is>
      </c>
      <c r="G3414" t="n">
        <v>2.1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22191-2022</t>
        </is>
      </c>
      <c r="B3415" s="1" t="n">
        <v>44712</v>
      </c>
      <c r="C3415" s="1" t="n">
        <v>45182</v>
      </c>
      <c r="D3415" t="inlineStr">
        <is>
          <t>SÖDERMANLANDS LÄN</t>
        </is>
      </c>
      <c r="E3415" t="inlineStr">
        <is>
          <t>ESKILSTUNA</t>
        </is>
      </c>
      <c r="G3415" t="n">
        <v>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22197-2022</t>
        </is>
      </c>
      <c r="B3416" s="1" t="n">
        <v>44712</v>
      </c>
      <c r="C3416" s="1" t="n">
        <v>45182</v>
      </c>
      <c r="D3416" t="inlineStr">
        <is>
          <t>SÖDERMANLANDS LÄN</t>
        </is>
      </c>
      <c r="E3416" t="inlineStr">
        <is>
          <t>KATRINEHOLM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22272-2022</t>
        </is>
      </c>
      <c r="B3417" s="1" t="n">
        <v>44712</v>
      </c>
      <c r="C3417" s="1" t="n">
        <v>45182</v>
      </c>
      <c r="D3417" t="inlineStr">
        <is>
          <t>SÖDERMANLANDS LÄN</t>
        </is>
      </c>
      <c r="E3417" t="inlineStr">
        <is>
          <t>KATRINEHOLM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22459-2022</t>
        </is>
      </c>
      <c r="B3418" s="1" t="n">
        <v>44713</v>
      </c>
      <c r="C3418" s="1" t="n">
        <v>45182</v>
      </c>
      <c r="D3418" t="inlineStr">
        <is>
          <t>SÖDERMANLANDS LÄN</t>
        </is>
      </c>
      <c r="E3418" t="inlineStr">
        <is>
          <t>STRÄNGNÄS</t>
        </is>
      </c>
      <c r="F3418" t="inlineStr">
        <is>
          <t>Övriga Aktiebolag</t>
        </is>
      </c>
      <c r="G3418" t="n">
        <v>3.8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22402-2022</t>
        </is>
      </c>
      <c r="B3419" s="1" t="n">
        <v>44713</v>
      </c>
      <c r="C3419" s="1" t="n">
        <v>45182</v>
      </c>
      <c r="D3419" t="inlineStr">
        <is>
          <t>SÖDERMANLANDS LÄN</t>
        </is>
      </c>
      <c r="E3419" t="inlineStr">
        <is>
          <t>NYKÖPING</t>
        </is>
      </c>
      <c r="G3419" t="n">
        <v>2.5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22536-2022</t>
        </is>
      </c>
      <c r="B3420" s="1" t="n">
        <v>44713</v>
      </c>
      <c r="C3420" s="1" t="n">
        <v>45182</v>
      </c>
      <c r="D3420" t="inlineStr">
        <is>
          <t>SÖDERMANLANDS LÄN</t>
        </is>
      </c>
      <c r="E3420" t="inlineStr">
        <is>
          <t>STRÄNGNÄS</t>
        </is>
      </c>
      <c r="G3420" t="n">
        <v>5.5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22393-2022</t>
        </is>
      </c>
      <c r="B3421" s="1" t="n">
        <v>44713</v>
      </c>
      <c r="C3421" s="1" t="n">
        <v>45182</v>
      </c>
      <c r="D3421" t="inlineStr">
        <is>
          <t>SÖDERMANLANDS LÄN</t>
        </is>
      </c>
      <c r="E3421" t="inlineStr">
        <is>
          <t>NYKÖPING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22401-2022</t>
        </is>
      </c>
      <c r="B3422" s="1" t="n">
        <v>44713</v>
      </c>
      <c r="C3422" s="1" t="n">
        <v>45182</v>
      </c>
      <c r="D3422" t="inlineStr">
        <is>
          <t>SÖDERMANLANDS LÄN</t>
        </is>
      </c>
      <c r="E3422" t="inlineStr">
        <is>
          <t>GNESTA</t>
        </is>
      </c>
      <c r="G3422" t="n">
        <v>5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22883-2022</t>
        </is>
      </c>
      <c r="B3423" s="1" t="n">
        <v>44715</v>
      </c>
      <c r="C3423" s="1" t="n">
        <v>45182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2.7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22881-2022</t>
        </is>
      </c>
      <c r="B3424" s="1" t="n">
        <v>44715</v>
      </c>
      <c r="C3424" s="1" t="n">
        <v>45182</v>
      </c>
      <c r="D3424" t="inlineStr">
        <is>
          <t>SÖDERMANLANDS LÄN</t>
        </is>
      </c>
      <c r="E3424" t="inlineStr">
        <is>
          <t>FLEN</t>
        </is>
      </c>
      <c r="F3424" t="inlineStr">
        <is>
          <t>Holmen skog AB</t>
        </is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23103-2022</t>
        </is>
      </c>
      <c r="B3425" s="1" t="n">
        <v>44719</v>
      </c>
      <c r="C3425" s="1" t="n">
        <v>45182</v>
      </c>
      <c r="D3425" t="inlineStr">
        <is>
          <t>SÖDERMANLANDS LÄN</t>
        </is>
      </c>
      <c r="E3425" t="inlineStr">
        <is>
          <t>FLEN</t>
        </is>
      </c>
      <c r="G3425" t="n">
        <v>11.7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  <c r="U3425">
        <f>HYPERLINK("https://klasma.github.io/Logging_FLEN/knärot/A 23103-2022.png")</f>
        <v/>
      </c>
      <c r="V3425">
        <f>HYPERLINK("https://klasma.github.io/Logging_FLEN/klagomål/A 23103-2022.docx")</f>
        <v/>
      </c>
      <c r="W3425">
        <f>HYPERLINK("https://klasma.github.io/Logging_FLEN/klagomålsmail/A 23103-2022.docx")</f>
        <v/>
      </c>
      <c r="X3425">
        <f>HYPERLINK("https://klasma.github.io/Logging_FLEN/tillsyn/A 23103-2022.docx")</f>
        <v/>
      </c>
      <c r="Y3425">
        <f>HYPERLINK("https://klasma.github.io/Logging_FLEN/tillsynsmail/A 23103-2022.docx")</f>
        <v/>
      </c>
    </row>
    <row r="3426" ht="15" customHeight="1">
      <c r="A3426" t="inlineStr">
        <is>
          <t>A 23028-2022</t>
        </is>
      </c>
      <c r="B3426" s="1" t="n">
        <v>44719</v>
      </c>
      <c r="C3426" s="1" t="n">
        <v>45182</v>
      </c>
      <c r="D3426" t="inlineStr">
        <is>
          <t>SÖDERMANLANDS LÄN</t>
        </is>
      </c>
      <c r="E3426" t="inlineStr">
        <is>
          <t>KATRINEHOLM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23239-2022</t>
        </is>
      </c>
      <c r="B3427" s="1" t="n">
        <v>44719</v>
      </c>
      <c r="C3427" s="1" t="n">
        <v>45182</v>
      </c>
      <c r="D3427" t="inlineStr">
        <is>
          <t>SÖDERMANLANDS LÄN</t>
        </is>
      </c>
      <c r="E3427" t="inlineStr">
        <is>
          <t>KATRINEHOLM</t>
        </is>
      </c>
      <c r="G3427" t="n">
        <v>7.4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23107-2022</t>
        </is>
      </c>
      <c r="B3428" s="1" t="n">
        <v>44719</v>
      </c>
      <c r="C3428" s="1" t="n">
        <v>45182</v>
      </c>
      <c r="D3428" t="inlineStr">
        <is>
          <t>SÖDERMANLANDS LÄN</t>
        </is>
      </c>
      <c r="E3428" t="inlineStr">
        <is>
          <t>NYKÖPING</t>
        </is>
      </c>
      <c r="G3428" t="n">
        <v>0.3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23262-2022</t>
        </is>
      </c>
      <c r="B3429" s="1" t="n">
        <v>44720</v>
      </c>
      <c r="C3429" s="1" t="n">
        <v>45182</v>
      </c>
      <c r="D3429" t="inlineStr">
        <is>
          <t>SÖDERMANLANDS LÄN</t>
        </is>
      </c>
      <c r="E3429" t="inlineStr">
        <is>
          <t>ESKILSTUNA</t>
        </is>
      </c>
      <c r="G3429" t="n">
        <v>3.2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23641-2022</t>
        </is>
      </c>
      <c r="B3430" s="1" t="n">
        <v>44721</v>
      </c>
      <c r="C3430" s="1" t="n">
        <v>45182</v>
      </c>
      <c r="D3430" t="inlineStr">
        <is>
          <t>SÖDERMANLANDS LÄN</t>
        </is>
      </c>
      <c r="E3430" t="inlineStr">
        <is>
          <t>NYKÖPING</t>
        </is>
      </c>
      <c r="G3430" t="n">
        <v>1.5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23609-2022</t>
        </is>
      </c>
      <c r="B3431" s="1" t="n">
        <v>44721</v>
      </c>
      <c r="C3431" s="1" t="n">
        <v>45182</v>
      </c>
      <c r="D3431" t="inlineStr">
        <is>
          <t>SÖDERMANLANDS LÄN</t>
        </is>
      </c>
      <c r="E3431" t="inlineStr">
        <is>
          <t>TROSA</t>
        </is>
      </c>
      <c r="G3431" t="n">
        <v>1.6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23835-2022</t>
        </is>
      </c>
      <c r="B3432" s="1" t="n">
        <v>44722</v>
      </c>
      <c r="C3432" s="1" t="n">
        <v>45182</v>
      </c>
      <c r="D3432" t="inlineStr">
        <is>
          <t>SÖDERMANLANDS LÄN</t>
        </is>
      </c>
      <c r="E3432" t="inlineStr">
        <is>
          <t>FLEN</t>
        </is>
      </c>
      <c r="G3432" t="n">
        <v>0.9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23951-2022</t>
        </is>
      </c>
      <c r="B3433" s="1" t="n">
        <v>44722</v>
      </c>
      <c r="C3433" s="1" t="n">
        <v>45182</v>
      </c>
      <c r="D3433" t="inlineStr">
        <is>
          <t>SÖDERMANLANDS LÄN</t>
        </is>
      </c>
      <c r="E3433" t="inlineStr">
        <is>
          <t>ESKILSTUNA</t>
        </is>
      </c>
      <c r="F3433" t="inlineStr">
        <is>
          <t>Kyrkan</t>
        </is>
      </c>
      <c r="G3433" t="n">
        <v>3.8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24098-2022</t>
        </is>
      </c>
      <c r="B3434" s="1" t="n">
        <v>44725</v>
      </c>
      <c r="C3434" s="1" t="n">
        <v>45182</v>
      </c>
      <c r="D3434" t="inlineStr">
        <is>
          <t>SÖDERMANLANDS LÄN</t>
        </is>
      </c>
      <c r="E3434" t="inlineStr">
        <is>
          <t>KATRINEHOLM</t>
        </is>
      </c>
      <c r="G3434" t="n">
        <v>1.9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24207-2022</t>
        </is>
      </c>
      <c r="B3435" s="1" t="n">
        <v>44725</v>
      </c>
      <c r="C3435" s="1" t="n">
        <v>45182</v>
      </c>
      <c r="D3435" t="inlineStr">
        <is>
          <t>SÖDERMANLANDS LÄN</t>
        </is>
      </c>
      <c r="E3435" t="inlineStr">
        <is>
          <t>KATRINEHOLM</t>
        </is>
      </c>
      <c r="G3435" t="n">
        <v>0.7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24285-2022</t>
        </is>
      </c>
      <c r="B3436" s="1" t="n">
        <v>44725</v>
      </c>
      <c r="C3436" s="1" t="n">
        <v>45182</v>
      </c>
      <c r="D3436" t="inlineStr">
        <is>
          <t>SÖDERMANLANDS LÄN</t>
        </is>
      </c>
      <c r="E3436" t="inlineStr">
        <is>
          <t>NYKÖPING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24280-2022</t>
        </is>
      </c>
      <c r="B3437" s="1" t="n">
        <v>44725</v>
      </c>
      <c r="C3437" s="1" t="n">
        <v>45182</v>
      </c>
      <c r="D3437" t="inlineStr">
        <is>
          <t>SÖDERMANLANDS LÄN</t>
        </is>
      </c>
      <c r="E3437" t="inlineStr">
        <is>
          <t>NYKÖPING</t>
        </is>
      </c>
      <c r="G3437" t="n">
        <v>0.7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24099-2022</t>
        </is>
      </c>
      <c r="B3438" s="1" t="n">
        <v>44725</v>
      </c>
      <c r="C3438" s="1" t="n">
        <v>45182</v>
      </c>
      <c r="D3438" t="inlineStr">
        <is>
          <t>SÖDERMANLANDS LÄN</t>
        </is>
      </c>
      <c r="E3438" t="inlineStr">
        <is>
          <t>KATRINEHOLM</t>
        </is>
      </c>
      <c r="G3438" t="n">
        <v>1.5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24197-2022</t>
        </is>
      </c>
      <c r="B3439" s="1" t="n">
        <v>44725</v>
      </c>
      <c r="C3439" s="1" t="n">
        <v>45182</v>
      </c>
      <c r="D3439" t="inlineStr">
        <is>
          <t>SÖDERMANLANDS LÄN</t>
        </is>
      </c>
      <c r="E3439" t="inlineStr">
        <is>
          <t>NYKÖPING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24212-2022</t>
        </is>
      </c>
      <c r="B3440" s="1" t="n">
        <v>44725</v>
      </c>
      <c r="C3440" s="1" t="n">
        <v>45182</v>
      </c>
      <c r="D3440" t="inlineStr">
        <is>
          <t>SÖDERMANLANDS LÄN</t>
        </is>
      </c>
      <c r="E3440" t="inlineStr">
        <is>
          <t>FLEN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24106-2022</t>
        </is>
      </c>
      <c r="B3441" s="1" t="n">
        <v>44725</v>
      </c>
      <c r="C3441" s="1" t="n">
        <v>45182</v>
      </c>
      <c r="D3441" t="inlineStr">
        <is>
          <t>SÖDERMANLANDS LÄN</t>
        </is>
      </c>
      <c r="E3441" t="inlineStr">
        <is>
          <t>VINGÅKER</t>
        </is>
      </c>
      <c r="G3441" t="n">
        <v>2.2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24199-2022</t>
        </is>
      </c>
      <c r="B3442" s="1" t="n">
        <v>44725</v>
      </c>
      <c r="C3442" s="1" t="n">
        <v>45182</v>
      </c>
      <c r="D3442" t="inlineStr">
        <is>
          <t>SÖDERMANLANDS LÄN</t>
        </is>
      </c>
      <c r="E3442" t="inlineStr">
        <is>
          <t>KATRINEHOLM</t>
        </is>
      </c>
      <c r="G3442" t="n">
        <v>1.8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24354-2022</t>
        </is>
      </c>
      <c r="B3443" s="1" t="n">
        <v>44726</v>
      </c>
      <c r="C3443" s="1" t="n">
        <v>45182</v>
      </c>
      <c r="D3443" t="inlineStr">
        <is>
          <t>SÖDERMANLANDS LÄN</t>
        </is>
      </c>
      <c r="E3443" t="inlineStr">
        <is>
          <t>GNESTA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24609-2022</t>
        </is>
      </c>
      <c r="B3444" s="1" t="n">
        <v>44727</v>
      </c>
      <c r="C3444" s="1" t="n">
        <v>45182</v>
      </c>
      <c r="D3444" t="inlineStr">
        <is>
          <t>SÖDERMANLANDS LÄN</t>
        </is>
      </c>
      <c r="E3444" t="inlineStr">
        <is>
          <t>NYKÖPING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24631-2022</t>
        </is>
      </c>
      <c r="B3445" s="1" t="n">
        <v>44727</v>
      </c>
      <c r="C3445" s="1" t="n">
        <v>45182</v>
      </c>
      <c r="D3445" t="inlineStr">
        <is>
          <t>SÖDERMANLANDS LÄN</t>
        </is>
      </c>
      <c r="E3445" t="inlineStr">
        <is>
          <t>NYKÖPING</t>
        </is>
      </c>
      <c r="G3445" t="n">
        <v>0.7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25128-2022</t>
        </is>
      </c>
      <c r="B3446" s="1" t="n">
        <v>44729</v>
      </c>
      <c r="C3446" s="1" t="n">
        <v>45182</v>
      </c>
      <c r="D3446" t="inlineStr">
        <is>
          <t>SÖDERMANLANDS LÄN</t>
        </is>
      </c>
      <c r="E3446" t="inlineStr">
        <is>
          <t>NYKÖPING</t>
        </is>
      </c>
      <c r="G3446" t="n">
        <v>5.1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25225-2022</t>
        </is>
      </c>
      <c r="B3447" s="1" t="n">
        <v>44729</v>
      </c>
      <c r="C3447" s="1" t="n">
        <v>45182</v>
      </c>
      <c r="D3447" t="inlineStr">
        <is>
          <t>SÖDERMANLANDS LÄN</t>
        </is>
      </c>
      <c r="E3447" t="inlineStr">
        <is>
          <t>STRÄNGNÄS</t>
        </is>
      </c>
      <c r="F3447" t="inlineStr">
        <is>
          <t>Allmännings- och besparingsskogar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25227-2022</t>
        </is>
      </c>
      <c r="B3448" s="1" t="n">
        <v>44729</v>
      </c>
      <c r="C3448" s="1" t="n">
        <v>45182</v>
      </c>
      <c r="D3448" t="inlineStr">
        <is>
          <t>SÖDERMANLANDS LÄN</t>
        </is>
      </c>
      <c r="E3448" t="inlineStr">
        <is>
          <t>ESKILSTUNA</t>
        </is>
      </c>
      <c r="F3448" t="inlineStr">
        <is>
          <t>Kyrkan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25130-2022</t>
        </is>
      </c>
      <c r="B3449" s="1" t="n">
        <v>44729</v>
      </c>
      <c r="C3449" s="1" t="n">
        <v>45182</v>
      </c>
      <c r="D3449" t="inlineStr">
        <is>
          <t>SÖDERMANLANDS LÄN</t>
        </is>
      </c>
      <c r="E3449" t="inlineStr">
        <is>
          <t>NYKÖPING</t>
        </is>
      </c>
      <c r="G3449" t="n">
        <v>0.9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25183-2022</t>
        </is>
      </c>
      <c r="B3450" s="1" t="n">
        <v>44729</v>
      </c>
      <c r="C3450" s="1" t="n">
        <v>45182</v>
      </c>
      <c r="D3450" t="inlineStr">
        <is>
          <t>SÖDERMANLANDS LÄN</t>
        </is>
      </c>
      <c r="E3450" t="inlineStr">
        <is>
          <t>NYKÖPING</t>
        </is>
      </c>
      <c r="G3450" t="n">
        <v>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25231-2022</t>
        </is>
      </c>
      <c r="B3451" s="1" t="n">
        <v>44729</v>
      </c>
      <c r="C3451" s="1" t="n">
        <v>45182</v>
      </c>
      <c r="D3451" t="inlineStr">
        <is>
          <t>SÖDERMANLANDS LÄN</t>
        </is>
      </c>
      <c r="E3451" t="inlineStr">
        <is>
          <t>ESKILSTUNA</t>
        </is>
      </c>
      <c r="F3451" t="inlineStr">
        <is>
          <t>Allmännings- och besparingsskogar</t>
        </is>
      </c>
      <c r="G3451" t="n">
        <v>2.3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25309-2022</t>
        </is>
      </c>
      <c r="B3452" s="1" t="n">
        <v>44731</v>
      </c>
      <c r="C3452" s="1" t="n">
        <v>45182</v>
      </c>
      <c r="D3452" t="inlineStr">
        <is>
          <t>SÖDERMANLANDS LÄN</t>
        </is>
      </c>
      <c r="E3452" t="inlineStr">
        <is>
          <t>KATRINEHOLM</t>
        </is>
      </c>
      <c r="G3452" t="n">
        <v>6.1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25607-2022</t>
        </is>
      </c>
      <c r="B3453" s="1" t="n">
        <v>44732</v>
      </c>
      <c r="C3453" s="1" t="n">
        <v>45182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Allmännings- och besparingsskogar</t>
        </is>
      </c>
      <c r="G3453" t="n">
        <v>11.3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25493-2022</t>
        </is>
      </c>
      <c r="B3454" s="1" t="n">
        <v>44732</v>
      </c>
      <c r="C3454" s="1" t="n">
        <v>45182</v>
      </c>
      <c r="D3454" t="inlineStr">
        <is>
          <t>SÖDERMANLANDS LÄN</t>
        </is>
      </c>
      <c r="E3454" t="inlineStr">
        <is>
          <t>NYKÖPING</t>
        </is>
      </c>
      <c r="F3454" t="inlineStr">
        <is>
          <t>Övriga Aktiebolag</t>
        </is>
      </c>
      <c r="G3454" t="n">
        <v>8.300000000000001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25609-2022</t>
        </is>
      </c>
      <c r="B3455" s="1" t="n">
        <v>44732</v>
      </c>
      <c r="C3455" s="1" t="n">
        <v>45182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Allmännings- och besparingsskogar</t>
        </is>
      </c>
      <c r="G3455" t="n">
        <v>3.3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25668-2022</t>
        </is>
      </c>
      <c r="B3456" s="1" t="n">
        <v>44732</v>
      </c>
      <c r="C3456" s="1" t="n">
        <v>45182</v>
      </c>
      <c r="D3456" t="inlineStr">
        <is>
          <t>SÖDERMANLANDS LÄN</t>
        </is>
      </c>
      <c r="E3456" t="inlineStr">
        <is>
          <t>ESKILSTUNA</t>
        </is>
      </c>
      <c r="G3456" t="n">
        <v>2.6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25823-2022</t>
        </is>
      </c>
      <c r="B3457" s="1" t="n">
        <v>44733</v>
      </c>
      <c r="C3457" s="1" t="n">
        <v>45182</v>
      </c>
      <c r="D3457" t="inlineStr">
        <is>
          <t>SÖDERMANLANDS LÄN</t>
        </is>
      </c>
      <c r="E3457" t="inlineStr">
        <is>
          <t>FLEN</t>
        </is>
      </c>
      <c r="G3457" t="n">
        <v>8.699999999999999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25851-2022</t>
        </is>
      </c>
      <c r="B3458" s="1" t="n">
        <v>44733</v>
      </c>
      <c r="C3458" s="1" t="n">
        <v>45182</v>
      </c>
      <c r="D3458" t="inlineStr">
        <is>
          <t>SÖDERMANLANDS LÄN</t>
        </is>
      </c>
      <c r="E3458" t="inlineStr">
        <is>
          <t>TROSA</t>
        </is>
      </c>
      <c r="G3458" t="n">
        <v>1.6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25669-2022</t>
        </is>
      </c>
      <c r="B3459" s="1" t="n">
        <v>44733</v>
      </c>
      <c r="C3459" s="1" t="n">
        <v>45182</v>
      </c>
      <c r="D3459" t="inlineStr">
        <is>
          <t>SÖDERMANLANDS LÄN</t>
        </is>
      </c>
      <c r="E3459" t="inlineStr">
        <is>
          <t>ESKILSTUNA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25948-2022</t>
        </is>
      </c>
      <c r="B3460" s="1" t="n">
        <v>44734</v>
      </c>
      <c r="C3460" s="1" t="n">
        <v>45182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Holmen skog AB</t>
        </is>
      </c>
      <c r="G3460" t="n">
        <v>2.1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25961-2022</t>
        </is>
      </c>
      <c r="B3461" s="1" t="n">
        <v>44734</v>
      </c>
      <c r="C3461" s="1" t="n">
        <v>45182</v>
      </c>
      <c r="D3461" t="inlineStr">
        <is>
          <t>SÖDERMANLANDS LÄN</t>
        </is>
      </c>
      <c r="E3461" t="inlineStr">
        <is>
          <t>ESKILSTUNA</t>
        </is>
      </c>
      <c r="G3461" t="n">
        <v>0.6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26663-2022</t>
        </is>
      </c>
      <c r="B3462" s="1" t="n">
        <v>44739</v>
      </c>
      <c r="C3462" s="1" t="n">
        <v>45182</v>
      </c>
      <c r="D3462" t="inlineStr">
        <is>
          <t>SÖDERMANLANDS LÄN</t>
        </is>
      </c>
      <c r="E3462" t="inlineStr">
        <is>
          <t>FLEN</t>
        </is>
      </c>
      <c r="G3462" t="n">
        <v>5.9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26513-2022</t>
        </is>
      </c>
      <c r="B3463" s="1" t="n">
        <v>44739</v>
      </c>
      <c r="C3463" s="1" t="n">
        <v>45182</v>
      </c>
      <c r="D3463" t="inlineStr">
        <is>
          <t>SÖDERMANLANDS LÄN</t>
        </is>
      </c>
      <c r="E3463" t="inlineStr">
        <is>
          <t>FLEN</t>
        </is>
      </c>
      <c r="G3463" t="n">
        <v>1.4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27146-2022</t>
        </is>
      </c>
      <c r="B3464" s="1" t="n">
        <v>44741</v>
      </c>
      <c r="C3464" s="1" t="n">
        <v>45182</v>
      </c>
      <c r="D3464" t="inlineStr">
        <is>
          <t>SÖDERMANLANDS LÄN</t>
        </is>
      </c>
      <c r="E3464" t="inlineStr">
        <is>
          <t>FLEN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27443-2022</t>
        </is>
      </c>
      <c r="B3465" s="1" t="n">
        <v>44742</v>
      </c>
      <c r="C3465" s="1" t="n">
        <v>45182</v>
      </c>
      <c r="D3465" t="inlineStr">
        <is>
          <t>SÖDERMANLANDS LÄN</t>
        </is>
      </c>
      <c r="E3465" t="inlineStr">
        <is>
          <t>KATRINEHOLM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27512-2022</t>
        </is>
      </c>
      <c r="B3466" s="1" t="n">
        <v>44742</v>
      </c>
      <c r="C3466" s="1" t="n">
        <v>45182</v>
      </c>
      <c r="D3466" t="inlineStr">
        <is>
          <t>SÖDERMANLANDS LÄN</t>
        </is>
      </c>
      <c r="E3466" t="inlineStr">
        <is>
          <t>FLEN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27428-2022</t>
        </is>
      </c>
      <c r="B3467" s="1" t="n">
        <v>44742</v>
      </c>
      <c r="C3467" s="1" t="n">
        <v>45182</v>
      </c>
      <c r="D3467" t="inlineStr">
        <is>
          <t>SÖDERMANLANDS LÄN</t>
        </is>
      </c>
      <c r="E3467" t="inlineStr">
        <is>
          <t>GNESTA</t>
        </is>
      </c>
      <c r="G3467" t="n">
        <v>1.6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27470-2022</t>
        </is>
      </c>
      <c r="B3468" s="1" t="n">
        <v>44742</v>
      </c>
      <c r="C3468" s="1" t="n">
        <v>45182</v>
      </c>
      <c r="D3468" t="inlineStr">
        <is>
          <t>SÖDERMANLANDS LÄN</t>
        </is>
      </c>
      <c r="E3468" t="inlineStr">
        <is>
          <t>KATRINEHOLM</t>
        </is>
      </c>
      <c r="G3468" t="n">
        <v>13.3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27398-2022</t>
        </is>
      </c>
      <c r="B3469" s="1" t="n">
        <v>44742</v>
      </c>
      <c r="C3469" s="1" t="n">
        <v>45182</v>
      </c>
      <c r="D3469" t="inlineStr">
        <is>
          <t>SÖDERMANLANDS LÄN</t>
        </is>
      </c>
      <c r="E3469" t="inlineStr">
        <is>
          <t>KATRINEHOLM</t>
        </is>
      </c>
      <c r="G3469" t="n">
        <v>3.5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29527-2022</t>
        </is>
      </c>
      <c r="B3470" s="1" t="n">
        <v>44742</v>
      </c>
      <c r="C3470" s="1" t="n">
        <v>45182</v>
      </c>
      <c r="D3470" t="inlineStr">
        <is>
          <t>SÖDERMANLANDS LÄN</t>
        </is>
      </c>
      <c r="E3470" t="inlineStr">
        <is>
          <t>GNESTA</t>
        </is>
      </c>
      <c r="G3470" t="n">
        <v>2.1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28003-2022</t>
        </is>
      </c>
      <c r="B3471" s="1" t="n">
        <v>44744</v>
      </c>
      <c r="C3471" s="1" t="n">
        <v>45182</v>
      </c>
      <c r="D3471" t="inlineStr">
        <is>
          <t>SÖDERMANLANDS LÄN</t>
        </is>
      </c>
      <c r="E3471" t="inlineStr">
        <is>
          <t>VINGÅKER</t>
        </is>
      </c>
      <c r="G3471" t="n">
        <v>5.5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28002-2022</t>
        </is>
      </c>
      <c r="B3472" s="1" t="n">
        <v>44744</v>
      </c>
      <c r="C3472" s="1" t="n">
        <v>45182</v>
      </c>
      <c r="D3472" t="inlineStr">
        <is>
          <t>SÖDERMANLANDS LÄN</t>
        </is>
      </c>
      <c r="E3472" t="inlineStr">
        <is>
          <t>VINGÅKER</t>
        </is>
      </c>
      <c r="G3472" t="n">
        <v>10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28071-2022</t>
        </is>
      </c>
      <c r="B3473" s="1" t="n">
        <v>44746</v>
      </c>
      <c r="C3473" s="1" t="n">
        <v>45182</v>
      </c>
      <c r="D3473" t="inlineStr">
        <is>
          <t>SÖDERMANLANDS LÄN</t>
        </is>
      </c>
      <c r="E3473" t="inlineStr">
        <is>
          <t>ESKILSTUNA</t>
        </is>
      </c>
      <c r="G3473" t="n">
        <v>2.2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28189-2022</t>
        </is>
      </c>
      <c r="B3474" s="1" t="n">
        <v>44746</v>
      </c>
      <c r="C3474" s="1" t="n">
        <v>45182</v>
      </c>
      <c r="D3474" t="inlineStr">
        <is>
          <t>SÖDERMANLANDS LÄN</t>
        </is>
      </c>
      <c r="E3474" t="inlineStr">
        <is>
          <t>ESKILSTUNA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  <c r="U3474">
        <f>HYPERLINK("https://klasma.github.io/Logging_ESKILSTUNA/knärot/A 28189-2022.png")</f>
        <v/>
      </c>
      <c r="V3474">
        <f>HYPERLINK("https://klasma.github.io/Logging_ESKILSTUNA/klagomål/A 28189-2022.docx")</f>
        <v/>
      </c>
      <c r="W3474">
        <f>HYPERLINK("https://klasma.github.io/Logging_ESKILSTUNA/klagomålsmail/A 28189-2022.docx")</f>
        <v/>
      </c>
      <c r="X3474">
        <f>HYPERLINK("https://klasma.github.io/Logging_ESKILSTUNA/tillsyn/A 28189-2022.docx")</f>
        <v/>
      </c>
      <c r="Y3474">
        <f>HYPERLINK("https://klasma.github.io/Logging_ESKILSTUNA/tillsynsmail/A 28189-2022.docx")</f>
        <v/>
      </c>
    </row>
    <row r="3475" ht="15" customHeight="1">
      <c r="A3475" t="inlineStr">
        <is>
          <t>A 28269-2022</t>
        </is>
      </c>
      <c r="B3475" s="1" t="n">
        <v>44746</v>
      </c>
      <c r="C3475" s="1" t="n">
        <v>45182</v>
      </c>
      <c r="D3475" t="inlineStr">
        <is>
          <t>SÖDERMANLANDS LÄN</t>
        </is>
      </c>
      <c r="E3475" t="inlineStr">
        <is>
          <t>ESKILSTUNA</t>
        </is>
      </c>
      <c r="F3475" t="inlineStr">
        <is>
          <t>Kommuner</t>
        </is>
      </c>
      <c r="G3475" t="n">
        <v>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28060-2022</t>
        </is>
      </c>
      <c r="B3476" s="1" t="n">
        <v>44746</v>
      </c>
      <c r="C3476" s="1" t="n">
        <v>45182</v>
      </c>
      <c r="D3476" t="inlineStr">
        <is>
          <t>SÖDERMANLANDS LÄN</t>
        </is>
      </c>
      <c r="E3476" t="inlineStr">
        <is>
          <t>ESKILSTUNA</t>
        </is>
      </c>
      <c r="G3476" t="n">
        <v>1.1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28066-2022</t>
        </is>
      </c>
      <c r="B3477" s="1" t="n">
        <v>44746</v>
      </c>
      <c r="C3477" s="1" t="n">
        <v>45182</v>
      </c>
      <c r="D3477" t="inlineStr">
        <is>
          <t>SÖDERMANLANDS LÄN</t>
        </is>
      </c>
      <c r="E3477" t="inlineStr">
        <is>
          <t>ESKILSTUNA</t>
        </is>
      </c>
      <c r="G3477" t="n">
        <v>1.5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28153-2022</t>
        </is>
      </c>
      <c r="B3478" s="1" t="n">
        <v>44746</v>
      </c>
      <c r="C3478" s="1" t="n">
        <v>45182</v>
      </c>
      <c r="D3478" t="inlineStr">
        <is>
          <t>SÖDERMANLANDS LÄN</t>
        </is>
      </c>
      <c r="E3478" t="inlineStr">
        <is>
          <t>FLEN</t>
        </is>
      </c>
      <c r="G3478" t="n">
        <v>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28222-2022</t>
        </is>
      </c>
      <c r="B3479" s="1" t="n">
        <v>44746</v>
      </c>
      <c r="C3479" s="1" t="n">
        <v>45182</v>
      </c>
      <c r="D3479" t="inlineStr">
        <is>
          <t>SÖDERMANLANDS LÄN</t>
        </is>
      </c>
      <c r="E3479" t="inlineStr">
        <is>
          <t>ESKILSTUNA</t>
        </is>
      </c>
      <c r="G3479" t="n">
        <v>5.1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28503-2022</t>
        </is>
      </c>
      <c r="B3480" s="1" t="n">
        <v>44747</v>
      </c>
      <c r="C3480" s="1" t="n">
        <v>45182</v>
      </c>
      <c r="D3480" t="inlineStr">
        <is>
          <t>SÖDERMANLANDS LÄN</t>
        </is>
      </c>
      <c r="E3480" t="inlineStr">
        <is>
          <t>NYKÖPING</t>
        </is>
      </c>
      <c r="G3480" t="n">
        <v>1.7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28511-2022</t>
        </is>
      </c>
      <c r="B3481" s="1" t="n">
        <v>44748</v>
      </c>
      <c r="C3481" s="1" t="n">
        <v>45182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1.3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28636-2022</t>
        </is>
      </c>
      <c r="B3482" s="1" t="n">
        <v>44748</v>
      </c>
      <c r="C3482" s="1" t="n">
        <v>45182</v>
      </c>
      <c r="D3482" t="inlineStr">
        <is>
          <t>SÖDERMANLANDS LÄN</t>
        </is>
      </c>
      <c r="E3482" t="inlineStr">
        <is>
          <t>NYKÖPING</t>
        </is>
      </c>
      <c r="F3482" t="inlineStr">
        <is>
          <t>Holmen skog AB</t>
        </is>
      </c>
      <c r="G3482" t="n">
        <v>0.7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29068-2022</t>
        </is>
      </c>
      <c r="B3483" s="1" t="n">
        <v>44749</v>
      </c>
      <c r="C3483" s="1" t="n">
        <v>45182</v>
      </c>
      <c r="D3483" t="inlineStr">
        <is>
          <t>SÖDERMANLANDS LÄN</t>
        </is>
      </c>
      <c r="E3483" t="inlineStr">
        <is>
          <t>ESKILSTUNA</t>
        </is>
      </c>
      <c r="G3483" t="n">
        <v>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28985-2022</t>
        </is>
      </c>
      <c r="B3484" s="1" t="n">
        <v>44749</v>
      </c>
      <c r="C3484" s="1" t="n">
        <v>45182</v>
      </c>
      <c r="D3484" t="inlineStr">
        <is>
          <t>SÖDERMANLANDS LÄN</t>
        </is>
      </c>
      <c r="E3484" t="inlineStr">
        <is>
          <t>KATRINEHOLM</t>
        </is>
      </c>
      <c r="G3484" t="n">
        <v>6.4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29378-2022</t>
        </is>
      </c>
      <c r="B3485" s="1" t="n">
        <v>44752</v>
      </c>
      <c r="C3485" s="1" t="n">
        <v>45182</v>
      </c>
      <c r="D3485" t="inlineStr">
        <is>
          <t>SÖDERMANLANDS LÄN</t>
        </is>
      </c>
      <c r="E3485" t="inlineStr">
        <is>
          <t>FLEN</t>
        </is>
      </c>
      <c r="G3485" t="n">
        <v>0.7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29380-2022</t>
        </is>
      </c>
      <c r="B3486" s="1" t="n">
        <v>44752</v>
      </c>
      <c r="C3486" s="1" t="n">
        <v>45182</v>
      </c>
      <c r="D3486" t="inlineStr">
        <is>
          <t>SÖDERMANLANDS LÄN</t>
        </is>
      </c>
      <c r="E3486" t="inlineStr">
        <is>
          <t>FLEN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29367-2022</t>
        </is>
      </c>
      <c r="B3487" s="1" t="n">
        <v>44752</v>
      </c>
      <c r="C3487" s="1" t="n">
        <v>45182</v>
      </c>
      <c r="D3487" t="inlineStr">
        <is>
          <t>SÖDERMANLANDS LÄN</t>
        </is>
      </c>
      <c r="E3487" t="inlineStr">
        <is>
          <t>FLEN</t>
        </is>
      </c>
      <c r="G3487" t="n">
        <v>0.5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29421-2022</t>
        </is>
      </c>
      <c r="B3488" s="1" t="n">
        <v>44752</v>
      </c>
      <c r="C3488" s="1" t="n">
        <v>45182</v>
      </c>
      <c r="D3488" t="inlineStr">
        <is>
          <t>SÖDERMANLANDS LÄN</t>
        </is>
      </c>
      <c r="E3488" t="inlineStr">
        <is>
          <t>VINGÅKER</t>
        </is>
      </c>
      <c r="G3488" t="n">
        <v>2.4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29366-2022</t>
        </is>
      </c>
      <c r="B3489" s="1" t="n">
        <v>44752</v>
      </c>
      <c r="C3489" s="1" t="n">
        <v>45182</v>
      </c>
      <c r="D3489" t="inlineStr">
        <is>
          <t>SÖDERMANLANDS LÄN</t>
        </is>
      </c>
      <c r="E3489" t="inlineStr">
        <is>
          <t>VINGÅKER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29384-2022</t>
        </is>
      </c>
      <c r="B3490" s="1" t="n">
        <v>44752</v>
      </c>
      <c r="C3490" s="1" t="n">
        <v>45182</v>
      </c>
      <c r="D3490" t="inlineStr">
        <is>
          <t>SÖDERMANLANDS LÄN</t>
        </is>
      </c>
      <c r="E3490" t="inlineStr">
        <is>
          <t>FLEN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29499-2022</t>
        </is>
      </c>
      <c r="B3491" s="1" t="n">
        <v>44753</v>
      </c>
      <c r="C3491" s="1" t="n">
        <v>45182</v>
      </c>
      <c r="D3491" t="inlineStr">
        <is>
          <t>SÖDERMANLANDS LÄN</t>
        </is>
      </c>
      <c r="E3491" t="inlineStr">
        <is>
          <t>NYKÖPING</t>
        </is>
      </c>
      <c r="F3491" t="inlineStr">
        <is>
          <t>Kyrkan</t>
        </is>
      </c>
      <c r="G3491" t="n">
        <v>1.7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29389-2022</t>
        </is>
      </c>
      <c r="B3492" s="1" t="n">
        <v>44753</v>
      </c>
      <c r="C3492" s="1" t="n">
        <v>45182</v>
      </c>
      <c r="D3492" t="inlineStr">
        <is>
          <t>SÖDERMANLANDS LÄN</t>
        </is>
      </c>
      <c r="E3492" t="inlineStr">
        <is>
          <t>FLEN</t>
        </is>
      </c>
      <c r="F3492" t="inlineStr">
        <is>
          <t>Övriga statliga verk och myndigheter</t>
        </is>
      </c>
      <c r="G3492" t="n">
        <v>3.8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29610-2022</t>
        </is>
      </c>
      <c r="B3493" s="1" t="n">
        <v>44754</v>
      </c>
      <c r="C3493" s="1" t="n">
        <v>45182</v>
      </c>
      <c r="D3493" t="inlineStr">
        <is>
          <t>SÖDERMANLANDS LÄN</t>
        </is>
      </c>
      <c r="E3493" t="inlineStr">
        <is>
          <t>NYKÖPING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29631-2022</t>
        </is>
      </c>
      <c r="B3494" s="1" t="n">
        <v>44754</v>
      </c>
      <c r="C3494" s="1" t="n">
        <v>45182</v>
      </c>
      <c r="D3494" t="inlineStr">
        <is>
          <t>SÖDERMANLANDS LÄN</t>
        </is>
      </c>
      <c r="E3494" t="inlineStr">
        <is>
          <t>NYKÖPING</t>
        </is>
      </c>
      <c r="F3494" t="inlineStr">
        <is>
          <t>Holmen skog AB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29758-2022</t>
        </is>
      </c>
      <c r="B3495" s="1" t="n">
        <v>44755</v>
      </c>
      <c r="C3495" s="1" t="n">
        <v>45182</v>
      </c>
      <c r="D3495" t="inlineStr">
        <is>
          <t>SÖDERMANLANDS LÄN</t>
        </is>
      </c>
      <c r="E3495" t="inlineStr">
        <is>
          <t>GNESTA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29766-2022</t>
        </is>
      </c>
      <c r="B3496" s="1" t="n">
        <v>44755</v>
      </c>
      <c r="C3496" s="1" t="n">
        <v>45182</v>
      </c>
      <c r="D3496" t="inlineStr">
        <is>
          <t>SÖDERMANLANDS LÄN</t>
        </is>
      </c>
      <c r="E3496" t="inlineStr">
        <is>
          <t>NYKÖPING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29750-2022</t>
        </is>
      </c>
      <c r="B3497" s="1" t="n">
        <v>44755</v>
      </c>
      <c r="C3497" s="1" t="n">
        <v>45182</v>
      </c>
      <c r="D3497" t="inlineStr">
        <is>
          <t>SÖDERMANLANDS LÄN</t>
        </is>
      </c>
      <c r="E3497" t="inlineStr">
        <is>
          <t>ESKILSTUNA</t>
        </is>
      </c>
      <c r="G3497" t="n">
        <v>20.1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29760-2022</t>
        </is>
      </c>
      <c r="B3498" s="1" t="n">
        <v>44755</v>
      </c>
      <c r="C3498" s="1" t="n">
        <v>45182</v>
      </c>
      <c r="D3498" t="inlineStr">
        <is>
          <t>SÖDERMANLANDS LÄN</t>
        </is>
      </c>
      <c r="E3498" t="inlineStr">
        <is>
          <t>ESKILSTUNA</t>
        </is>
      </c>
      <c r="G3498" t="n">
        <v>3.6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29943-2022</t>
        </is>
      </c>
      <c r="B3499" s="1" t="n">
        <v>44756</v>
      </c>
      <c r="C3499" s="1" t="n">
        <v>45182</v>
      </c>
      <c r="D3499" t="inlineStr">
        <is>
          <t>SÖDERMANLANDS LÄN</t>
        </is>
      </c>
      <c r="E3499" t="inlineStr">
        <is>
          <t>TROSA</t>
        </is>
      </c>
      <c r="G3499" t="n">
        <v>11.4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29886-2022</t>
        </is>
      </c>
      <c r="B3500" s="1" t="n">
        <v>44756</v>
      </c>
      <c r="C3500" s="1" t="n">
        <v>45182</v>
      </c>
      <c r="D3500" t="inlineStr">
        <is>
          <t>SÖDERMANLANDS LÄN</t>
        </is>
      </c>
      <c r="E3500" t="inlineStr">
        <is>
          <t>ESKILSTUNA</t>
        </is>
      </c>
      <c r="G3500" t="n">
        <v>3.1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29930-2022</t>
        </is>
      </c>
      <c r="B3501" s="1" t="n">
        <v>44756</v>
      </c>
      <c r="C3501" s="1" t="n">
        <v>45182</v>
      </c>
      <c r="D3501" t="inlineStr">
        <is>
          <t>SÖDERMANLANDS LÄN</t>
        </is>
      </c>
      <c r="E3501" t="inlineStr">
        <is>
          <t>TROSA</t>
        </is>
      </c>
      <c r="G3501" t="n">
        <v>4.8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30167-2022</t>
        </is>
      </c>
      <c r="B3502" s="1" t="n">
        <v>44757</v>
      </c>
      <c r="C3502" s="1" t="n">
        <v>45182</v>
      </c>
      <c r="D3502" t="inlineStr">
        <is>
          <t>SÖDERMANLANDS LÄN</t>
        </is>
      </c>
      <c r="E3502" t="inlineStr">
        <is>
          <t>NYKÖPING</t>
        </is>
      </c>
      <c r="F3502" t="inlineStr">
        <is>
          <t>Kommuner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30087-2022</t>
        </is>
      </c>
      <c r="B3503" s="1" t="n">
        <v>44757</v>
      </c>
      <c r="C3503" s="1" t="n">
        <v>45182</v>
      </c>
      <c r="D3503" t="inlineStr">
        <is>
          <t>SÖDERMANLANDS LÄN</t>
        </is>
      </c>
      <c r="E3503" t="inlineStr">
        <is>
          <t>KATRINEHOLM</t>
        </is>
      </c>
      <c r="G3503" t="n">
        <v>4.1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30198-2022</t>
        </is>
      </c>
      <c r="B3504" s="1" t="n">
        <v>44757</v>
      </c>
      <c r="C3504" s="1" t="n">
        <v>45182</v>
      </c>
      <c r="D3504" t="inlineStr">
        <is>
          <t>SÖDERMANLANDS LÄN</t>
        </is>
      </c>
      <c r="E3504" t="inlineStr">
        <is>
          <t>NYKÖPING</t>
        </is>
      </c>
      <c r="F3504" t="inlineStr">
        <is>
          <t>Holmen skog AB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30375-2022</t>
        </is>
      </c>
      <c r="B3505" s="1" t="n">
        <v>44760</v>
      </c>
      <c r="C3505" s="1" t="n">
        <v>45182</v>
      </c>
      <c r="D3505" t="inlineStr">
        <is>
          <t>SÖDERMANLANDS LÄN</t>
        </is>
      </c>
      <c r="E3505" t="inlineStr">
        <is>
          <t>STRÄNGNÄS</t>
        </is>
      </c>
      <c r="G3505" t="n">
        <v>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30471-2022</t>
        </is>
      </c>
      <c r="B3506" s="1" t="n">
        <v>44761</v>
      </c>
      <c r="C3506" s="1" t="n">
        <v>45182</v>
      </c>
      <c r="D3506" t="inlineStr">
        <is>
          <t>SÖDERMANLANDS LÄN</t>
        </is>
      </c>
      <c r="E3506" t="inlineStr">
        <is>
          <t>NYKÖPING</t>
        </is>
      </c>
      <c r="G3506" t="n">
        <v>10.1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30567-2022</t>
        </is>
      </c>
      <c r="B3507" s="1" t="n">
        <v>44762</v>
      </c>
      <c r="C3507" s="1" t="n">
        <v>45182</v>
      </c>
      <c r="D3507" t="inlineStr">
        <is>
          <t>SÖDERMANLANDS LÄN</t>
        </is>
      </c>
      <c r="E3507" t="inlineStr">
        <is>
          <t>KATRINEHOLM</t>
        </is>
      </c>
      <c r="F3507" t="inlineStr">
        <is>
          <t>Övriga Aktiebolag</t>
        </is>
      </c>
      <c r="G3507" t="n">
        <v>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30575-2022</t>
        </is>
      </c>
      <c r="B3508" s="1" t="n">
        <v>44762</v>
      </c>
      <c r="C3508" s="1" t="n">
        <v>45182</v>
      </c>
      <c r="D3508" t="inlineStr">
        <is>
          <t>SÖDERMANLANDS LÄN</t>
        </is>
      </c>
      <c r="E3508" t="inlineStr">
        <is>
          <t>VINGÅKER</t>
        </is>
      </c>
      <c r="F3508" t="inlineStr">
        <is>
          <t>Övriga Aktiebolag</t>
        </is>
      </c>
      <c r="G3508" t="n">
        <v>10.5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30677-2022</t>
        </is>
      </c>
      <c r="B3509" s="1" t="n">
        <v>44763</v>
      </c>
      <c r="C3509" s="1" t="n">
        <v>45182</v>
      </c>
      <c r="D3509" t="inlineStr">
        <is>
          <t>SÖDERMANLANDS LÄN</t>
        </is>
      </c>
      <c r="E3509" t="inlineStr">
        <is>
          <t>STRÄNGNÄS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30698-2022</t>
        </is>
      </c>
      <c r="B3510" s="1" t="n">
        <v>44763</v>
      </c>
      <c r="C3510" s="1" t="n">
        <v>45182</v>
      </c>
      <c r="D3510" t="inlineStr">
        <is>
          <t>SÖDERMANLANDS LÄN</t>
        </is>
      </c>
      <c r="E3510" t="inlineStr">
        <is>
          <t>ESKILSTUNA</t>
        </is>
      </c>
      <c r="G3510" t="n">
        <v>1.7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30706-2022</t>
        </is>
      </c>
      <c r="B3511" s="1" t="n">
        <v>44763</v>
      </c>
      <c r="C3511" s="1" t="n">
        <v>45182</v>
      </c>
      <c r="D3511" t="inlineStr">
        <is>
          <t>SÖDERMANLANDS LÄN</t>
        </is>
      </c>
      <c r="E3511" t="inlineStr">
        <is>
          <t>GNESTA</t>
        </is>
      </c>
      <c r="G3511" t="n">
        <v>10.7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30859-2022</t>
        </is>
      </c>
      <c r="B3512" s="1" t="n">
        <v>44767</v>
      </c>
      <c r="C3512" s="1" t="n">
        <v>45182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30840-2022</t>
        </is>
      </c>
      <c r="B3513" s="1" t="n">
        <v>44767</v>
      </c>
      <c r="C3513" s="1" t="n">
        <v>45182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2.2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30865-2022</t>
        </is>
      </c>
      <c r="B3514" s="1" t="n">
        <v>44767</v>
      </c>
      <c r="C3514" s="1" t="n">
        <v>45182</v>
      </c>
      <c r="D3514" t="inlineStr">
        <is>
          <t>SÖDERMANLANDS LÄN</t>
        </is>
      </c>
      <c r="E3514" t="inlineStr">
        <is>
          <t>NYKÖPING</t>
        </is>
      </c>
      <c r="F3514" t="inlineStr">
        <is>
          <t>Holmen skog AB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30911-2022</t>
        </is>
      </c>
      <c r="B3515" s="1" t="n">
        <v>44767</v>
      </c>
      <c r="C3515" s="1" t="n">
        <v>45182</v>
      </c>
      <c r="D3515" t="inlineStr">
        <is>
          <t>SÖDERMANLANDS LÄN</t>
        </is>
      </c>
      <c r="E3515" t="inlineStr">
        <is>
          <t>GNESTA</t>
        </is>
      </c>
      <c r="G3515" t="n">
        <v>3.4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30981-2022</t>
        </is>
      </c>
      <c r="B3516" s="1" t="n">
        <v>44768</v>
      </c>
      <c r="C3516" s="1" t="n">
        <v>45182</v>
      </c>
      <c r="D3516" t="inlineStr">
        <is>
          <t>SÖDERMANLANDS LÄN</t>
        </is>
      </c>
      <c r="E3516" t="inlineStr">
        <is>
          <t>KATRINEHOLM</t>
        </is>
      </c>
      <c r="G3516" t="n">
        <v>1.4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30968-2022</t>
        </is>
      </c>
      <c r="B3517" s="1" t="n">
        <v>44768</v>
      </c>
      <c r="C3517" s="1" t="n">
        <v>45182</v>
      </c>
      <c r="D3517" t="inlineStr">
        <is>
          <t>SÖDERMANLANDS LÄN</t>
        </is>
      </c>
      <c r="E3517" t="inlineStr">
        <is>
          <t>ESKILSTUNA</t>
        </is>
      </c>
      <c r="F3517" t="inlineStr">
        <is>
          <t>Sveaskog</t>
        </is>
      </c>
      <c r="G3517" t="n">
        <v>3.8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31077-2022</t>
        </is>
      </c>
      <c r="B3518" s="1" t="n">
        <v>44769</v>
      </c>
      <c r="C3518" s="1" t="n">
        <v>45182</v>
      </c>
      <c r="D3518" t="inlineStr">
        <is>
          <t>SÖDERMANLANDS LÄN</t>
        </is>
      </c>
      <c r="E3518" t="inlineStr">
        <is>
          <t>FLEN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31068-2022</t>
        </is>
      </c>
      <c r="B3519" s="1" t="n">
        <v>44769</v>
      </c>
      <c r="C3519" s="1" t="n">
        <v>45182</v>
      </c>
      <c r="D3519" t="inlineStr">
        <is>
          <t>SÖDERMANLANDS LÄN</t>
        </is>
      </c>
      <c r="E3519" t="inlineStr">
        <is>
          <t>FLEN</t>
        </is>
      </c>
      <c r="G3519" t="n">
        <v>0.9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31083-2022</t>
        </is>
      </c>
      <c r="B3520" s="1" t="n">
        <v>44769</v>
      </c>
      <c r="C3520" s="1" t="n">
        <v>45182</v>
      </c>
      <c r="D3520" t="inlineStr">
        <is>
          <t>SÖDERMANLANDS LÄN</t>
        </is>
      </c>
      <c r="E3520" t="inlineStr">
        <is>
          <t>FLEN</t>
        </is>
      </c>
      <c r="G3520" t="n">
        <v>7.1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31096-2022</t>
        </is>
      </c>
      <c r="B3521" s="1" t="n">
        <v>44769</v>
      </c>
      <c r="C3521" s="1" t="n">
        <v>45182</v>
      </c>
      <c r="D3521" t="inlineStr">
        <is>
          <t>SÖDERMANLANDS LÄN</t>
        </is>
      </c>
      <c r="E3521" t="inlineStr">
        <is>
          <t>FLEN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31079-2022</t>
        </is>
      </c>
      <c r="B3522" s="1" t="n">
        <v>44769</v>
      </c>
      <c r="C3522" s="1" t="n">
        <v>45182</v>
      </c>
      <c r="D3522" t="inlineStr">
        <is>
          <t>SÖDERMANLANDS LÄN</t>
        </is>
      </c>
      <c r="E3522" t="inlineStr">
        <is>
          <t>FLEN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31175-2022</t>
        </is>
      </c>
      <c r="B3523" s="1" t="n">
        <v>44770</v>
      </c>
      <c r="C3523" s="1" t="n">
        <v>45182</v>
      </c>
      <c r="D3523" t="inlineStr">
        <is>
          <t>SÖDERMANLANDS LÄN</t>
        </is>
      </c>
      <c r="E3523" t="inlineStr">
        <is>
          <t>FLEN</t>
        </is>
      </c>
      <c r="F3523" t="inlineStr">
        <is>
          <t>Övriga statliga verk och myndigheter</t>
        </is>
      </c>
      <c r="G3523" t="n">
        <v>3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31238-2022</t>
        </is>
      </c>
      <c r="B3524" s="1" t="n">
        <v>44771</v>
      </c>
      <c r="C3524" s="1" t="n">
        <v>45182</v>
      </c>
      <c r="D3524" t="inlineStr">
        <is>
          <t>SÖDERMANLANDS LÄN</t>
        </is>
      </c>
      <c r="E3524" t="inlineStr">
        <is>
          <t>FLEN</t>
        </is>
      </c>
      <c r="G3524" t="n">
        <v>7.5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31214-2022</t>
        </is>
      </c>
      <c r="B3525" s="1" t="n">
        <v>44771</v>
      </c>
      <c r="C3525" s="1" t="n">
        <v>45182</v>
      </c>
      <c r="D3525" t="inlineStr">
        <is>
          <t>SÖDERMANLANDS LÄN</t>
        </is>
      </c>
      <c r="E3525" t="inlineStr">
        <is>
          <t>VINGÅKER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31306-2022</t>
        </is>
      </c>
      <c r="B3526" s="1" t="n">
        <v>44773</v>
      </c>
      <c r="C3526" s="1" t="n">
        <v>45182</v>
      </c>
      <c r="D3526" t="inlineStr">
        <is>
          <t>SÖDERMANLANDS LÄN</t>
        </is>
      </c>
      <c r="E3526" t="inlineStr">
        <is>
          <t>GNESTA</t>
        </is>
      </c>
      <c r="G3526" t="n">
        <v>0.7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31401-2022</t>
        </is>
      </c>
      <c r="B3527" s="1" t="n">
        <v>44774</v>
      </c>
      <c r="C3527" s="1" t="n">
        <v>45182</v>
      </c>
      <c r="D3527" t="inlineStr">
        <is>
          <t>SÖDERMANLANDS LÄN</t>
        </is>
      </c>
      <c r="E3527" t="inlineStr">
        <is>
          <t>NYKÖPING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31427-2022</t>
        </is>
      </c>
      <c r="B3528" s="1" t="n">
        <v>44774</v>
      </c>
      <c r="C3528" s="1" t="n">
        <v>45182</v>
      </c>
      <c r="D3528" t="inlineStr">
        <is>
          <t>SÖDERMANLANDS LÄN</t>
        </is>
      </c>
      <c r="E3528" t="inlineStr">
        <is>
          <t>FLEN</t>
        </is>
      </c>
      <c r="G3528" t="n">
        <v>3.7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31392-2022</t>
        </is>
      </c>
      <c r="B3529" s="1" t="n">
        <v>44774</v>
      </c>
      <c r="C3529" s="1" t="n">
        <v>45182</v>
      </c>
      <c r="D3529" t="inlineStr">
        <is>
          <t>SÖDERMANLANDS LÄN</t>
        </is>
      </c>
      <c r="E3529" t="inlineStr">
        <is>
          <t>NYKÖPING</t>
        </is>
      </c>
      <c r="G3529" t="n">
        <v>4.7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31422-2022</t>
        </is>
      </c>
      <c r="B3530" s="1" t="n">
        <v>44774</v>
      </c>
      <c r="C3530" s="1" t="n">
        <v>45182</v>
      </c>
      <c r="D3530" t="inlineStr">
        <is>
          <t>SÖDERMANLANDS LÄN</t>
        </is>
      </c>
      <c r="E3530" t="inlineStr">
        <is>
          <t>NYKÖPING</t>
        </is>
      </c>
      <c r="G3530" t="n">
        <v>3.7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31398-2022</t>
        </is>
      </c>
      <c r="B3531" s="1" t="n">
        <v>44774</v>
      </c>
      <c r="C3531" s="1" t="n">
        <v>45182</v>
      </c>
      <c r="D3531" t="inlineStr">
        <is>
          <t>SÖDERMANLANDS LÄN</t>
        </is>
      </c>
      <c r="E3531" t="inlineStr">
        <is>
          <t>NYKÖPING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31424-2022</t>
        </is>
      </c>
      <c r="B3532" s="1" t="n">
        <v>44774</v>
      </c>
      <c r="C3532" s="1" t="n">
        <v>45182</v>
      </c>
      <c r="D3532" t="inlineStr">
        <is>
          <t>SÖDERMANLANDS LÄN</t>
        </is>
      </c>
      <c r="E3532" t="inlineStr">
        <is>
          <t>NYKÖPING</t>
        </is>
      </c>
      <c r="G3532" t="n">
        <v>2.4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31538-2022</t>
        </is>
      </c>
      <c r="B3533" s="1" t="n">
        <v>44775</v>
      </c>
      <c r="C3533" s="1" t="n">
        <v>45182</v>
      </c>
      <c r="D3533" t="inlineStr">
        <is>
          <t>SÖDERMANLANDS LÄN</t>
        </is>
      </c>
      <c r="E3533" t="inlineStr">
        <is>
          <t>NYKÖPING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31681-2022</t>
        </is>
      </c>
      <c r="B3534" s="1" t="n">
        <v>44776</v>
      </c>
      <c r="C3534" s="1" t="n">
        <v>45182</v>
      </c>
      <c r="D3534" t="inlineStr">
        <is>
          <t>SÖDERMANLANDS LÄN</t>
        </is>
      </c>
      <c r="E3534" t="inlineStr">
        <is>
          <t>VINGÅKER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31833-2022</t>
        </is>
      </c>
      <c r="B3535" s="1" t="n">
        <v>44776</v>
      </c>
      <c r="C3535" s="1" t="n">
        <v>45182</v>
      </c>
      <c r="D3535" t="inlineStr">
        <is>
          <t>SÖDERMANLANDS LÄN</t>
        </is>
      </c>
      <c r="E3535" t="inlineStr">
        <is>
          <t>NYKÖPING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31832-2022</t>
        </is>
      </c>
      <c r="B3536" s="1" t="n">
        <v>44776</v>
      </c>
      <c r="C3536" s="1" t="n">
        <v>45182</v>
      </c>
      <c r="D3536" t="inlineStr">
        <is>
          <t>SÖDERMANLANDS LÄN</t>
        </is>
      </c>
      <c r="E3536" t="inlineStr">
        <is>
          <t>GNESTA</t>
        </is>
      </c>
      <c r="F3536" t="inlineStr">
        <is>
          <t>Allmännings- och besparingsskogar</t>
        </is>
      </c>
      <c r="G3536" t="n">
        <v>7.4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31740-2022</t>
        </is>
      </c>
      <c r="B3537" s="1" t="n">
        <v>44776</v>
      </c>
      <c r="C3537" s="1" t="n">
        <v>45182</v>
      </c>
      <c r="D3537" t="inlineStr">
        <is>
          <t>SÖDERMANLANDS LÄN</t>
        </is>
      </c>
      <c r="E3537" t="inlineStr">
        <is>
          <t>KATRINEHOLM</t>
        </is>
      </c>
      <c r="G3537" t="n">
        <v>1.1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31830-2022</t>
        </is>
      </c>
      <c r="B3538" s="1" t="n">
        <v>44776</v>
      </c>
      <c r="C3538" s="1" t="n">
        <v>45182</v>
      </c>
      <c r="D3538" t="inlineStr">
        <is>
          <t>SÖDERMANLANDS LÄN</t>
        </is>
      </c>
      <c r="E3538" t="inlineStr">
        <is>
          <t>GNESTA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32023-2022</t>
        </is>
      </c>
      <c r="B3539" s="1" t="n">
        <v>44778</v>
      </c>
      <c r="C3539" s="1" t="n">
        <v>45182</v>
      </c>
      <c r="D3539" t="inlineStr">
        <is>
          <t>SÖDERMANLANDS LÄN</t>
        </is>
      </c>
      <c r="E3539" t="inlineStr">
        <is>
          <t>FLEN</t>
        </is>
      </c>
      <c r="G3539" t="n">
        <v>1.7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32098-2022</t>
        </is>
      </c>
      <c r="B3540" s="1" t="n">
        <v>44778</v>
      </c>
      <c r="C3540" s="1" t="n">
        <v>45182</v>
      </c>
      <c r="D3540" t="inlineStr">
        <is>
          <t>SÖDERMANLANDS LÄN</t>
        </is>
      </c>
      <c r="E3540" t="inlineStr">
        <is>
          <t>FLEN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32166-2022</t>
        </is>
      </c>
      <c r="B3541" s="1" t="n">
        <v>44781</v>
      </c>
      <c r="C3541" s="1" t="n">
        <v>45182</v>
      </c>
      <c r="D3541" t="inlineStr">
        <is>
          <t>SÖDERMANLANDS LÄN</t>
        </is>
      </c>
      <c r="E3541" t="inlineStr">
        <is>
          <t>KATRINEHOLM</t>
        </is>
      </c>
      <c r="F3541" t="inlineStr">
        <is>
          <t>Kommuner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32406-2022</t>
        </is>
      </c>
      <c r="B3542" s="1" t="n">
        <v>44781</v>
      </c>
      <c r="C3542" s="1" t="n">
        <v>45182</v>
      </c>
      <c r="D3542" t="inlineStr">
        <is>
          <t>SÖDERMANLANDS LÄN</t>
        </is>
      </c>
      <c r="E3542" t="inlineStr">
        <is>
          <t>ESKILSTUNA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32169-2022</t>
        </is>
      </c>
      <c r="B3543" s="1" t="n">
        <v>44781</v>
      </c>
      <c r="C3543" s="1" t="n">
        <v>45182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32160-2022</t>
        </is>
      </c>
      <c r="B3544" s="1" t="n">
        <v>44781</v>
      </c>
      <c r="C3544" s="1" t="n">
        <v>45182</v>
      </c>
      <c r="D3544" t="inlineStr">
        <is>
          <t>SÖDERMANLANDS LÄN</t>
        </is>
      </c>
      <c r="E3544" t="inlineStr">
        <is>
          <t>KATRINEHOLM</t>
        </is>
      </c>
      <c r="F3544" t="inlineStr">
        <is>
          <t>Kommuner</t>
        </is>
      </c>
      <c r="G3544" t="n">
        <v>1.6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32273-2022</t>
        </is>
      </c>
      <c r="B3545" s="1" t="n">
        <v>44781</v>
      </c>
      <c r="C3545" s="1" t="n">
        <v>45182</v>
      </c>
      <c r="D3545" t="inlineStr">
        <is>
          <t>SÖDERMANLANDS LÄN</t>
        </is>
      </c>
      <c r="E3545" t="inlineStr">
        <is>
          <t>GNESTA</t>
        </is>
      </c>
      <c r="G3545" t="n">
        <v>4.5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32320-2022</t>
        </is>
      </c>
      <c r="B3546" s="1" t="n">
        <v>44781</v>
      </c>
      <c r="C3546" s="1" t="n">
        <v>45182</v>
      </c>
      <c r="D3546" t="inlineStr">
        <is>
          <t>SÖDERMANLANDS LÄN</t>
        </is>
      </c>
      <c r="E3546" t="inlineStr">
        <is>
          <t>GNESTA</t>
        </is>
      </c>
      <c r="G3546" t="n">
        <v>2.1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32164-2022</t>
        </is>
      </c>
      <c r="B3547" s="1" t="n">
        <v>44781</v>
      </c>
      <c r="C3547" s="1" t="n">
        <v>45182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32215-2022</t>
        </is>
      </c>
      <c r="B3548" s="1" t="n">
        <v>44781</v>
      </c>
      <c r="C3548" s="1" t="n">
        <v>45182</v>
      </c>
      <c r="D3548" t="inlineStr">
        <is>
          <t>SÖDERMANLANDS LÄN</t>
        </is>
      </c>
      <c r="E3548" t="inlineStr">
        <is>
          <t>GNESTA</t>
        </is>
      </c>
      <c r="G3548" t="n">
        <v>3.1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32390-2022</t>
        </is>
      </c>
      <c r="B3549" s="1" t="n">
        <v>44781</v>
      </c>
      <c r="C3549" s="1" t="n">
        <v>45182</v>
      </c>
      <c r="D3549" t="inlineStr">
        <is>
          <t>SÖDERMANLANDS LÄN</t>
        </is>
      </c>
      <c r="E3549" t="inlineStr">
        <is>
          <t>ESKILSTUNA</t>
        </is>
      </c>
      <c r="G3549" t="n">
        <v>2.1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32401-2022</t>
        </is>
      </c>
      <c r="B3550" s="1" t="n">
        <v>44781</v>
      </c>
      <c r="C3550" s="1" t="n">
        <v>45182</v>
      </c>
      <c r="D3550" t="inlineStr">
        <is>
          <t>SÖDERMANLANDS LÄN</t>
        </is>
      </c>
      <c r="E3550" t="inlineStr">
        <is>
          <t>ESKILSTUNA</t>
        </is>
      </c>
      <c r="G3550" t="n">
        <v>2.7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32432-2022</t>
        </is>
      </c>
      <c r="B3551" s="1" t="n">
        <v>44782</v>
      </c>
      <c r="C3551" s="1" t="n">
        <v>45182</v>
      </c>
      <c r="D3551" t="inlineStr">
        <is>
          <t>SÖDERMANLANDS LÄN</t>
        </is>
      </c>
      <c r="E3551" t="inlineStr">
        <is>
          <t>FLEN</t>
        </is>
      </c>
      <c r="G3551" t="n">
        <v>6.4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32484-2022</t>
        </is>
      </c>
      <c r="B3552" s="1" t="n">
        <v>44782</v>
      </c>
      <c r="C3552" s="1" t="n">
        <v>45182</v>
      </c>
      <c r="D3552" t="inlineStr">
        <is>
          <t>SÖDERMANLANDS LÄN</t>
        </is>
      </c>
      <c r="E3552" t="inlineStr">
        <is>
          <t>ESKILSTUNA</t>
        </is>
      </c>
      <c r="G3552" t="n">
        <v>0.6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32598-2022</t>
        </is>
      </c>
      <c r="B3553" s="1" t="n">
        <v>44783</v>
      </c>
      <c r="C3553" s="1" t="n">
        <v>45182</v>
      </c>
      <c r="D3553" t="inlineStr">
        <is>
          <t>SÖDERMANLANDS LÄN</t>
        </is>
      </c>
      <c r="E3553" t="inlineStr">
        <is>
          <t>KATRINEHOLM</t>
        </is>
      </c>
      <c r="G3553" t="n">
        <v>7.7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32632-2022</t>
        </is>
      </c>
      <c r="B3554" s="1" t="n">
        <v>44783</v>
      </c>
      <c r="C3554" s="1" t="n">
        <v>45182</v>
      </c>
      <c r="D3554" t="inlineStr">
        <is>
          <t>SÖDERMANLANDS LÄN</t>
        </is>
      </c>
      <c r="E3554" t="inlineStr">
        <is>
          <t>KATRINEHOLM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32671-2022</t>
        </is>
      </c>
      <c r="B3555" s="1" t="n">
        <v>44783</v>
      </c>
      <c r="C3555" s="1" t="n">
        <v>45182</v>
      </c>
      <c r="D3555" t="inlineStr">
        <is>
          <t>SÖDERMANLANDS LÄN</t>
        </is>
      </c>
      <c r="E3555" t="inlineStr">
        <is>
          <t>NYKÖPING</t>
        </is>
      </c>
      <c r="F3555" t="inlineStr">
        <is>
          <t>Holmen skog AB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32594-2022</t>
        </is>
      </c>
      <c r="B3556" s="1" t="n">
        <v>44783</v>
      </c>
      <c r="C3556" s="1" t="n">
        <v>45182</v>
      </c>
      <c r="D3556" t="inlineStr">
        <is>
          <t>SÖDERMANLANDS LÄN</t>
        </is>
      </c>
      <c r="E3556" t="inlineStr">
        <is>
          <t>NYKÖPING</t>
        </is>
      </c>
      <c r="G3556" t="n">
        <v>3.3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32600-2022</t>
        </is>
      </c>
      <c r="B3557" s="1" t="n">
        <v>44783</v>
      </c>
      <c r="C3557" s="1" t="n">
        <v>45182</v>
      </c>
      <c r="D3557" t="inlineStr">
        <is>
          <t>SÖDERMANLANDS LÄN</t>
        </is>
      </c>
      <c r="E3557" t="inlineStr">
        <is>
          <t>KATRINEHOLM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32639-2022</t>
        </is>
      </c>
      <c r="B3558" s="1" t="n">
        <v>44783</v>
      </c>
      <c r="C3558" s="1" t="n">
        <v>45182</v>
      </c>
      <c r="D3558" t="inlineStr">
        <is>
          <t>SÖDERMANLANDS LÄN</t>
        </is>
      </c>
      <c r="E3558" t="inlineStr">
        <is>
          <t>KATRINEHOLM</t>
        </is>
      </c>
      <c r="G3558" t="n">
        <v>1.8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32719-2022</t>
        </is>
      </c>
      <c r="B3559" s="1" t="n">
        <v>44783</v>
      </c>
      <c r="C3559" s="1" t="n">
        <v>45182</v>
      </c>
      <c r="D3559" t="inlineStr">
        <is>
          <t>SÖDERMANLANDS LÄN</t>
        </is>
      </c>
      <c r="E3559" t="inlineStr">
        <is>
          <t>NYKÖPING</t>
        </is>
      </c>
      <c r="G3559" t="n">
        <v>4.2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32606-2022</t>
        </is>
      </c>
      <c r="B3560" s="1" t="n">
        <v>44783</v>
      </c>
      <c r="C3560" s="1" t="n">
        <v>45182</v>
      </c>
      <c r="D3560" t="inlineStr">
        <is>
          <t>SÖDERMANLANDS LÄN</t>
        </is>
      </c>
      <c r="E3560" t="inlineStr">
        <is>
          <t>KATRINEHOLM</t>
        </is>
      </c>
      <c r="G3560" t="n">
        <v>1.9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32588-2022</t>
        </is>
      </c>
      <c r="B3561" s="1" t="n">
        <v>44783</v>
      </c>
      <c r="C3561" s="1" t="n">
        <v>45182</v>
      </c>
      <c r="D3561" t="inlineStr">
        <is>
          <t>SÖDERMANLANDS LÄN</t>
        </is>
      </c>
      <c r="E3561" t="inlineStr">
        <is>
          <t>ESKILSTUNA</t>
        </is>
      </c>
      <c r="G3561" t="n">
        <v>2.6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32715-2022</t>
        </is>
      </c>
      <c r="B3562" s="1" t="n">
        <v>44783</v>
      </c>
      <c r="C3562" s="1" t="n">
        <v>45182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1.2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32721-2022</t>
        </is>
      </c>
      <c r="B3563" s="1" t="n">
        <v>44783</v>
      </c>
      <c r="C3563" s="1" t="n">
        <v>45182</v>
      </c>
      <c r="D3563" t="inlineStr">
        <is>
          <t>SÖDERMANLANDS LÄN</t>
        </is>
      </c>
      <c r="E3563" t="inlineStr">
        <is>
          <t>NYKÖPING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32837-2022</t>
        </is>
      </c>
      <c r="B3564" s="1" t="n">
        <v>44784</v>
      </c>
      <c r="C3564" s="1" t="n">
        <v>45182</v>
      </c>
      <c r="D3564" t="inlineStr">
        <is>
          <t>SÖDERMANLANDS LÄN</t>
        </is>
      </c>
      <c r="E3564" t="inlineStr">
        <is>
          <t>NYKÖPING</t>
        </is>
      </c>
      <c r="F3564" t="inlineStr">
        <is>
          <t>Kommuner</t>
        </is>
      </c>
      <c r="G3564" t="n">
        <v>4.8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32854-2022</t>
        </is>
      </c>
      <c r="B3565" s="1" t="n">
        <v>44784</v>
      </c>
      <c r="C3565" s="1" t="n">
        <v>45182</v>
      </c>
      <c r="D3565" t="inlineStr">
        <is>
          <t>SÖDERMANLANDS LÄN</t>
        </is>
      </c>
      <c r="E3565" t="inlineStr">
        <is>
          <t>GNESTA</t>
        </is>
      </c>
      <c r="G3565" t="n">
        <v>7.3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32928-2022</t>
        </is>
      </c>
      <c r="B3566" s="1" t="n">
        <v>44784</v>
      </c>
      <c r="C3566" s="1" t="n">
        <v>45182</v>
      </c>
      <c r="D3566" t="inlineStr">
        <is>
          <t>SÖDERMANLANDS LÄN</t>
        </is>
      </c>
      <c r="E3566" t="inlineStr">
        <is>
          <t>NYKÖPING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32786-2022</t>
        </is>
      </c>
      <c r="B3567" s="1" t="n">
        <v>44784</v>
      </c>
      <c r="C3567" s="1" t="n">
        <v>45182</v>
      </c>
      <c r="D3567" t="inlineStr">
        <is>
          <t>SÖDERMANLANDS LÄN</t>
        </is>
      </c>
      <c r="E3567" t="inlineStr">
        <is>
          <t>KATRINEHOLM</t>
        </is>
      </c>
      <c r="G3567" t="n">
        <v>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32836-2022</t>
        </is>
      </c>
      <c r="B3568" s="1" t="n">
        <v>44784</v>
      </c>
      <c r="C3568" s="1" t="n">
        <v>45182</v>
      </c>
      <c r="D3568" t="inlineStr">
        <is>
          <t>SÖDERMANLANDS LÄN</t>
        </is>
      </c>
      <c r="E3568" t="inlineStr">
        <is>
          <t>NYKÖPING</t>
        </is>
      </c>
      <c r="G3568" t="n">
        <v>3.8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32925-2022</t>
        </is>
      </c>
      <c r="B3569" s="1" t="n">
        <v>44784</v>
      </c>
      <c r="C3569" s="1" t="n">
        <v>45182</v>
      </c>
      <c r="D3569" t="inlineStr">
        <is>
          <t>SÖDERMANLANDS LÄN</t>
        </is>
      </c>
      <c r="E3569" t="inlineStr">
        <is>
          <t>ESKILSTUNA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32841-2022</t>
        </is>
      </c>
      <c r="B3570" s="1" t="n">
        <v>44784</v>
      </c>
      <c r="C3570" s="1" t="n">
        <v>45182</v>
      </c>
      <c r="D3570" t="inlineStr">
        <is>
          <t>SÖDERMANLANDS LÄN</t>
        </is>
      </c>
      <c r="E3570" t="inlineStr">
        <is>
          <t>NYKÖPING</t>
        </is>
      </c>
      <c r="G3570" t="n">
        <v>0.8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32855-2022</t>
        </is>
      </c>
      <c r="B3571" s="1" t="n">
        <v>44784</v>
      </c>
      <c r="C3571" s="1" t="n">
        <v>45182</v>
      </c>
      <c r="D3571" t="inlineStr">
        <is>
          <t>SÖDERMANLANDS LÄN</t>
        </is>
      </c>
      <c r="E3571" t="inlineStr">
        <is>
          <t>KATRINEHOLM</t>
        </is>
      </c>
      <c r="G3571" t="n">
        <v>3.2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33101-2022</t>
        </is>
      </c>
      <c r="B3572" s="1" t="n">
        <v>44785</v>
      </c>
      <c r="C3572" s="1" t="n">
        <v>45182</v>
      </c>
      <c r="D3572" t="inlineStr">
        <is>
          <t>SÖDERMANLANDS LÄN</t>
        </is>
      </c>
      <c r="E3572" t="inlineStr">
        <is>
          <t>FLEN</t>
        </is>
      </c>
      <c r="G3572" t="n">
        <v>0.9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33052-2022</t>
        </is>
      </c>
      <c r="B3573" s="1" t="n">
        <v>44785</v>
      </c>
      <c r="C3573" s="1" t="n">
        <v>45182</v>
      </c>
      <c r="D3573" t="inlineStr">
        <is>
          <t>SÖDERMANLANDS LÄN</t>
        </is>
      </c>
      <c r="E3573" t="inlineStr">
        <is>
          <t>ESKILSTUNA</t>
        </is>
      </c>
      <c r="F3573" t="inlineStr">
        <is>
          <t>Kyrkan</t>
        </is>
      </c>
      <c r="G3573" t="n">
        <v>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33103-2022</t>
        </is>
      </c>
      <c r="B3574" s="1" t="n">
        <v>44785</v>
      </c>
      <c r="C3574" s="1" t="n">
        <v>45182</v>
      </c>
      <c r="D3574" t="inlineStr">
        <is>
          <t>SÖDERMANLANDS LÄN</t>
        </is>
      </c>
      <c r="E3574" t="inlineStr">
        <is>
          <t>FLEN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33492-2022</t>
        </is>
      </c>
      <c r="B3575" s="1" t="n">
        <v>44788</v>
      </c>
      <c r="C3575" s="1" t="n">
        <v>45182</v>
      </c>
      <c r="D3575" t="inlineStr">
        <is>
          <t>SÖDERMANLANDS LÄN</t>
        </is>
      </c>
      <c r="E3575" t="inlineStr">
        <is>
          <t>STRÄNGNÄS</t>
        </is>
      </c>
      <c r="G3575" t="n">
        <v>0.3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33538-2022</t>
        </is>
      </c>
      <c r="B3576" s="1" t="n">
        <v>44789</v>
      </c>
      <c r="C3576" s="1" t="n">
        <v>45182</v>
      </c>
      <c r="D3576" t="inlineStr">
        <is>
          <t>SÖDERMANLANDS LÄN</t>
        </is>
      </c>
      <c r="E3576" t="inlineStr">
        <is>
          <t>KATRINEHOLM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33585-2022</t>
        </is>
      </c>
      <c r="B3577" s="1" t="n">
        <v>44789</v>
      </c>
      <c r="C3577" s="1" t="n">
        <v>45182</v>
      </c>
      <c r="D3577" t="inlineStr">
        <is>
          <t>SÖDERMANLANDS LÄN</t>
        </is>
      </c>
      <c r="E3577" t="inlineStr">
        <is>
          <t>ESKILSTUNA</t>
        </is>
      </c>
      <c r="G3577" t="n">
        <v>5.5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33703-2022</t>
        </is>
      </c>
      <c r="B3578" s="1" t="n">
        <v>44789</v>
      </c>
      <c r="C3578" s="1" t="n">
        <v>45182</v>
      </c>
      <c r="D3578" t="inlineStr">
        <is>
          <t>SÖDERMANLANDS LÄN</t>
        </is>
      </c>
      <c r="E3578" t="inlineStr">
        <is>
          <t>ESKILSTUNA</t>
        </is>
      </c>
      <c r="G3578" t="n">
        <v>4.3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33753-2022</t>
        </is>
      </c>
      <c r="B3579" s="1" t="n">
        <v>44789</v>
      </c>
      <c r="C3579" s="1" t="n">
        <v>45182</v>
      </c>
      <c r="D3579" t="inlineStr">
        <is>
          <t>SÖDERMANLANDS LÄN</t>
        </is>
      </c>
      <c r="E3579" t="inlineStr">
        <is>
          <t>KATRINEHOLM</t>
        </is>
      </c>
      <c r="G3579" t="n">
        <v>4.9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33769-2022</t>
        </is>
      </c>
      <c r="B3580" s="1" t="n">
        <v>44789</v>
      </c>
      <c r="C3580" s="1" t="n">
        <v>45182</v>
      </c>
      <c r="D3580" t="inlineStr">
        <is>
          <t>SÖDERMANLANDS LÄN</t>
        </is>
      </c>
      <c r="E3580" t="inlineStr">
        <is>
          <t>NYKÖPING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33763-2022</t>
        </is>
      </c>
      <c r="B3581" s="1" t="n">
        <v>44789</v>
      </c>
      <c r="C3581" s="1" t="n">
        <v>45182</v>
      </c>
      <c r="D3581" t="inlineStr">
        <is>
          <t>SÖDERMANLANDS LÄN</t>
        </is>
      </c>
      <c r="E3581" t="inlineStr">
        <is>
          <t>NYKÖPING</t>
        </is>
      </c>
      <c r="G3581" t="n">
        <v>1.3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33706-2022</t>
        </is>
      </c>
      <c r="B3582" s="1" t="n">
        <v>44789</v>
      </c>
      <c r="C3582" s="1" t="n">
        <v>45182</v>
      </c>
      <c r="D3582" t="inlineStr">
        <is>
          <t>SÖDERMANLANDS LÄN</t>
        </is>
      </c>
      <c r="E3582" t="inlineStr">
        <is>
          <t>NYKÖPING</t>
        </is>
      </c>
      <c r="F3582" t="inlineStr">
        <is>
          <t>Kyrkan</t>
        </is>
      </c>
      <c r="G3582" t="n">
        <v>3.8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33712-2022</t>
        </is>
      </c>
      <c r="B3583" s="1" t="n">
        <v>44789</v>
      </c>
      <c r="C3583" s="1" t="n">
        <v>45182</v>
      </c>
      <c r="D3583" t="inlineStr">
        <is>
          <t>SÖDERMANLANDS LÄN</t>
        </is>
      </c>
      <c r="E3583" t="inlineStr">
        <is>
          <t>KATRINEHOLM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33759-2022</t>
        </is>
      </c>
      <c r="B3584" s="1" t="n">
        <v>44789</v>
      </c>
      <c r="C3584" s="1" t="n">
        <v>45182</v>
      </c>
      <c r="D3584" t="inlineStr">
        <is>
          <t>SÖDERMANLANDS LÄN</t>
        </is>
      </c>
      <c r="E3584" t="inlineStr">
        <is>
          <t>NYKÖPING</t>
        </is>
      </c>
      <c r="G3584" t="n">
        <v>1.5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33977-2022</t>
        </is>
      </c>
      <c r="B3585" s="1" t="n">
        <v>44790</v>
      </c>
      <c r="C3585" s="1" t="n">
        <v>45182</v>
      </c>
      <c r="D3585" t="inlineStr">
        <is>
          <t>SÖDERMANLANDS LÄN</t>
        </is>
      </c>
      <c r="E3585" t="inlineStr">
        <is>
          <t>STRÄNGNÄS</t>
        </is>
      </c>
      <c r="G3585" t="n">
        <v>1.2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33875-2022</t>
        </is>
      </c>
      <c r="B3586" s="1" t="n">
        <v>44790</v>
      </c>
      <c r="C3586" s="1" t="n">
        <v>45182</v>
      </c>
      <c r="D3586" t="inlineStr">
        <is>
          <t>SÖDERMANLANDS LÄN</t>
        </is>
      </c>
      <c r="E3586" t="inlineStr">
        <is>
          <t>NYKÖPING</t>
        </is>
      </c>
      <c r="G3586" t="n">
        <v>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33934-2022</t>
        </is>
      </c>
      <c r="B3587" s="1" t="n">
        <v>44790</v>
      </c>
      <c r="C3587" s="1" t="n">
        <v>45182</v>
      </c>
      <c r="D3587" t="inlineStr">
        <is>
          <t>SÖDERMANLANDS LÄN</t>
        </is>
      </c>
      <c r="E3587" t="inlineStr">
        <is>
          <t>KATRINEHOLM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34040-2022</t>
        </is>
      </c>
      <c r="B3588" s="1" t="n">
        <v>44790</v>
      </c>
      <c r="C3588" s="1" t="n">
        <v>45182</v>
      </c>
      <c r="D3588" t="inlineStr">
        <is>
          <t>SÖDERMANLANDS LÄN</t>
        </is>
      </c>
      <c r="E3588" t="inlineStr">
        <is>
          <t>KATRINEHOLM</t>
        </is>
      </c>
      <c r="F3588" t="inlineStr">
        <is>
          <t>Allmännings- och besparingsskogar</t>
        </is>
      </c>
      <c r="G3588" t="n">
        <v>2.5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34115-2022</t>
        </is>
      </c>
      <c r="B3589" s="1" t="n">
        <v>44791</v>
      </c>
      <c r="C3589" s="1" t="n">
        <v>45182</v>
      </c>
      <c r="D3589" t="inlineStr">
        <is>
          <t>SÖDERMANLANDS LÄN</t>
        </is>
      </c>
      <c r="E3589" t="inlineStr">
        <is>
          <t>STRÄNGNÄS</t>
        </is>
      </c>
      <c r="G3589" t="n">
        <v>0.8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34095-2022</t>
        </is>
      </c>
      <c r="B3590" s="1" t="n">
        <v>44791</v>
      </c>
      <c r="C3590" s="1" t="n">
        <v>45182</v>
      </c>
      <c r="D3590" t="inlineStr">
        <is>
          <t>SÖDERMANLANDS LÄN</t>
        </is>
      </c>
      <c r="E3590" t="inlineStr">
        <is>
          <t>FLEN</t>
        </is>
      </c>
      <c r="G3590" t="n">
        <v>3.6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34159-2022</t>
        </is>
      </c>
      <c r="B3591" s="1" t="n">
        <v>44791</v>
      </c>
      <c r="C3591" s="1" t="n">
        <v>45182</v>
      </c>
      <c r="D3591" t="inlineStr">
        <is>
          <t>SÖDERMANLANDS LÄN</t>
        </is>
      </c>
      <c r="E3591" t="inlineStr">
        <is>
          <t>VINGÅKER</t>
        </is>
      </c>
      <c r="G3591" t="n">
        <v>8.800000000000001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34488-2022</t>
        </is>
      </c>
      <c r="B3592" s="1" t="n">
        <v>44792</v>
      </c>
      <c r="C3592" s="1" t="n">
        <v>45182</v>
      </c>
      <c r="D3592" t="inlineStr">
        <is>
          <t>SÖDERMANLANDS LÄN</t>
        </is>
      </c>
      <c r="E3592" t="inlineStr">
        <is>
          <t>ESKILSTUNA</t>
        </is>
      </c>
      <c r="G3592" t="n">
        <v>0.9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34732-2022</t>
        </is>
      </c>
      <c r="B3593" s="1" t="n">
        <v>44795</v>
      </c>
      <c r="C3593" s="1" t="n">
        <v>45182</v>
      </c>
      <c r="D3593" t="inlineStr">
        <is>
          <t>SÖDERMANLANDS LÄN</t>
        </is>
      </c>
      <c r="E3593" t="inlineStr">
        <is>
          <t>KATRINEHOLM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34765-2022</t>
        </is>
      </c>
      <c r="B3594" s="1" t="n">
        <v>44795</v>
      </c>
      <c r="C3594" s="1" t="n">
        <v>45182</v>
      </c>
      <c r="D3594" t="inlineStr">
        <is>
          <t>SÖDERMANLANDS LÄN</t>
        </is>
      </c>
      <c r="E3594" t="inlineStr">
        <is>
          <t>GNESTA</t>
        </is>
      </c>
      <c r="G3594" t="n">
        <v>1.6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34598-2022</t>
        </is>
      </c>
      <c r="B3595" s="1" t="n">
        <v>44795</v>
      </c>
      <c r="C3595" s="1" t="n">
        <v>45182</v>
      </c>
      <c r="D3595" t="inlineStr">
        <is>
          <t>SÖDERMANLANDS LÄN</t>
        </is>
      </c>
      <c r="E3595" t="inlineStr">
        <is>
          <t>FLEN</t>
        </is>
      </c>
      <c r="F3595" t="inlineStr">
        <is>
          <t>Övriga statliga verk och myndigheter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34817-2022</t>
        </is>
      </c>
      <c r="B3596" s="1" t="n">
        <v>44796</v>
      </c>
      <c r="C3596" s="1" t="n">
        <v>45182</v>
      </c>
      <c r="D3596" t="inlineStr">
        <is>
          <t>SÖDERMANLANDS LÄN</t>
        </is>
      </c>
      <c r="E3596" t="inlineStr">
        <is>
          <t>FLEN</t>
        </is>
      </c>
      <c r="G3596" t="n">
        <v>3.8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35188-2022</t>
        </is>
      </c>
      <c r="B3597" s="1" t="n">
        <v>44797</v>
      </c>
      <c r="C3597" s="1" t="n">
        <v>45182</v>
      </c>
      <c r="D3597" t="inlineStr">
        <is>
          <t>SÖDERMANLANDS LÄN</t>
        </is>
      </c>
      <c r="E3597" t="inlineStr">
        <is>
          <t>KATRINEHOLM</t>
        </is>
      </c>
      <c r="G3597" t="n">
        <v>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35088-2022</t>
        </is>
      </c>
      <c r="B3598" s="1" t="n">
        <v>44797</v>
      </c>
      <c r="C3598" s="1" t="n">
        <v>45182</v>
      </c>
      <c r="D3598" t="inlineStr">
        <is>
          <t>SÖDERMANLANDS LÄN</t>
        </is>
      </c>
      <c r="E3598" t="inlineStr">
        <is>
          <t>KATRINEHOLM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35096-2022</t>
        </is>
      </c>
      <c r="B3599" s="1" t="n">
        <v>44797</v>
      </c>
      <c r="C3599" s="1" t="n">
        <v>45182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35194-2022</t>
        </is>
      </c>
      <c r="B3600" s="1" t="n">
        <v>44797</v>
      </c>
      <c r="C3600" s="1" t="n">
        <v>45182</v>
      </c>
      <c r="D3600" t="inlineStr">
        <is>
          <t>SÖDERMANLANDS LÄN</t>
        </is>
      </c>
      <c r="E3600" t="inlineStr">
        <is>
          <t>KATRINEHOLM</t>
        </is>
      </c>
      <c r="G3600" t="n">
        <v>1.3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35183-2022</t>
        </is>
      </c>
      <c r="B3601" s="1" t="n">
        <v>44797</v>
      </c>
      <c r="C3601" s="1" t="n">
        <v>45182</v>
      </c>
      <c r="D3601" t="inlineStr">
        <is>
          <t>SÖDERMANLANDS LÄN</t>
        </is>
      </c>
      <c r="E3601" t="inlineStr">
        <is>
          <t>KATRINEHOLM</t>
        </is>
      </c>
      <c r="G3601" t="n">
        <v>4.6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35257-2022</t>
        </is>
      </c>
      <c r="B3602" s="1" t="n">
        <v>44798</v>
      </c>
      <c r="C3602" s="1" t="n">
        <v>45182</v>
      </c>
      <c r="D3602" t="inlineStr">
        <is>
          <t>SÖDERMANLANDS LÄN</t>
        </is>
      </c>
      <c r="E3602" t="inlineStr">
        <is>
          <t>VINGÅKER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35342-2022</t>
        </is>
      </c>
      <c r="B3603" s="1" t="n">
        <v>44798</v>
      </c>
      <c r="C3603" s="1" t="n">
        <v>45182</v>
      </c>
      <c r="D3603" t="inlineStr">
        <is>
          <t>SÖDERMANLANDS LÄN</t>
        </is>
      </c>
      <c r="E3603" t="inlineStr">
        <is>
          <t>KATRINEHOLM</t>
        </is>
      </c>
      <c r="G3603" t="n">
        <v>2.7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35364-2022</t>
        </is>
      </c>
      <c r="B3604" s="1" t="n">
        <v>44798</v>
      </c>
      <c r="C3604" s="1" t="n">
        <v>45182</v>
      </c>
      <c r="D3604" t="inlineStr">
        <is>
          <t>SÖDERMANLANDS LÄN</t>
        </is>
      </c>
      <c r="E3604" t="inlineStr">
        <is>
          <t>KATRINEHOLM</t>
        </is>
      </c>
      <c r="G3604" t="n">
        <v>1.2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35252-2022</t>
        </is>
      </c>
      <c r="B3605" s="1" t="n">
        <v>44798</v>
      </c>
      <c r="C3605" s="1" t="n">
        <v>45182</v>
      </c>
      <c r="D3605" t="inlineStr">
        <is>
          <t>SÖDERMANLANDS LÄN</t>
        </is>
      </c>
      <c r="E3605" t="inlineStr">
        <is>
          <t>NYKÖPING</t>
        </is>
      </c>
      <c r="G3605" t="n">
        <v>5.8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35698-2022</t>
        </is>
      </c>
      <c r="B3606" s="1" t="n">
        <v>44799</v>
      </c>
      <c r="C3606" s="1" t="n">
        <v>45182</v>
      </c>
      <c r="D3606" t="inlineStr">
        <is>
          <t>SÖDERMANLANDS LÄN</t>
        </is>
      </c>
      <c r="E3606" t="inlineStr">
        <is>
          <t>ESKILSTUNA</t>
        </is>
      </c>
      <c r="G3606" t="n">
        <v>9.199999999999999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35532-2022</t>
        </is>
      </c>
      <c r="B3607" s="1" t="n">
        <v>44799</v>
      </c>
      <c r="C3607" s="1" t="n">
        <v>45182</v>
      </c>
      <c r="D3607" t="inlineStr">
        <is>
          <t>SÖDERMANLANDS LÄN</t>
        </is>
      </c>
      <c r="E3607" t="inlineStr">
        <is>
          <t>NYKÖPING</t>
        </is>
      </c>
      <c r="G3607" t="n">
        <v>3.8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35693-2022</t>
        </is>
      </c>
      <c r="B3608" s="1" t="n">
        <v>44799</v>
      </c>
      <c r="C3608" s="1" t="n">
        <v>45182</v>
      </c>
      <c r="D3608" t="inlineStr">
        <is>
          <t>SÖDERMANLANDS LÄN</t>
        </is>
      </c>
      <c r="E3608" t="inlineStr">
        <is>
          <t>ESKILSTUNA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35814-2022</t>
        </is>
      </c>
      <c r="B3609" s="1" t="n">
        <v>44799</v>
      </c>
      <c r="C3609" s="1" t="n">
        <v>45182</v>
      </c>
      <c r="D3609" t="inlineStr">
        <is>
          <t>SÖDERMANLANDS LÄN</t>
        </is>
      </c>
      <c r="E3609" t="inlineStr">
        <is>
          <t>STRÄNGNÄS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35836-2022</t>
        </is>
      </c>
      <c r="B3610" s="1" t="n">
        <v>44800</v>
      </c>
      <c r="C3610" s="1" t="n">
        <v>45182</v>
      </c>
      <c r="D3610" t="inlineStr">
        <is>
          <t>SÖDERMANLANDS LÄN</t>
        </is>
      </c>
      <c r="E3610" t="inlineStr">
        <is>
          <t>NYKÖPING</t>
        </is>
      </c>
      <c r="G3610" t="n">
        <v>1.7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35824-2022</t>
        </is>
      </c>
      <c r="B3611" s="1" t="n">
        <v>44800</v>
      </c>
      <c r="C3611" s="1" t="n">
        <v>45182</v>
      </c>
      <c r="D3611" t="inlineStr">
        <is>
          <t>SÖDERMANLANDS LÄN</t>
        </is>
      </c>
      <c r="E3611" t="inlineStr">
        <is>
          <t>NYKÖPING</t>
        </is>
      </c>
      <c r="G3611" t="n">
        <v>7.2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35833-2022</t>
        </is>
      </c>
      <c r="B3612" s="1" t="n">
        <v>44802</v>
      </c>
      <c r="C3612" s="1" t="n">
        <v>45182</v>
      </c>
      <c r="D3612" t="inlineStr">
        <is>
          <t>SÖDERMANLANDS LÄN</t>
        </is>
      </c>
      <c r="E3612" t="inlineStr">
        <is>
          <t>NYKÖPING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36327-2022</t>
        </is>
      </c>
      <c r="B3613" s="1" t="n">
        <v>44803</v>
      </c>
      <c r="C3613" s="1" t="n">
        <v>45182</v>
      </c>
      <c r="D3613" t="inlineStr">
        <is>
          <t>SÖDERMANLANDS LÄN</t>
        </is>
      </c>
      <c r="E3613" t="inlineStr">
        <is>
          <t>NYKÖPING</t>
        </is>
      </c>
      <c r="G3613" t="n">
        <v>2.1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36162-2022</t>
        </is>
      </c>
      <c r="B3614" s="1" t="n">
        <v>44803</v>
      </c>
      <c r="C3614" s="1" t="n">
        <v>45182</v>
      </c>
      <c r="D3614" t="inlineStr">
        <is>
          <t>SÖDERMANLANDS LÄN</t>
        </is>
      </c>
      <c r="E3614" t="inlineStr">
        <is>
          <t>GNESTA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36205-2022</t>
        </is>
      </c>
      <c r="B3615" s="1" t="n">
        <v>44803</v>
      </c>
      <c r="C3615" s="1" t="n">
        <v>45182</v>
      </c>
      <c r="D3615" t="inlineStr">
        <is>
          <t>SÖDERMANLANDS LÄN</t>
        </is>
      </c>
      <c r="E3615" t="inlineStr">
        <is>
          <t>GNESTA</t>
        </is>
      </c>
      <c r="G3615" t="n">
        <v>5.8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36553-2022</t>
        </is>
      </c>
      <c r="B3616" s="1" t="n">
        <v>44804</v>
      </c>
      <c r="C3616" s="1" t="n">
        <v>45182</v>
      </c>
      <c r="D3616" t="inlineStr">
        <is>
          <t>SÖDERMANLANDS LÄN</t>
        </is>
      </c>
      <c r="E3616" t="inlineStr">
        <is>
          <t>ESKILSTUNA</t>
        </is>
      </c>
      <c r="G3616" t="n">
        <v>9.9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36643-2022</t>
        </is>
      </c>
      <c r="B3617" s="1" t="n">
        <v>44804</v>
      </c>
      <c r="C3617" s="1" t="n">
        <v>45182</v>
      </c>
      <c r="D3617" t="inlineStr">
        <is>
          <t>SÖDERMANLANDS LÄN</t>
        </is>
      </c>
      <c r="E3617" t="inlineStr">
        <is>
          <t>ESKILSTUNA</t>
        </is>
      </c>
      <c r="G3617" t="n">
        <v>3.7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36634-2022</t>
        </is>
      </c>
      <c r="B3618" s="1" t="n">
        <v>44804</v>
      </c>
      <c r="C3618" s="1" t="n">
        <v>45182</v>
      </c>
      <c r="D3618" t="inlineStr">
        <is>
          <t>SÖDERMANLANDS LÄN</t>
        </is>
      </c>
      <c r="E3618" t="inlineStr">
        <is>
          <t>NYKÖPING</t>
        </is>
      </c>
      <c r="G3618" t="n">
        <v>1.5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36558-2022</t>
        </is>
      </c>
      <c r="B3619" s="1" t="n">
        <v>44804</v>
      </c>
      <c r="C3619" s="1" t="n">
        <v>45182</v>
      </c>
      <c r="D3619" t="inlineStr">
        <is>
          <t>SÖDERMANLANDS LÄN</t>
        </is>
      </c>
      <c r="E3619" t="inlineStr">
        <is>
          <t>ESKILSTUNA</t>
        </is>
      </c>
      <c r="G3619" t="n">
        <v>2.6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36565-2022</t>
        </is>
      </c>
      <c r="B3620" s="1" t="n">
        <v>44804</v>
      </c>
      <c r="C3620" s="1" t="n">
        <v>45182</v>
      </c>
      <c r="D3620" t="inlineStr">
        <is>
          <t>SÖDERMANLANDS LÄN</t>
        </is>
      </c>
      <c r="E3620" t="inlineStr">
        <is>
          <t>ESKILSTUNA</t>
        </is>
      </c>
      <c r="G3620" t="n">
        <v>4.1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36648-2022</t>
        </is>
      </c>
      <c r="B3621" s="1" t="n">
        <v>44804</v>
      </c>
      <c r="C3621" s="1" t="n">
        <v>45182</v>
      </c>
      <c r="D3621" t="inlineStr">
        <is>
          <t>SÖDERMANLANDS LÄN</t>
        </is>
      </c>
      <c r="E3621" t="inlineStr">
        <is>
          <t>ESKILSTUNA</t>
        </is>
      </c>
      <c r="G3621" t="n">
        <v>3.3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36748-2022</t>
        </is>
      </c>
      <c r="B3622" s="1" t="n">
        <v>44805</v>
      </c>
      <c r="C3622" s="1" t="n">
        <v>45182</v>
      </c>
      <c r="D3622" t="inlineStr">
        <is>
          <t>SÖDERMANLANDS LÄN</t>
        </is>
      </c>
      <c r="E3622" t="inlineStr">
        <is>
          <t>ESKILSTUNA</t>
        </is>
      </c>
      <c r="G3622" t="n">
        <v>2.9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36767-2022</t>
        </is>
      </c>
      <c r="B3623" s="1" t="n">
        <v>44805</v>
      </c>
      <c r="C3623" s="1" t="n">
        <v>45182</v>
      </c>
      <c r="D3623" t="inlineStr">
        <is>
          <t>SÖDERMANLANDS LÄN</t>
        </is>
      </c>
      <c r="E3623" t="inlineStr">
        <is>
          <t>KATRINEHOLM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36853-2022</t>
        </is>
      </c>
      <c r="B3624" s="1" t="n">
        <v>44805</v>
      </c>
      <c r="C3624" s="1" t="n">
        <v>45182</v>
      </c>
      <c r="D3624" t="inlineStr">
        <is>
          <t>SÖDERMANLANDS LÄN</t>
        </is>
      </c>
      <c r="E3624" t="inlineStr">
        <is>
          <t>STRÄNGNÄS</t>
        </is>
      </c>
      <c r="G3624" t="n">
        <v>2.4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36906-2022</t>
        </is>
      </c>
      <c r="B3625" s="1" t="n">
        <v>44805</v>
      </c>
      <c r="C3625" s="1" t="n">
        <v>45182</v>
      </c>
      <c r="D3625" t="inlineStr">
        <is>
          <t>SÖDERMANLANDS LÄN</t>
        </is>
      </c>
      <c r="E3625" t="inlineStr">
        <is>
          <t>ESKILSTUNA</t>
        </is>
      </c>
      <c r="F3625" t="inlineStr">
        <is>
          <t>Allmännings- och besparingsskogar</t>
        </is>
      </c>
      <c r="G3625" t="n">
        <v>6.4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37256-2022</t>
        </is>
      </c>
      <c r="B3626" s="1" t="n">
        <v>44807</v>
      </c>
      <c r="C3626" s="1" t="n">
        <v>45182</v>
      </c>
      <c r="D3626" t="inlineStr">
        <is>
          <t>SÖDERMANLANDS LÄN</t>
        </is>
      </c>
      <c r="E3626" t="inlineStr">
        <is>
          <t>FLEN</t>
        </is>
      </c>
      <c r="G3626" t="n">
        <v>4.9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37257-2022</t>
        </is>
      </c>
      <c r="B3627" s="1" t="n">
        <v>44807</v>
      </c>
      <c r="C3627" s="1" t="n">
        <v>45182</v>
      </c>
      <c r="D3627" t="inlineStr">
        <is>
          <t>SÖDERMANLANDS LÄN</t>
        </is>
      </c>
      <c r="E3627" t="inlineStr">
        <is>
          <t>FLEN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37546-2022</t>
        </is>
      </c>
      <c r="B3628" s="1" t="n">
        <v>44809</v>
      </c>
      <c r="C3628" s="1" t="n">
        <v>45182</v>
      </c>
      <c r="D3628" t="inlineStr">
        <is>
          <t>SÖDERMANLANDS LÄN</t>
        </is>
      </c>
      <c r="E3628" t="inlineStr">
        <is>
          <t>KATRINEHOLM</t>
        </is>
      </c>
      <c r="G3628" t="n">
        <v>1.8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37528-2022</t>
        </is>
      </c>
      <c r="B3629" s="1" t="n">
        <v>44809</v>
      </c>
      <c r="C3629" s="1" t="n">
        <v>45182</v>
      </c>
      <c r="D3629" t="inlineStr">
        <is>
          <t>SÖDERMANLANDS LÄN</t>
        </is>
      </c>
      <c r="E3629" t="inlineStr">
        <is>
          <t>KATRINEHOLM</t>
        </is>
      </c>
      <c r="G3629" t="n">
        <v>2.1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37542-2022</t>
        </is>
      </c>
      <c r="B3630" s="1" t="n">
        <v>44809</v>
      </c>
      <c r="C3630" s="1" t="n">
        <v>45182</v>
      </c>
      <c r="D3630" t="inlineStr">
        <is>
          <t>SÖDERMANLANDS LÄN</t>
        </is>
      </c>
      <c r="E3630" t="inlineStr">
        <is>
          <t>KATRINEHOLM</t>
        </is>
      </c>
      <c r="G3630" t="n">
        <v>1.3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37544-2022</t>
        </is>
      </c>
      <c r="B3631" s="1" t="n">
        <v>44809</v>
      </c>
      <c r="C3631" s="1" t="n">
        <v>45182</v>
      </c>
      <c r="D3631" t="inlineStr">
        <is>
          <t>SÖDERMANLANDS LÄN</t>
        </is>
      </c>
      <c r="E3631" t="inlineStr">
        <is>
          <t>KATRINEHOLM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37549-2022</t>
        </is>
      </c>
      <c r="B3632" s="1" t="n">
        <v>44809</v>
      </c>
      <c r="C3632" s="1" t="n">
        <v>45182</v>
      </c>
      <c r="D3632" t="inlineStr">
        <is>
          <t>SÖDERMANLANDS LÄN</t>
        </is>
      </c>
      <c r="E3632" t="inlineStr">
        <is>
          <t>KATRINEHOLM</t>
        </is>
      </c>
      <c r="G3632" t="n">
        <v>6.9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37911-2022</t>
        </is>
      </c>
      <c r="B3633" s="1" t="n">
        <v>44810</v>
      </c>
      <c r="C3633" s="1" t="n">
        <v>45182</v>
      </c>
      <c r="D3633" t="inlineStr">
        <is>
          <t>SÖDERMANLANDS LÄN</t>
        </is>
      </c>
      <c r="E3633" t="inlineStr">
        <is>
          <t>NYKÖPING</t>
        </is>
      </c>
      <c r="G3633" t="n">
        <v>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38465-2022</t>
        </is>
      </c>
      <c r="B3634" s="1" t="n">
        <v>44810</v>
      </c>
      <c r="C3634" s="1" t="n">
        <v>45182</v>
      </c>
      <c r="D3634" t="inlineStr">
        <is>
          <t>SÖDERMANLANDS LÄN</t>
        </is>
      </c>
      <c r="E3634" t="inlineStr">
        <is>
          <t>NYKÖPING</t>
        </is>
      </c>
      <c r="G3634" t="n">
        <v>8.6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37734-2022</t>
        </is>
      </c>
      <c r="B3635" s="1" t="n">
        <v>44810</v>
      </c>
      <c r="C3635" s="1" t="n">
        <v>45182</v>
      </c>
      <c r="D3635" t="inlineStr">
        <is>
          <t>SÖDERMANLANDS LÄN</t>
        </is>
      </c>
      <c r="E3635" t="inlineStr">
        <is>
          <t>KATRINEHOLM</t>
        </is>
      </c>
      <c r="G3635" t="n">
        <v>2.8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37912-2022</t>
        </is>
      </c>
      <c r="B3636" s="1" t="n">
        <v>44810</v>
      </c>
      <c r="C3636" s="1" t="n">
        <v>45182</v>
      </c>
      <c r="D3636" t="inlineStr">
        <is>
          <t>SÖDERMANLANDS LÄN</t>
        </is>
      </c>
      <c r="E3636" t="inlineStr">
        <is>
          <t>NYKÖPING</t>
        </is>
      </c>
      <c r="G3636" t="n">
        <v>3.7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37719-2022</t>
        </is>
      </c>
      <c r="B3637" s="1" t="n">
        <v>44810</v>
      </c>
      <c r="C3637" s="1" t="n">
        <v>45182</v>
      </c>
      <c r="D3637" t="inlineStr">
        <is>
          <t>SÖDERMANLANDS LÄN</t>
        </is>
      </c>
      <c r="E3637" t="inlineStr">
        <is>
          <t>KATRINEHOLM</t>
        </is>
      </c>
      <c r="G3637" t="n">
        <v>1.8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37941-2022</t>
        </is>
      </c>
      <c r="B3638" s="1" t="n">
        <v>44810</v>
      </c>
      <c r="C3638" s="1" t="n">
        <v>45182</v>
      </c>
      <c r="D3638" t="inlineStr">
        <is>
          <t>SÖDERMANLANDS LÄN</t>
        </is>
      </c>
      <c r="E3638" t="inlineStr">
        <is>
          <t>NYKÖPING</t>
        </is>
      </c>
      <c r="G3638" t="n">
        <v>13.5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37903-2022</t>
        </is>
      </c>
      <c r="B3639" s="1" t="n">
        <v>44811</v>
      </c>
      <c r="C3639" s="1" t="n">
        <v>45182</v>
      </c>
      <c r="D3639" t="inlineStr">
        <is>
          <t>SÖDERMANLANDS LÄN</t>
        </is>
      </c>
      <c r="E3639" t="inlineStr">
        <is>
          <t>NYKÖPING</t>
        </is>
      </c>
      <c r="G3639" t="n">
        <v>4.6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37907-2022</t>
        </is>
      </c>
      <c r="B3640" s="1" t="n">
        <v>44811</v>
      </c>
      <c r="C3640" s="1" t="n">
        <v>45182</v>
      </c>
      <c r="D3640" t="inlineStr">
        <is>
          <t>SÖDERMANLANDS LÄN</t>
        </is>
      </c>
      <c r="E3640" t="inlineStr">
        <is>
          <t>NYKÖPING</t>
        </is>
      </c>
      <c r="G3640" t="n">
        <v>2.5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38166-2022</t>
        </is>
      </c>
      <c r="B3641" s="1" t="n">
        <v>44812</v>
      </c>
      <c r="C3641" s="1" t="n">
        <v>45182</v>
      </c>
      <c r="D3641" t="inlineStr">
        <is>
          <t>SÖDERMANLANDS LÄN</t>
        </is>
      </c>
      <c r="E3641" t="inlineStr">
        <is>
          <t>NYKÖPING</t>
        </is>
      </c>
      <c r="G3641" t="n">
        <v>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38317-2022</t>
        </is>
      </c>
      <c r="B3642" s="1" t="n">
        <v>44812</v>
      </c>
      <c r="C3642" s="1" t="n">
        <v>45182</v>
      </c>
      <c r="D3642" t="inlineStr">
        <is>
          <t>SÖDERMANLANDS LÄN</t>
        </is>
      </c>
      <c r="E3642" t="inlineStr">
        <is>
          <t>NYKÖPING</t>
        </is>
      </c>
      <c r="G3642" t="n">
        <v>2.6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38410-2022</t>
        </is>
      </c>
      <c r="B3643" s="1" t="n">
        <v>44812</v>
      </c>
      <c r="C3643" s="1" t="n">
        <v>45182</v>
      </c>
      <c r="D3643" t="inlineStr">
        <is>
          <t>SÖDERMANLANDS LÄN</t>
        </is>
      </c>
      <c r="E3643" t="inlineStr">
        <is>
          <t>NYKÖPING</t>
        </is>
      </c>
      <c r="G3643" t="n">
        <v>3.4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38155-2022</t>
        </is>
      </c>
      <c r="B3644" s="1" t="n">
        <v>44812</v>
      </c>
      <c r="C3644" s="1" t="n">
        <v>45182</v>
      </c>
      <c r="D3644" t="inlineStr">
        <is>
          <t>SÖDERMANLANDS LÄN</t>
        </is>
      </c>
      <c r="E3644" t="inlineStr">
        <is>
          <t>NYKÖPING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38173-2022</t>
        </is>
      </c>
      <c r="B3645" s="1" t="n">
        <v>44812</v>
      </c>
      <c r="C3645" s="1" t="n">
        <v>45182</v>
      </c>
      <c r="D3645" t="inlineStr">
        <is>
          <t>SÖDERMANLANDS LÄN</t>
        </is>
      </c>
      <c r="E3645" t="inlineStr">
        <is>
          <t>NYKÖPING</t>
        </is>
      </c>
      <c r="G3645" t="n">
        <v>5.4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38368-2022</t>
        </is>
      </c>
      <c r="B3646" s="1" t="n">
        <v>44812</v>
      </c>
      <c r="C3646" s="1" t="n">
        <v>45182</v>
      </c>
      <c r="D3646" t="inlineStr">
        <is>
          <t>SÖDERMANLANDS LÄN</t>
        </is>
      </c>
      <c r="E3646" t="inlineStr">
        <is>
          <t>NYKÖPING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38832-2022</t>
        </is>
      </c>
      <c r="B3647" s="1" t="n">
        <v>44814</v>
      </c>
      <c r="C3647" s="1" t="n">
        <v>45182</v>
      </c>
      <c r="D3647" t="inlineStr">
        <is>
          <t>SÖDERMANLANDS LÄN</t>
        </is>
      </c>
      <c r="E3647" t="inlineStr">
        <is>
          <t>FLEN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39200-2022</t>
        </is>
      </c>
      <c r="B3648" s="1" t="n">
        <v>44816</v>
      </c>
      <c r="C3648" s="1" t="n">
        <v>45182</v>
      </c>
      <c r="D3648" t="inlineStr">
        <is>
          <t>SÖDERMANLANDS LÄN</t>
        </is>
      </c>
      <c r="E3648" t="inlineStr">
        <is>
          <t>STRÄNGNÄS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39068-2022</t>
        </is>
      </c>
      <c r="B3649" s="1" t="n">
        <v>44816</v>
      </c>
      <c r="C3649" s="1" t="n">
        <v>45182</v>
      </c>
      <c r="D3649" t="inlineStr">
        <is>
          <t>SÖDERMANLANDS LÄN</t>
        </is>
      </c>
      <c r="E3649" t="inlineStr">
        <is>
          <t>KATRINEHOLM</t>
        </is>
      </c>
      <c r="G3649" t="n">
        <v>3.6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39787-2022</t>
        </is>
      </c>
      <c r="B3650" s="1" t="n">
        <v>44817</v>
      </c>
      <c r="C3650" s="1" t="n">
        <v>45182</v>
      </c>
      <c r="D3650" t="inlineStr">
        <is>
          <t>SÖDERMANLANDS LÄN</t>
        </is>
      </c>
      <c r="E3650" t="inlineStr">
        <is>
          <t>FLEN</t>
        </is>
      </c>
      <c r="G3650" t="n">
        <v>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39055-2022</t>
        </is>
      </c>
      <c r="B3651" s="1" t="n">
        <v>44817</v>
      </c>
      <c r="C3651" s="1" t="n">
        <v>45182</v>
      </c>
      <c r="D3651" t="inlineStr">
        <is>
          <t>SÖDERMANLANDS LÄN</t>
        </is>
      </c>
      <c r="E3651" t="inlineStr">
        <is>
          <t>KATRINEHOLM</t>
        </is>
      </c>
      <c r="F3651" t="inlineStr">
        <is>
          <t>Övriga Aktiebolag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39120-2022</t>
        </is>
      </c>
      <c r="B3652" s="1" t="n">
        <v>44817</v>
      </c>
      <c r="C3652" s="1" t="n">
        <v>45182</v>
      </c>
      <c r="D3652" t="inlineStr">
        <is>
          <t>SÖDERMANLANDS LÄN</t>
        </is>
      </c>
      <c r="E3652" t="inlineStr">
        <is>
          <t>NYKÖPING</t>
        </is>
      </c>
      <c r="G3652" t="n">
        <v>2.8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39136-2022</t>
        </is>
      </c>
      <c r="B3653" s="1" t="n">
        <v>44817</v>
      </c>
      <c r="C3653" s="1" t="n">
        <v>45182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3.8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39522-2022</t>
        </is>
      </c>
      <c r="B3654" s="1" t="n">
        <v>44817</v>
      </c>
      <c r="C3654" s="1" t="n">
        <v>45182</v>
      </c>
      <c r="D3654" t="inlineStr">
        <is>
          <t>SÖDERMANLANDS LÄN</t>
        </is>
      </c>
      <c r="E3654" t="inlineStr">
        <is>
          <t>KATRINEHOLM</t>
        </is>
      </c>
      <c r="F3654" t="inlineStr">
        <is>
          <t>Övriga Aktiebolag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39748-2022</t>
        </is>
      </c>
      <c r="B3655" s="1" t="n">
        <v>44817</v>
      </c>
      <c r="C3655" s="1" t="n">
        <v>45182</v>
      </c>
      <c r="D3655" t="inlineStr">
        <is>
          <t>SÖDERMANLANDS LÄN</t>
        </is>
      </c>
      <c r="E3655" t="inlineStr">
        <is>
          <t>KATRINEHOLM</t>
        </is>
      </c>
      <c r="G3655" t="n">
        <v>10.2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39673-2022</t>
        </is>
      </c>
      <c r="B3656" s="1" t="n">
        <v>44818</v>
      </c>
      <c r="C3656" s="1" t="n">
        <v>45182</v>
      </c>
      <c r="D3656" t="inlineStr">
        <is>
          <t>SÖDERMANLANDS LÄN</t>
        </is>
      </c>
      <c r="E3656" t="inlineStr">
        <is>
          <t>FLEN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39671-2022</t>
        </is>
      </c>
      <c r="B3657" s="1" t="n">
        <v>44818</v>
      </c>
      <c r="C3657" s="1" t="n">
        <v>45182</v>
      </c>
      <c r="D3657" t="inlineStr">
        <is>
          <t>SÖDERMANLANDS LÄN</t>
        </is>
      </c>
      <c r="E3657" t="inlineStr">
        <is>
          <t>FLEN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40198-2022</t>
        </is>
      </c>
      <c r="B3658" s="1" t="n">
        <v>44818</v>
      </c>
      <c r="C3658" s="1" t="n">
        <v>45182</v>
      </c>
      <c r="D3658" t="inlineStr">
        <is>
          <t>SÖDERMANLANDS LÄN</t>
        </is>
      </c>
      <c r="E3658" t="inlineStr">
        <is>
          <t>FLEN</t>
        </is>
      </c>
      <c r="G3658" t="n">
        <v>1.3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40377-2022</t>
        </is>
      </c>
      <c r="B3659" s="1" t="n">
        <v>44819</v>
      </c>
      <c r="C3659" s="1" t="n">
        <v>45182</v>
      </c>
      <c r="D3659" t="inlineStr">
        <is>
          <t>SÖDERMANLANDS LÄN</t>
        </is>
      </c>
      <c r="E3659" t="inlineStr">
        <is>
          <t>ESKILSTUNA</t>
        </is>
      </c>
      <c r="G3659" t="n">
        <v>9.1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40075-2022</t>
        </is>
      </c>
      <c r="B3660" s="1" t="n">
        <v>44819</v>
      </c>
      <c r="C3660" s="1" t="n">
        <v>45182</v>
      </c>
      <c r="D3660" t="inlineStr">
        <is>
          <t>SÖDERMANLANDS LÄN</t>
        </is>
      </c>
      <c r="E3660" t="inlineStr">
        <is>
          <t>GNESTA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39756-2022</t>
        </is>
      </c>
      <c r="B3661" s="1" t="n">
        <v>44819</v>
      </c>
      <c r="C3661" s="1" t="n">
        <v>45182</v>
      </c>
      <c r="D3661" t="inlineStr">
        <is>
          <t>SÖDERMANLANDS LÄN</t>
        </is>
      </c>
      <c r="E3661" t="inlineStr">
        <is>
          <t>NYKÖPING</t>
        </is>
      </c>
      <c r="F3661" t="inlineStr">
        <is>
          <t>Holmen skog AB</t>
        </is>
      </c>
      <c r="G3661" t="n">
        <v>9.1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39881-2022</t>
        </is>
      </c>
      <c r="B3662" s="1" t="n">
        <v>44819</v>
      </c>
      <c r="C3662" s="1" t="n">
        <v>45182</v>
      </c>
      <c r="D3662" t="inlineStr">
        <is>
          <t>SÖDERMANLANDS LÄN</t>
        </is>
      </c>
      <c r="E3662" t="inlineStr">
        <is>
          <t>VINGÅKER</t>
        </is>
      </c>
      <c r="F3662" t="inlineStr">
        <is>
          <t>Sveaskog</t>
        </is>
      </c>
      <c r="G3662" t="n">
        <v>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40386-2022</t>
        </is>
      </c>
      <c r="B3663" s="1" t="n">
        <v>44819</v>
      </c>
      <c r="C3663" s="1" t="n">
        <v>45182</v>
      </c>
      <c r="D3663" t="inlineStr">
        <is>
          <t>SÖDERMANLANDS LÄN</t>
        </is>
      </c>
      <c r="E3663" t="inlineStr">
        <is>
          <t>ESKILSTUNA</t>
        </is>
      </c>
      <c r="G3663" t="n">
        <v>11.6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40041-2022</t>
        </is>
      </c>
      <c r="B3664" s="1" t="n">
        <v>44820</v>
      </c>
      <c r="C3664" s="1" t="n">
        <v>45182</v>
      </c>
      <c r="D3664" t="inlineStr">
        <is>
          <t>SÖDERMANLANDS LÄN</t>
        </is>
      </c>
      <c r="E3664" t="inlineStr">
        <is>
          <t>GNESTA</t>
        </is>
      </c>
      <c r="G3664" t="n">
        <v>3.2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40253-2022</t>
        </is>
      </c>
      <c r="B3665" s="1" t="n">
        <v>44820</v>
      </c>
      <c r="C3665" s="1" t="n">
        <v>45182</v>
      </c>
      <c r="D3665" t="inlineStr">
        <is>
          <t>SÖDERMANLANDS LÄN</t>
        </is>
      </c>
      <c r="E3665" t="inlineStr">
        <is>
          <t>VINGÅKER</t>
        </is>
      </c>
      <c r="G3665" t="n">
        <v>1.2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40911-2022</t>
        </is>
      </c>
      <c r="B3666" s="1" t="n">
        <v>44820</v>
      </c>
      <c r="C3666" s="1" t="n">
        <v>45182</v>
      </c>
      <c r="D3666" t="inlineStr">
        <is>
          <t>SÖDERMANLANDS LÄN</t>
        </is>
      </c>
      <c r="E3666" t="inlineStr">
        <is>
          <t>NYKÖPING</t>
        </is>
      </c>
      <c r="G3666" t="n">
        <v>0.9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40420-2022</t>
        </is>
      </c>
      <c r="B3667" s="1" t="n">
        <v>44823</v>
      </c>
      <c r="C3667" s="1" t="n">
        <v>45182</v>
      </c>
      <c r="D3667" t="inlineStr">
        <is>
          <t>SÖDERMANLANDS LÄN</t>
        </is>
      </c>
      <c r="E3667" t="inlineStr">
        <is>
          <t>FLEN</t>
        </is>
      </c>
      <c r="G3667" t="n">
        <v>5.2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40652-2022</t>
        </is>
      </c>
      <c r="B3668" s="1" t="n">
        <v>44823</v>
      </c>
      <c r="C3668" s="1" t="n">
        <v>45182</v>
      </c>
      <c r="D3668" t="inlineStr">
        <is>
          <t>SÖDERMANLANDS LÄN</t>
        </is>
      </c>
      <c r="E3668" t="inlineStr">
        <is>
          <t>KATRINEHOLM</t>
        </is>
      </c>
      <c r="G3668" t="n">
        <v>6.2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40452-2022</t>
        </is>
      </c>
      <c r="B3669" s="1" t="n">
        <v>44823</v>
      </c>
      <c r="C3669" s="1" t="n">
        <v>45182</v>
      </c>
      <c r="D3669" t="inlineStr">
        <is>
          <t>SÖDERMANLANDS LÄN</t>
        </is>
      </c>
      <c r="E3669" t="inlineStr">
        <is>
          <t>KATRINEHOLM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40393-2022</t>
        </is>
      </c>
      <c r="B3670" s="1" t="n">
        <v>44823</v>
      </c>
      <c r="C3670" s="1" t="n">
        <v>45182</v>
      </c>
      <c r="D3670" t="inlineStr">
        <is>
          <t>SÖDERMANLANDS LÄN</t>
        </is>
      </c>
      <c r="E3670" t="inlineStr">
        <is>
          <t>KATRINEHOLM</t>
        </is>
      </c>
      <c r="G3670" t="n">
        <v>1.3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40448-2022</t>
        </is>
      </c>
      <c r="B3671" s="1" t="n">
        <v>44823</v>
      </c>
      <c r="C3671" s="1" t="n">
        <v>45182</v>
      </c>
      <c r="D3671" t="inlineStr">
        <is>
          <t>SÖDERMANLANDS LÄN</t>
        </is>
      </c>
      <c r="E3671" t="inlineStr">
        <is>
          <t>KATRINEHOLM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40464-2022</t>
        </is>
      </c>
      <c r="B3672" s="1" t="n">
        <v>44823</v>
      </c>
      <c r="C3672" s="1" t="n">
        <v>45182</v>
      </c>
      <c r="D3672" t="inlineStr">
        <is>
          <t>SÖDERMANLANDS LÄN</t>
        </is>
      </c>
      <c r="E3672" t="inlineStr">
        <is>
          <t>KATRINEHOLM</t>
        </is>
      </c>
      <c r="G3672" t="n">
        <v>1.1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40753-2022</t>
        </is>
      </c>
      <c r="B3673" s="1" t="n">
        <v>44824</v>
      </c>
      <c r="C3673" s="1" t="n">
        <v>45182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40818-2022</t>
        </is>
      </c>
      <c r="B3674" s="1" t="n">
        <v>44824</v>
      </c>
      <c r="C3674" s="1" t="n">
        <v>45182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40749-2022</t>
        </is>
      </c>
      <c r="B3675" s="1" t="n">
        <v>44824</v>
      </c>
      <c r="C3675" s="1" t="n">
        <v>45182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40814-2022</t>
        </is>
      </c>
      <c r="B3676" s="1" t="n">
        <v>44824</v>
      </c>
      <c r="C3676" s="1" t="n">
        <v>45182</v>
      </c>
      <c r="D3676" t="inlineStr">
        <is>
          <t>SÖDERMANLANDS LÄN</t>
        </is>
      </c>
      <c r="E3676" t="inlineStr">
        <is>
          <t>KATRINEHOLM</t>
        </is>
      </c>
      <c r="G3676" t="n">
        <v>0.2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41072-2022</t>
        </is>
      </c>
      <c r="B3677" s="1" t="n">
        <v>44825</v>
      </c>
      <c r="C3677" s="1" t="n">
        <v>45182</v>
      </c>
      <c r="D3677" t="inlineStr">
        <is>
          <t>SÖDERMANLANDS LÄN</t>
        </is>
      </c>
      <c r="E3677" t="inlineStr">
        <is>
          <t>ESKILSTUNA</t>
        </is>
      </c>
      <c r="G3677" t="n">
        <v>0.9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41136-2022</t>
        </is>
      </c>
      <c r="B3678" s="1" t="n">
        <v>44825</v>
      </c>
      <c r="C3678" s="1" t="n">
        <v>45182</v>
      </c>
      <c r="D3678" t="inlineStr">
        <is>
          <t>SÖDERMANLANDS LÄN</t>
        </is>
      </c>
      <c r="E3678" t="inlineStr">
        <is>
          <t>NYKÖPING</t>
        </is>
      </c>
      <c r="G3678" t="n">
        <v>4.4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41129-2022</t>
        </is>
      </c>
      <c r="B3679" s="1" t="n">
        <v>44825</v>
      </c>
      <c r="C3679" s="1" t="n">
        <v>45182</v>
      </c>
      <c r="D3679" t="inlineStr">
        <is>
          <t>SÖDERMANLANDS LÄN</t>
        </is>
      </c>
      <c r="E3679" t="inlineStr">
        <is>
          <t>NYKÖPING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41137-2022</t>
        </is>
      </c>
      <c r="B3680" s="1" t="n">
        <v>44825</v>
      </c>
      <c r="C3680" s="1" t="n">
        <v>45182</v>
      </c>
      <c r="D3680" t="inlineStr">
        <is>
          <t>SÖDERMANLANDS LÄN</t>
        </is>
      </c>
      <c r="E3680" t="inlineStr">
        <is>
          <t>NYKÖPING</t>
        </is>
      </c>
      <c r="G3680" t="n">
        <v>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41229-2022</t>
        </is>
      </c>
      <c r="B3681" s="1" t="n">
        <v>44825</v>
      </c>
      <c r="C3681" s="1" t="n">
        <v>45182</v>
      </c>
      <c r="D3681" t="inlineStr">
        <is>
          <t>SÖDERMANLANDS LÄN</t>
        </is>
      </c>
      <c r="E3681" t="inlineStr">
        <is>
          <t>KATRINEHOLM</t>
        </is>
      </c>
      <c r="G3681" t="n">
        <v>3.8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41139-2022</t>
        </is>
      </c>
      <c r="B3682" s="1" t="n">
        <v>44825</v>
      </c>
      <c r="C3682" s="1" t="n">
        <v>45182</v>
      </c>
      <c r="D3682" t="inlineStr">
        <is>
          <t>SÖDERMANLANDS LÄN</t>
        </is>
      </c>
      <c r="E3682" t="inlineStr">
        <is>
          <t>NYKÖPING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40912-2022</t>
        </is>
      </c>
      <c r="B3683" s="1" t="n">
        <v>44825</v>
      </c>
      <c r="C3683" s="1" t="n">
        <v>45182</v>
      </c>
      <c r="D3683" t="inlineStr">
        <is>
          <t>SÖDERMANLANDS LÄN</t>
        </is>
      </c>
      <c r="E3683" t="inlineStr">
        <is>
          <t>ESKILSTUNA</t>
        </is>
      </c>
      <c r="F3683" t="inlineStr">
        <is>
          <t>Allmännings- och besparingsskogar</t>
        </is>
      </c>
      <c r="G3683" t="n">
        <v>3.1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41133-2022</t>
        </is>
      </c>
      <c r="B3684" s="1" t="n">
        <v>44825</v>
      </c>
      <c r="C3684" s="1" t="n">
        <v>45182</v>
      </c>
      <c r="D3684" t="inlineStr">
        <is>
          <t>SÖDERMANLANDS LÄN</t>
        </is>
      </c>
      <c r="E3684" t="inlineStr">
        <is>
          <t>NYKÖPING</t>
        </is>
      </c>
      <c r="G3684" t="n">
        <v>4.2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41241-2022</t>
        </is>
      </c>
      <c r="B3685" s="1" t="n">
        <v>44826</v>
      </c>
      <c r="C3685" s="1" t="n">
        <v>45182</v>
      </c>
      <c r="D3685" t="inlineStr">
        <is>
          <t>SÖDERMANLANDS LÄN</t>
        </is>
      </c>
      <c r="E3685" t="inlineStr">
        <is>
          <t>STRÄNGNÄS</t>
        </is>
      </c>
      <c r="G3685" t="n">
        <v>9.199999999999999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41435-2022</t>
        </is>
      </c>
      <c r="B3686" s="1" t="n">
        <v>44826</v>
      </c>
      <c r="C3686" s="1" t="n">
        <v>45182</v>
      </c>
      <c r="D3686" t="inlineStr">
        <is>
          <t>SÖDERMANLANDS LÄN</t>
        </is>
      </c>
      <c r="E3686" t="inlineStr">
        <is>
          <t>FLEN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41242-2022</t>
        </is>
      </c>
      <c r="B3687" s="1" t="n">
        <v>44826</v>
      </c>
      <c r="C3687" s="1" t="n">
        <v>45182</v>
      </c>
      <c r="D3687" t="inlineStr">
        <is>
          <t>SÖDERMANLANDS LÄN</t>
        </is>
      </c>
      <c r="E3687" t="inlineStr">
        <is>
          <t>NYKÖPING</t>
        </is>
      </c>
      <c r="G3687" t="n">
        <v>17.2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41642-2022</t>
        </is>
      </c>
      <c r="B3688" s="1" t="n">
        <v>44827</v>
      </c>
      <c r="C3688" s="1" t="n">
        <v>45182</v>
      </c>
      <c r="D3688" t="inlineStr">
        <is>
          <t>SÖDERMANLANDS LÄN</t>
        </is>
      </c>
      <c r="E3688" t="inlineStr">
        <is>
          <t>KATRINEHOLM</t>
        </is>
      </c>
      <c r="G3688" t="n">
        <v>2.4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41529-2022</t>
        </is>
      </c>
      <c r="B3689" s="1" t="n">
        <v>44827</v>
      </c>
      <c r="C3689" s="1" t="n">
        <v>45182</v>
      </c>
      <c r="D3689" t="inlineStr">
        <is>
          <t>SÖDERMANLANDS LÄN</t>
        </is>
      </c>
      <c r="E3689" t="inlineStr">
        <is>
          <t>VINGÅKER</t>
        </is>
      </c>
      <c r="F3689" t="inlineStr">
        <is>
          <t>Övriga Aktiebolag</t>
        </is>
      </c>
      <c r="G3689" t="n">
        <v>1.7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41534-2022</t>
        </is>
      </c>
      <c r="B3690" s="1" t="n">
        <v>44827</v>
      </c>
      <c r="C3690" s="1" t="n">
        <v>45182</v>
      </c>
      <c r="D3690" t="inlineStr">
        <is>
          <t>SÖDERMANLANDS LÄN</t>
        </is>
      </c>
      <c r="E3690" t="inlineStr">
        <is>
          <t>KATRINEHOLM</t>
        </is>
      </c>
      <c r="F3690" t="inlineStr">
        <is>
          <t>Övriga Aktiebolag</t>
        </is>
      </c>
      <c r="G3690" t="n">
        <v>2.5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42117-2022</t>
        </is>
      </c>
      <c r="B3691" s="1" t="n">
        <v>44830</v>
      </c>
      <c r="C3691" s="1" t="n">
        <v>45182</v>
      </c>
      <c r="D3691" t="inlineStr">
        <is>
          <t>SÖDERMANLANDS LÄN</t>
        </is>
      </c>
      <c r="E3691" t="inlineStr">
        <is>
          <t>STRÄNGNÄS</t>
        </is>
      </c>
      <c r="F3691" t="inlineStr">
        <is>
          <t>Allmännings- och besparingsskogar</t>
        </is>
      </c>
      <c r="G3691" t="n">
        <v>1.2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42249-2022</t>
        </is>
      </c>
      <c r="B3692" s="1" t="n">
        <v>44830</v>
      </c>
      <c r="C3692" s="1" t="n">
        <v>45182</v>
      </c>
      <c r="D3692" t="inlineStr">
        <is>
          <t>SÖDERMANLANDS LÄN</t>
        </is>
      </c>
      <c r="E3692" t="inlineStr">
        <is>
          <t>NYKÖPING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42103-2022</t>
        </is>
      </c>
      <c r="B3693" s="1" t="n">
        <v>44830</v>
      </c>
      <c r="C3693" s="1" t="n">
        <v>45182</v>
      </c>
      <c r="D3693" t="inlineStr">
        <is>
          <t>SÖDERMANLANDS LÄN</t>
        </is>
      </c>
      <c r="E3693" t="inlineStr">
        <is>
          <t>STRÄNGNÄS</t>
        </is>
      </c>
      <c r="F3693" t="inlineStr">
        <is>
          <t>Allmännings- och besparingsskogar</t>
        </is>
      </c>
      <c r="G3693" t="n">
        <v>1.7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42161-2022</t>
        </is>
      </c>
      <c r="B3694" s="1" t="n">
        <v>44830</v>
      </c>
      <c r="C3694" s="1" t="n">
        <v>45182</v>
      </c>
      <c r="D3694" t="inlineStr">
        <is>
          <t>SÖDERMANLANDS LÄN</t>
        </is>
      </c>
      <c r="E3694" t="inlineStr">
        <is>
          <t>VINGÅKER</t>
        </is>
      </c>
      <c r="G3694" t="n">
        <v>6.8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42177-2022</t>
        </is>
      </c>
      <c r="B3695" s="1" t="n">
        <v>44830</v>
      </c>
      <c r="C3695" s="1" t="n">
        <v>45182</v>
      </c>
      <c r="D3695" t="inlineStr">
        <is>
          <t>SÖDERMANLANDS LÄN</t>
        </is>
      </c>
      <c r="E3695" t="inlineStr">
        <is>
          <t>FLEN</t>
        </is>
      </c>
      <c r="G3695" t="n">
        <v>1.3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42200-2022</t>
        </is>
      </c>
      <c r="B3696" s="1" t="n">
        <v>44830</v>
      </c>
      <c r="C3696" s="1" t="n">
        <v>45182</v>
      </c>
      <c r="D3696" t="inlineStr">
        <is>
          <t>SÖDERMANLANDS LÄN</t>
        </is>
      </c>
      <c r="E3696" t="inlineStr">
        <is>
          <t>GNESTA</t>
        </is>
      </c>
      <c r="G3696" t="n">
        <v>1.5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41954-2022</t>
        </is>
      </c>
      <c r="B3697" s="1" t="n">
        <v>44830</v>
      </c>
      <c r="C3697" s="1" t="n">
        <v>45182</v>
      </c>
      <c r="D3697" t="inlineStr">
        <is>
          <t>SÖDERMANLANDS LÄN</t>
        </is>
      </c>
      <c r="E3697" t="inlineStr">
        <is>
          <t>NYKÖPING</t>
        </is>
      </c>
      <c r="F3697" t="inlineStr">
        <is>
          <t>Holmen skog AB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42116-2022</t>
        </is>
      </c>
      <c r="B3698" s="1" t="n">
        <v>44830</v>
      </c>
      <c r="C3698" s="1" t="n">
        <v>45182</v>
      </c>
      <c r="D3698" t="inlineStr">
        <is>
          <t>SÖDERMANLANDS LÄN</t>
        </is>
      </c>
      <c r="E3698" t="inlineStr">
        <is>
          <t>VINGÅKER</t>
        </is>
      </c>
      <c r="G3698" t="n">
        <v>3.6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42141-2022</t>
        </is>
      </c>
      <c r="B3699" s="1" t="n">
        <v>44830</v>
      </c>
      <c r="C3699" s="1" t="n">
        <v>45182</v>
      </c>
      <c r="D3699" t="inlineStr">
        <is>
          <t>SÖDERMANLANDS LÄN</t>
        </is>
      </c>
      <c r="E3699" t="inlineStr">
        <is>
          <t>VINGÅKER</t>
        </is>
      </c>
      <c r="G3699" t="n">
        <v>2.7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42157-2022</t>
        </is>
      </c>
      <c r="B3700" s="1" t="n">
        <v>44830</v>
      </c>
      <c r="C3700" s="1" t="n">
        <v>45182</v>
      </c>
      <c r="D3700" t="inlineStr">
        <is>
          <t>SÖDERMANLANDS LÄN</t>
        </is>
      </c>
      <c r="E3700" t="inlineStr">
        <is>
          <t>VINGÅKER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42092-2022</t>
        </is>
      </c>
      <c r="B3701" s="1" t="n">
        <v>44830</v>
      </c>
      <c r="C3701" s="1" t="n">
        <v>45182</v>
      </c>
      <c r="D3701" t="inlineStr">
        <is>
          <t>SÖDERMANLANDS LÄN</t>
        </is>
      </c>
      <c r="E3701" t="inlineStr">
        <is>
          <t>NYKÖPING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42111-2022</t>
        </is>
      </c>
      <c r="B3702" s="1" t="n">
        <v>44830</v>
      </c>
      <c r="C3702" s="1" t="n">
        <v>45182</v>
      </c>
      <c r="D3702" t="inlineStr">
        <is>
          <t>SÖDERMANLANDS LÄN</t>
        </is>
      </c>
      <c r="E3702" t="inlineStr">
        <is>
          <t>KATRINEHOLM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42146-2022</t>
        </is>
      </c>
      <c r="B3703" s="1" t="n">
        <v>44830</v>
      </c>
      <c r="C3703" s="1" t="n">
        <v>45182</v>
      </c>
      <c r="D3703" t="inlineStr">
        <is>
          <t>SÖDERMANLANDS LÄN</t>
        </is>
      </c>
      <c r="E3703" t="inlineStr">
        <is>
          <t>VINGÅKER</t>
        </is>
      </c>
      <c r="G3703" t="n">
        <v>2.5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42178-2022</t>
        </is>
      </c>
      <c r="B3704" s="1" t="n">
        <v>44830</v>
      </c>
      <c r="C3704" s="1" t="n">
        <v>45182</v>
      </c>
      <c r="D3704" t="inlineStr">
        <is>
          <t>SÖDERMANLANDS LÄN</t>
        </is>
      </c>
      <c r="E3704" t="inlineStr">
        <is>
          <t>GNESTA</t>
        </is>
      </c>
      <c r="G3704" t="n">
        <v>1.7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42226-2022</t>
        </is>
      </c>
      <c r="B3705" s="1" t="n">
        <v>44830</v>
      </c>
      <c r="C3705" s="1" t="n">
        <v>45182</v>
      </c>
      <c r="D3705" t="inlineStr">
        <is>
          <t>SÖDERMANLANDS LÄN</t>
        </is>
      </c>
      <c r="E3705" t="inlineStr">
        <is>
          <t>GNESTA</t>
        </is>
      </c>
      <c r="G3705" t="n">
        <v>2.3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42246-2022</t>
        </is>
      </c>
      <c r="B3706" s="1" t="n">
        <v>44830</v>
      </c>
      <c r="C3706" s="1" t="n">
        <v>45182</v>
      </c>
      <c r="D3706" t="inlineStr">
        <is>
          <t>SÖDERMANLANDS LÄN</t>
        </is>
      </c>
      <c r="E3706" t="inlineStr">
        <is>
          <t>NYKÖPING</t>
        </is>
      </c>
      <c r="G3706" t="n">
        <v>2.4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42251-2022</t>
        </is>
      </c>
      <c r="B3707" s="1" t="n">
        <v>44830</v>
      </c>
      <c r="C3707" s="1" t="n">
        <v>45182</v>
      </c>
      <c r="D3707" t="inlineStr">
        <is>
          <t>SÖDERMANLANDS LÄN</t>
        </is>
      </c>
      <c r="E3707" t="inlineStr">
        <is>
          <t>NYKÖPING</t>
        </is>
      </c>
      <c r="G3707" t="n">
        <v>2.3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42476-2022</t>
        </is>
      </c>
      <c r="B3708" s="1" t="n">
        <v>44831</v>
      </c>
      <c r="C3708" s="1" t="n">
        <v>45182</v>
      </c>
      <c r="D3708" t="inlineStr">
        <is>
          <t>SÖDERMANLANDS LÄN</t>
        </is>
      </c>
      <c r="E3708" t="inlineStr">
        <is>
          <t>STRÄNGNÄS</t>
        </is>
      </c>
      <c r="G3708" t="n">
        <v>5.5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42503-2022</t>
        </is>
      </c>
      <c r="B3709" s="1" t="n">
        <v>44831</v>
      </c>
      <c r="C3709" s="1" t="n">
        <v>45182</v>
      </c>
      <c r="D3709" t="inlineStr">
        <is>
          <t>SÖDERMANLANDS LÄN</t>
        </is>
      </c>
      <c r="E3709" t="inlineStr">
        <is>
          <t>STRÄNGNÄS</t>
        </is>
      </c>
      <c r="G3709" t="n">
        <v>3.5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42524-2022</t>
        </is>
      </c>
      <c r="B3710" s="1" t="n">
        <v>44831</v>
      </c>
      <c r="C3710" s="1" t="n">
        <v>45182</v>
      </c>
      <c r="D3710" t="inlineStr">
        <is>
          <t>SÖDERMANLANDS LÄN</t>
        </is>
      </c>
      <c r="E3710" t="inlineStr">
        <is>
          <t>GNESTA</t>
        </is>
      </c>
      <c r="G3710" t="n">
        <v>14.8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42520-2022</t>
        </is>
      </c>
      <c r="B3711" s="1" t="n">
        <v>44831</v>
      </c>
      <c r="C3711" s="1" t="n">
        <v>45182</v>
      </c>
      <c r="D3711" t="inlineStr">
        <is>
          <t>SÖDERMANLANDS LÄN</t>
        </is>
      </c>
      <c r="E3711" t="inlineStr">
        <is>
          <t>GNESTA</t>
        </is>
      </c>
      <c r="G3711" t="n">
        <v>2.2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42595-2022</t>
        </is>
      </c>
      <c r="B3712" s="1" t="n">
        <v>44831</v>
      </c>
      <c r="C3712" s="1" t="n">
        <v>45182</v>
      </c>
      <c r="D3712" t="inlineStr">
        <is>
          <t>SÖDERMANLANDS LÄN</t>
        </is>
      </c>
      <c r="E3712" t="inlineStr">
        <is>
          <t>KATRINEHOLM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42468-2022</t>
        </is>
      </c>
      <c r="B3713" s="1" t="n">
        <v>44831</v>
      </c>
      <c r="C3713" s="1" t="n">
        <v>45182</v>
      </c>
      <c r="D3713" t="inlineStr">
        <is>
          <t>SÖDERMANLANDS LÄN</t>
        </is>
      </c>
      <c r="E3713" t="inlineStr">
        <is>
          <t>STRÄNGNÄS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42516-2022</t>
        </is>
      </c>
      <c r="B3714" s="1" t="n">
        <v>44831</v>
      </c>
      <c r="C3714" s="1" t="n">
        <v>45182</v>
      </c>
      <c r="D3714" t="inlineStr">
        <is>
          <t>SÖDERMANLANDS LÄN</t>
        </is>
      </c>
      <c r="E3714" t="inlineStr">
        <is>
          <t>GNESTA</t>
        </is>
      </c>
      <c r="G3714" t="n">
        <v>2.8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42590-2022</t>
        </is>
      </c>
      <c r="B3715" s="1" t="n">
        <v>44831</v>
      </c>
      <c r="C3715" s="1" t="n">
        <v>45182</v>
      </c>
      <c r="D3715" t="inlineStr">
        <is>
          <t>SÖDERMANLANDS LÄN</t>
        </is>
      </c>
      <c r="E3715" t="inlineStr">
        <is>
          <t>KATRINEHOLM</t>
        </is>
      </c>
      <c r="G3715" t="n">
        <v>1.7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42735-2022</t>
        </is>
      </c>
      <c r="B3716" s="1" t="n">
        <v>44832</v>
      </c>
      <c r="C3716" s="1" t="n">
        <v>45182</v>
      </c>
      <c r="D3716" t="inlineStr">
        <is>
          <t>SÖDERMANLANDS LÄN</t>
        </is>
      </c>
      <c r="E3716" t="inlineStr">
        <is>
          <t>KATRINEHOLM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42801-2022</t>
        </is>
      </c>
      <c r="B3717" s="1" t="n">
        <v>44832</v>
      </c>
      <c r="C3717" s="1" t="n">
        <v>45182</v>
      </c>
      <c r="D3717" t="inlineStr">
        <is>
          <t>SÖDERMANLANDS LÄN</t>
        </is>
      </c>
      <c r="E3717" t="inlineStr">
        <is>
          <t>ESKILSTUNA</t>
        </is>
      </c>
      <c r="G3717" t="n">
        <v>19.9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43025-2022</t>
        </is>
      </c>
      <c r="B3718" s="1" t="n">
        <v>44833</v>
      </c>
      <c r="C3718" s="1" t="n">
        <v>45182</v>
      </c>
      <c r="D3718" t="inlineStr">
        <is>
          <t>SÖDERMANLANDS LÄN</t>
        </is>
      </c>
      <c r="E3718" t="inlineStr">
        <is>
          <t>STRÄNGNÄS</t>
        </is>
      </c>
      <c r="G3718" t="n">
        <v>2.4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43201-2022</t>
        </is>
      </c>
      <c r="B3719" s="1" t="n">
        <v>44833</v>
      </c>
      <c r="C3719" s="1" t="n">
        <v>45182</v>
      </c>
      <c r="D3719" t="inlineStr">
        <is>
          <t>SÖDERMANLANDS LÄN</t>
        </is>
      </c>
      <c r="E3719" t="inlineStr">
        <is>
          <t>GNESTA</t>
        </is>
      </c>
      <c r="G3719" t="n">
        <v>3.7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43052-2022</t>
        </is>
      </c>
      <c r="B3720" s="1" t="n">
        <v>44833</v>
      </c>
      <c r="C3720" s="1" t="n">
        <v>45182</v>
      </c>
      <c r="D3720" t="inlineStr">
        <is>
          <t>SÖDERMANLANDS LÄN</t>
        </is>
      </c>
      <c r="E3720" t="inlineStr">
        <is>
          <t>GNESTA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43088-2022</t>
        </is>
      </c>
      <c r="B3721" s="1" t="n">
        <v>44833</v>
      </c>
      <c r="C3721" s="1" t="n">
        <v>45182</v>
      </c>
      <c r="D3721" t="inlineStr">
        <is>
          <t>SÖDERMANLANDS LÄN</t>
        </is>
      </c>
      <c r="E3721" t="inlineStr">
        <is>
          <t>KATRINEHOLM</t>
        </is>
      </c>
      <c r="G3721" t="n">
        <v>6.6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43198-2022</t>
        </is>
      </c>
      <c r="B3722" s="1" t="n">
        <v>44833</v>
      </c>
      <c r="C3722" s="1" t="n">
        <v>45182</v>
      </c>
      <c r="D3722" t="inlineStr">
        <is>
          <t>SÖDERMANLANDS LÄN</t>
        </is>
      </c>
      <c r="E3722" t="inlineStr">
        <is>
          <t>GNESTA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43039-2022</t>
        </is>
      </c>
      <c r="B3723" s="1" t="n">
        <v>44833</v>
      </c>
      <c r="C3723" s="1" t="n">
        <v>45182</v>
      </c>
      <c r="D3723" t="inlineStr">
        <is>
          <t>SÖDERMANLANDS LÄN</t>
        </is>
      </c>
      <c r="E3723" t="inlineStr">
        <is>
          <t>ESKILSTUNA</t>
        </is>
      </c>
      <c r="G3723" t="n">
        <v>4.5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43192-2022</t>
        </is>
      </c>
      <c r="B3724" s="1" t="n">
        <v>44833</v>
      </c>
      <c r="C3724" s="1" t="n">
        <v>45182</v>
      </c>
      <c r="D3724" t="inlineStr">
        <is>
          <t>SÖDERMANLANDS LÄN</t>
        </is>
      </c>
      <c r="E3724" t="inlineStr">
        <is>
          <t>GNESTA</t>
        </is>
      </c>
      <c r="G3724" t="n">
        <v>1.5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43529-2022</t>
        </is>
      </c>
      <c r="B3725" s="1" t="n">
        <v>44834</v>
      </c>
      <c r="C3725" s="1" t="n">
        <v>45182</v>
      </c>
      <c r="D3725" t="inlineStr">
        <is>
          <t>SÖDERMANLANDS LÄN</t>
        </is>
      </c>
      <c r="E3725" t="inlineStr">
        <is>
          <t>ESKILSTUNA</t>
        </is>
      </c>
      <c r="G3725" t="n">
        <v>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43383-2022</t>
        </is>
      </c>
      <c r="B3726" s="1" t="n">
        <v>44834</v>
      </c>
      <c r="C3726" s="1" t="n">
        <v>45182</v>
      </c>
      <c r="D3726" t="inlineStr">
        <is>
          <t>SÖDERMANLANDS LÄN</t>
        </is>
      </c>
      <c r="E3726" t="inlineStr">
        <is>
          <t>STRÄNGNÄS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43387-2022</t>
        </is>
      </c>
      <c r="B3727" s="1" t="n">
        <v>44834</v>
      </c>
      <c r="C3727" s="1" t="n">
        <v>45182</v>
      </c>
      <c r="D3727" t="inlineStr">
        <is>
          <t>SÖDERMANLANDS LÄN</t>
        </is>
      </c>
      <c r="E3727" t="inlineStr">
        <is>
          <t>STRÄNGNÄS</t>
        </is>
      </c>
      <c r="G3727" t="n">
        <v>3.3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43666-2022</t>
        </is>
      </c>
      <c r="B3728" s="1" t="n">
        <v>44834</v>
      </c>
      <c r="C3728" s="1" t="n">
        <v>45182</v>
      </c>
      <c r="D3728" t="inlineStr">
        <is>
          <t>SÖDERMANLANDS LÄN</t>
        </is>
      </c>
      <c r="E3728" t="inlineStr">
        <is>
          <t>STRÄNGNÄS</t>
        </is>
      </c>
      <c r="G3728" t="n">
        <v>4.6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43388-2022</t>
        </is>
      </c>
      <c r="B3729" s="1" t="n">
        <v>44834</v>
      </c>
      <c r="C3729" s="1" t="n">
        <v>45182</v>
      </c>
      <c r="D3729" t="inlineStr">
        <is>
          <t>SÖDERMANLANDS LÄN</t>
        </is>
      </c>
      <c r="E3729" t="inlineStr">
        <is>
          <t>STRÄNGNÄS</t>
        </is>
      </c>
      <c r="G3729" t="n">
        <v>16.5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43669-2022</t>
        </is>
      </c>
      <c r="B3730" s="1" t="n">
        <v>44834</v>
      </c>
      <c r="C3730" s="1" t="n">
        <v>45182</v>
      </c>
      <c r="D3730" t="inlineStr">
        <is>
          <t>SÖDERMANLANDS LÄN</t>
        </is>
      </c>
      <c r="E3730" t="inlineStr">
        <is>
          <t>STRÄNGNÄS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43267-2022</t>
        </is>
      </c>
      <c r="B3731" s="1" t="n">
        <v>44834</v>
      </c>
      <c r="C3731" s="1" t="n">
        <v>45182</v>
      </c>
      <c r="D3731" t="inlineStr">
        <is>
          <t>SÖDERMANLANDS LÄN</t>
        </is>
      </c>
      <c r="E3731" t="inlineStr">
        <is>
          <t>FLEN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43386-2022</t>
        </is>
      </c>
      <c r="B3732" s="1" t="n">
        <v>44834</v>
      </c>
      <c r="C3732" s="1" t="n">
        <v>45182</v>
      </c>
      <c r="D3732" t="inlineStr">
        <is>
          <t>SÖDERMANLANDS LÄN</t>
        </is>
      </c>
      <c r="E3732" t="inlineStr">
        <is>
          <t>STRÄNGNÄS</t>
        </is>
      </c>
      <c r="G3732" t="n">
        <v>5.1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43543-2022</t>
        </is>
      </c>
      <c r="B3733" s="1" t="n">
        <v>44834</v>
      </c>
      <c r="C3733" s="1" t="n">
        <v>45182</v>
      </c>
      <c r="D3733" t="inlineStr">
        <is>
          <t>SÖDERMANLANDS LÄN</t>
        </is>
      </c>
      <c r="E3733" t="inlineStr">
        <is>
          <t>ESKILSTUNA</t>
        </is>
      </c>
      <c r="G3733" t="n">
        <v>6.1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43657-2022</t>
        </is>
      </c>
      <c r="B3734" s="1" t="n">
        <v>44837</v>
      </c>
      <c r="C3734" s="1" t="n">
        <v>45182</v>
      </c>
      <c r="D3734" t="inlineStr">
        <is>
          <t>SÖDERMANLANDS LÄN</t>
        </is>
      </c>
      <c r="E3734" t="inlineStr">
        <is>
          <t>NYKÖPING</t>
        </is>
      </c>
      <c r="G3734" t="n">
        <v>2.3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43964-2022</t>
        </is>
      </c>
      <c r="B3735" s="1" t="n">
        <v>44837</v>
      </c>
      <c r="C3735" s="1" t="n">
        <v>45182</v>
      </c>
      <c r="D3735" t="inlineStr">
        <is>
          <t>SÖDERMANLANDS LÄN</t>
        </is>
      </c>
      <c r="E3735" t="inlineStr">
        <is>
          <t>KATRINEHOLM</t>
        </is>
      </c>
      <c r="G3735" t="n">
        <v>3.6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43498-2022</t>
        </is>
      </c>
      <c r="B3736" s="1" t="n">
        <v>44837</v>
      </c>
      <c r="C3736" s="1" t="n">
        <v>45182</v>
      </c>
      <c r="D3736" t="inlineStr">
        <is>
          <t>SÖDERMANLANDS LÄN</t>
        </is>
      </c>
      <c r="E3736" t="inlineStr">
        <is>
          <t>NYKÖPING</t>
        </is>
      </c>
      <c r="F3736" t="inlineStr">
        <is>
          <t>Sveaskog</t>
        </is>
      </c>
      <c r="G3736" t="n">
        <v>2.3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43581-2022</t>
        </is>
      </c>
      <c r="B3737" s="1" t="n">
        <v>44837</v>
      </c>
      <c r="C3737" s="1" t="n">
        <v>45182</v>
      </c>
      <c r="D3737" t="inlineStr">
        <is>
          <t>SÖDERMANLANDS LÄN</t>
        </is>
      </c>
      <c r="E3737" t="inlineStr">
        <is>
          <t>NYKÖPING</t>
        </is>
      </c>
      <c r="G3737" t="n">
        <v>7.8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43930-2022</t>
        </is>
      </c>
      <c r="B3738" s="1" t="n">
        <v>44837</v>
      </c>
      <c r="C3738" s="1" t="n">
        <v>45182</v>
      </c>
      <c r="D3738" t="inlineStr">
        <is>
          <t>SÖDERMANLANDS LÄN</t>
        </is>
      </c>
      <c r="E3738" t="inlineStr">
        <is>
          <t>FLEN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43501-2022</t>
        </is>
      </c>
      <c r="B3739" s="1" t="n">
        <v>44837</v>
      </c>
      <c r="C3739" s="1" t="n">
        <v>45182</v>
      </c>
      <c r="D3739" t="inlineStr">
        <is>
          <t>SÖDERMANLANDS LÄN</t>
        </is>
      </c>
      <c r="E3739" t="inlineStr">
        <is>
          <t>ESKILSTUNA</t>
        </is>
      </c>
      <c r="F3739" t="inlineStr">
        <is>
          <t>Sveaskog</t>
        </is>
      </c>
      <c r="G3739" t="n">
        <v>1.4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43585-2022</t>
        </is>
      </c>
      <c r="B3740" s="1" t="n">
        <v>44837</v>
      </c>
      <c r="C3740" s="1" t="n">
        <v>45182</v>
      </c>
      <c r="D3740" t="inlineStr">
        <is>
          <t>SÖDERMANLANDS LÄN</t>
        </is>
      </c>
      <c r="E3740" t="inlineStr">
        <is>
          <t>NYKÖPING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43653-2022</t>
        </is>
      </c>
      <c r="B3741" s="1" t="n">
        <v>44837</v>
      </c>
      <c r="C3741" s="1" t="n">
        <v>45182</v>
      </c>
      <c r="D3741" t="inlineStr">
        <is>
          <t>SÖDERMANLANDS LÄN</t>
        </is>
      </c>
      <c r="E3741" t="inlineStr">
        <is>
          <t>NYKÖPING</t>
        </is>
      </c>
      <c r="G3741" t="n">
        <v>4.2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43967-2022</t>
        </is>
      </c>
      <c r="B3742" s="1" t="n">
        <v>44837</v>
      </c>
      <c r="C3742" s="1" t="n">
        <v>45182</v>
      </c>
      <c r="D3742" t="inlineStr">
        <is>
          <t>SÖDERMANLANDS LÄN</t>
        </is>
      </c>
      <c r="E3742" t="inlineStr">
        <is>
          <t>KATRINEHOLM</t>
        </is>
      </c>
      <c r="G3742" t="n">
        <v>6.2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44006-2022</t>
        </is>
      </c>
      <c r="B3743" s="1" t="n">
        <v>44838</v>
      </c>
      <c r="C3743" s="1" t="n">
        <v>45182</v>
      </c>
      <c r="D3743" t="inlineStr">
        <is>
          <t>SÖDERMANLANDS LÄN</t>
        </is>
      </c>
      <c r="E3743" t="inlineStr">
        <is>
          <t>FLEN</t>
        </is>
      </c>
      <c r="G3743" t="n">
        <v>4.4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44592-2022</t>
        </is>
      </c>
      <c r="B3744" s="1" t="n">
        <v>44838</v>
      </c>
      <c r="C3744" s="1" t="n">
        <v>45182</v>
      </c>
      <c r="D3744" t="inlineStr">
        <is>
          <t>SÖDERMANLANDS LÄN</t>
        </is>
      </c>
      <c r="E3744" t="inlineStr">
        <is>
          <t>FLEN</t>
        </is>
      </c>
      <c r="G3744" t="n">
        <v>2.7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44552-2022</t>
        </is>
      </c>
      <c r="B3745" s="1" t="n">
        <v>44838</v>
      </c>
      <c r="C3745" s="1" t="n">
        <v>45182</v>
      </c>
      <c r="D3745" t="inlineStr">
        <is>
          <t>SÖDERMANLANDS LÄN</t>
        </is>
      </c>
      <c r="E3745" t="inlineStr">
        <is>
          <t>FLEN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43837-2022</t>
        </is>
      </c>
      <c r="B3746" s="1" t="n">
        <v>44838</v>
      </c>
      <c r="C3746" s="1" t="n">
        <v>45182</v>
      </c>
      <c r="D3746" t="inlineStr">
        <is>
          <t>SÖDERMANLANDS LÄN</t>
        </is>
      </c>
      <c r="E3746" t="inlineStr">
        <is>
          <t>KATRINEHOLM</t>
        </is>
      </c>
      <c r="G3746" t="n">
        <v>1.6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44012-2022</t>
        </is>
      </c>
      <c r="B3747" s="1" t="n">
        <v>44838</v>
      </c>
      <c r="C3747" s="1" t="n">
        <v>45182</v>
      </c>
      <c r="D3747" t="inlineStr">
        <is>
          <t>SÖDERMANLANDS LÄN</t>
        </is>
      </c>
      <c r="E3747" t="inlineStr">
        <is>
          <t>KATRINEHOLM</t>
        </is>
      </c>
      <c r="G3747" t="n">
        <v>0.4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43952-2022</t>
        </is>
      </c>
      <c r="B3748" s="1" t="n">
        <v>44838</v>
      </c>
      <c r="C3748" s="1" t="n">
        <v>45182</v>
      </c>
      <c r="D3748" t="inlineStr">
        <is>
          <t>SÖDERMANLANDS LÄN</t>
        </is>
      </c>
      <c r="E3748" t="inlineStr">
        <is>
          <t>NYKÖPING</t>
        </is>
      </c>
      <c r="G3748" t="n">
        <v>2.4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44563-2022</t>
        </is>
      </c>
      <c r="B3749" s="1" t="n">
        <v>44838</v>
      </c>
      <c r="C3749" s="1" t="n">
        <v>45182</v>
      </c>
      <c r="D3749" t="inlineStr">
        <is>
          <t>SÖDERMANLANDS LÄN</t>
        </is>
      </c>
      <c r="E3749" t="inlineStr">
        <is>
          <t>FLEN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44818-2022</t>
        </is>
      </c>
      <c r="B3750" s="1" t="n">
        <v>44839</v>
      </c>
      <c r="C3750" s="1" t="n">
        <v>45182</v>
      </c>
      <c r="D3750" t="inlineStr">
        <is>
          <t>SÖDERMANLANDS LÄN</t>
        </is>
      </c>
      <c r="E3750" t="inlineStr">
        <is>
          <t>NYKÖPING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44191-2022</t>
        </is>
      </c>
      <c r="B3751" s="1" t="n">
        <v>44839</v>
      </c>
      <c r="C3751" s="1" t="n">
        <v>45182</v>
      </c>
      <c r="D3751" t="inlineStr">
        <is>
          <t>SÖDERMANLANDS LÄN</t>
        </is>
      </c>
      <c r="E3751" t="inlineStr">
        <is>
          <t>NYKÖPING</t>
        </is>
      </c>
      <c r="G3751" t="n">
        <v>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44624-2022</t>
        </is>
      </c>
      <c r="B3752" s="1" t="n">
        <v>44839</v>
      </c>
      <c r="C3752" s="1" t="n">
        <v>45182</v>
      </c>
      <c r="D3752" t="inlineStr">
        <is>
          <t>SÖDERMANLANDS LÄN</t>
        </is>
      </c>
      <c r="E3752" t="inlineStr">
        <is>
          <t>GNESTA</t>
        </is>
      </c>
      <c r="G3752" t="n">
        <v>2.2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44786-2022</t>
        </is>
      </c>
      <c r="B3753" s="1" t="n">
        <v>44839</v>
      </c>
      <c r="C3753" s="1" t="n">
        <v>45182</v>
      </c>
      <c r="D3753" t="inlineStr">
        <is>
          <t>SÖDERMANLANDS LÄN</t>
        </is>
      </c>
      <c r="E3753" t="inlineStr">
        <is>
          <t>GNESTA</t>
        </is>
      </c>
      <c r="G3753" t="n">
        <v>1.7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44820-2022</t>
        </is>
      </c>
      <c r="B3754" s="1" t="n">
        <v>44839</v>
      </c>
      <c r="C3754" s="1" t="n">
        <v>45182</v>
      </c>
      <c r="D3754" t="inlineStr">
        <is>
          <t>SÖDERMANLANDS LÄN</t>
        </is>
      </c>
      <c r="E3754" t="inlineStr">
        <is>
          <t>NYKÖPING</t>
        </is>
      </c>
      <c r="G3754" t="n">
        <v>4.2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44788-2022</t>
        </is>
      </c>
      <c r="B3755" s="1" t="n">
        <v>44839</v>
      </c>
      <c r="C3755" s="1" t="n">
        <v>45182</v>
      </c>
      <c r="D3755" t="inlineStr">
        <is>
          <t>SÖDERMANLANDS LÄN</t>
        </is>
      </c>
      <c r="E3755" t="inlineStr">
        <is>
          <t>GNESTA</t>
        </is>
      </c>
      <c r="G3755" t="n">
        <v>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44823-2022</t>
        </is>
      </c>
      <c r="B3756" s="1" t="n">
        <v>44839</v>
      </c>
      <c r="C3756" s="1" t="n">
        <v>45182</v>
      </c>
      <c r="D3756" t="inlineStr">
        <is>
          <t>SÖDERMANLANDS LÄN</t>
        </is>
      </c>
      <c r="E3756" t="inlineStr">
        <is>
          <t>NYKÖPING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44138-2022</t>
        </is>
      </c>
      <c r="B3757" s="1" t="n">
        <v>44839</v>
      </c>
      <c r="C3757" s="1" t="n">
        <v>45182</v>
      </c>
      <c r="D3757" t="inlineStr">
        <is>
          <t>SÖDERMANLANDS LÄN</t>
        </is>
      </c>
      <c r="E3757" t="inlineStr">
        <is>
          <t>KATRINEHOLM</t>
        </is>
      </c>
      <c r="G3757" t="n">
        <v>2.3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44161-2022</t>
        </is>
      </c>
      <c r="B3758" s="1" t="n">
        <v>44839</v>
      </c>
      <c r="C3758" s="1" t="n">
        <v>45182</v>
      </c>
      <c r="D3758" t="inlineStr">
        <is>
          <t>SÖDERMANLANDS LÄN</t>
        </is>
      </c>
      <c r="E3758" t="inlineStr">
        <is>
          <t>FLEN</t>
        </is>
      </c>
      <c r="G3758" t="n">
        <v>0.5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44615-2022</t>
        </is>
      </c>
      <c r="B3759" s="1" t="n">
        <v>44839</v>
      </c>
      <c r="C3759" s="1" t="n">
        <v>45182</v>
      </c>
      <c r="D3759" t="inlineStr">
        <is>
          <t>SÖDERMANLANDS LÄN</t>
        </is>
      </c>
      <c r="E3759" t="inlineStr">
        <is>
          <t>ESKILSTUNA</t>
        </is>
      </c>
      <c r="G3759" t="n">
        <v>2.5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44172-2022</t>
        </is>
      </c>
      <c r="B3760" s="1" t="n">
        <v>44839</v>
      </c>
      <c r="C3760" s="1" t="n">
        <v>45182</v>
      </c>
      <c r="D3760" t="inlineStr">
        <is>
          <t>SÖDERMANLANDS LÄN</t>
        </is>
      </c>
      <c r="E3760" t="inlineStr">
        <is>
          <t>FLEN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44376-2022</t>
        </is>
      </c>
      <c r="B3761" s="1" t="n">
        <v>44839</v>
      </c>
      <c r="C3761" s="1" t="n">
        <v>45182</v>
      </c>
      <c r="D3761" t="inlineStr">
        <is>
          <t>SÖDERMANLANDS LÄN</t>
        </is>
      </c>
      <c r="E3761" t="inlineStr">
        <is>
          <t>VINGÅKER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44720-2022</t>
        </is>
      </c>
      <c r="B3762" s="1" t="n">
        <v>44840</v>
      </c>
      <c r="C3762" s="1" t="n">
        <v>45182</v>
      </c>
      <c r="D3762" t="inlineStr">
        <is>
          <t>SÖDERMANLANDS LÄN</t>
        </is>
      </c>
      <c r="E3762" t="inlineStr">
        <is>
          <t>TROSA</t>
        </is>
      </c>
      <c r="G3762" t="n">
        <v>0.9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44908-2022</t>
        </is>
      </c>
      <c r="B3763" s="1" t="n">
        <v>44840</v>
      </c>
      <c r="C3763" s="1" t="n">
        <v>45182</v>
      </c>
      <c r="D3763" t="inlineStr">
        <is>
          <t>SÖDERMANLANDS LÄN</t>
        </is>
      </c>
      <c r="E3763" t="inlineStr">
        <is>
          <t>NYKÖPING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44989-2022</t>
        </is>
      </c>
      <c r="B3764" s="1" t="n">
        <v>44840</v>
      </c>
      <c r="C3764" s="1" t="n">
        <v>45182</v>
      </c>
      <c r="D3764" t="inlineStr">
        <is>
          <t>SÖDERMANLANDS LÄN</t>
        </is>
      </c>
      <c r="E3764" t="inlineStr">
        <is>
          <t>KATRINEHOLM</t>
        </is>
      </c>
      <c r="G3764" t="n">
        <v>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44495-2022</t>
        </is>
      </c>
      <c r="B3765" s="1" t="n">
        <v>44840</v>
      </c>
      <c r="C3765" s="1" t="n">
        <v>45182</v>
      </c>
      <c r="D3765" t="inlineStr">
        <is>
          <t>SÖDERMANLANDS LÄN</t>
        </is>
      </c>
      <c r="E3765" t="inlineStr">
        <is>
          <t>STRÄNGNÄS</t>
        </is>
      </c>
      <c r="F3765" t="inlineStr">
        <is>
          <t>Övriga Aktiebolag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44915-2022</t>
        </is>
      </c>
      <c r="B3766" s="1" t="n">
        <v>44840</v>
      </c>
      <c r="C3766" s="1" t="n">
        <v>45182</v>
      </c>
      <c r="D3766" t="inlineStr">
        <is>
          <t>SÖDERMANLANDS LÄN</t>
        </is>
      </c>
      <c r="E3766" t="inlineStr">
        <is>
          <t>KATRINEHOLM</t>
        </is>
      </c>
      <c r="G3766" t="n">
        <v>6.3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45038-2022</t>
        </is>
      </c>
      <c r="B3767" s="1" t="n">
        <v>44840</v>
      </c>
      <c r="C3767" s="1" t="n">
        <v>45182</v>
      </c>
      <c r="D3767" t="inlineStr">
        <is>
          <t>SÖDERMANLANDS LÄN</t>
        </is>
      </c>
      <c r="E3767" t="inlineStr">
        <is>
          <t>KATRINEHOLM</t>
        </is>
      </c>
      <c r="G3767" t="n">
        <v>3.6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45594-2022</t>
        </is>
      </c>
      <c r="B3768" s="1" t="n">
        <v>44841</v>
      </c>
      <c r="C3768" s="1" t="n">
        <v>45182</v>
      </c>
      <c r="D3768" t="inlineStr">
        <is>
          <t>SÖDERMANLANDS LÄN</t>
        </is>
      </c>
      <c r="E3768" t="inlineStr">
        <is>
          <t>FLEN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45652-2022</t>
        </is>
      </c>
      <c r="B3769" s="1" t="n">
        <v>44841</v>
      </c>
      <c r="C3769" s="1" t="n">
        <v>45182</v>
      </c>
      <c r="D3769" t="inlineStr">
        <is>
          <t>SÖDERMANLANDS LÄN</t>
        </is>
      </c>
      <c r="E3769" t="inlineStr">
        <is>
          <t>GNESTA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45097-2022</t>
        </is>
      </c>
      <c r="B3770" s="1" t="n">
        <v>44842</v>
      </c>
      <c r="C3770" s="1" t="n">
        <v>45182</v>
      </c>
      <c r="D3770" t="inlineStr">
        <is>
          <t>SÖDERMANLANDS LÄN</t>
        </is>
      </c>
      <c r="E3770" t="inlineStr">
        <is>
          <t>ESKILSTUNA</t>
        </is>
      </c>
      <c r="G3770" t="n">
        <v>1.3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45282-2022</t>
        </is>
      </c>
      <c r="B3771" s="1" t="n">
        <v>44844</v>
      </c>
      <c r="C3771" s="1" t="n">
        <v>45182</v>
      </c>
      <c r="D3771" t="inlineStr">
        <is>
          <t>SÖDERMANLANDS LÄN</t>
        </is>
      </c>
      <c r="E3771" t="inlineStr">
        <is>
          <t>NYKÖPING</t>
        </is>
      </c>
      <c r="F3771" t="inlineStr">
        <is>
          <t>Holmen skog AB</t>
        </is>
      </c>
      <c r="G3771" t="n">
        <v>2.3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45878-2022</t>
        </is>
      </c>
      <c r="B3772" s="1" t="n">
        <v>44844</v>
      </c>
      <c r="C3772" s="1" t="n">
        <v>45182</v>
      </c>
      <c r="D3772" t="inlineStr">
        <is>
          <t>SÖDERMANLANDS LÄN</t>
        </is>
      </c>
      <c r="E3772" t="inlineStr">
        <is>
          <t>KATRINEHOLM</t>
        </is>
      </c>
      <c r="G3772" t="n">
        <v>22.4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45222-2022</t>
        </is>
      </c>
      <c r="B3773" s="1" t="n">
        <v>44844</v>
      </c>
      <c r="C3773" s="1" t="n">
        <v>45182</v>
      </c>
      <c r="D3773" t="inlineStr">
        <is>
          <t>SÖDERMANLANDS LÄN</t>
        </is>
      </c>
      <c r="E3773" t="inlineStr">
        <is>
          <t>KATRINEHOLM</t>
        </is>
      </c>
      <c r="G3773" t="n">
        <v>1.2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45793-2022</t>
        </is>
      </c>
      <c r="B3774" s="1" t="n">
        <v>44844</v>
      </c>
      <c r="C3774" s="1" t="n">
        <v>45182</v>
      </c>
      <c r="D3774" t="inlineStr">
        <is>
          <t>SÖDERMANLANDS LÄN</t>
        </is>
      </c>
      <c r="E3774" t="inlineStr">
        <is>
          <t>KATRINEHOLM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45882-2022</t>
        </is>
      </c>
      <c r="B3775" s="1" t="n">
        <v>44844</v>
      </c>
      <c r="C3775" s="1" t="n">
        <v>45182</v>
      </c>
      <c r="D3775" t="inlineStr">
        <is>
          <t>SÖDERMANLANDS LÄN</t>
        </is>
      </c>
      <c r="E3775" t="inlineStr">
        <is>
          <t>ESKILSTUNA</t>
        </is>
      </c>
      <c r="G3775" t="n">
        <v>4.8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45879-2022</t>
        </is>
      </c>
      <c r="B3776" s="1" t="n">
        <v>44844</v>
      </c>
      <c r="C3776" s="1" t="n">
        <v>45182</v>
      </c>
      <c r="D3776" t="inlineStr">
        <is>
          <t>SÖDERMANLANDS LÄN</t>
        </is>
      </c>
      <c r="E3776" t="inlineStr">
        <is>
          <t>ESKILSTUNA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45376-2022</t>
        </is>
      </c>
      <c r="B3777" s="1" t="n">
        <v>44844</v>
      </c>
      <c r="C3777" s="1" t="n">
        <v>45182</v>
      </c>
      <c r="D3777" t="inlineStr">
        <is>
          <t>SÖDERMANLANDS LÄN</t>
        </is>
      </c>
      <c r="E3777" t="inlineStr">
        <is>
          <t>KATRINEHOLM</t>
        </is>
      </c>
      <c r="G3777" t="n">
        <v>4.7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45884-2022</t>
        </is>
      </c>
      <c r="B3778" s="1" t="n">
        <v>44844</v>
      </c>
      <c r="C3778" s="1" t="n">
        <v>45182</v>
      </c>
      <c r="D3778" t="inlineStr">
        <is>
          <t>SÖDERMANLANDS LÄN</t>
        </is>
      </c>
      <c r="E3778" t="inlineStr">
        <is>
          <t>ESKILSTUNA</t>
        </is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46401-2022</t>
        </is>
      </c>
      <c r="B3779" s="1" t="n">
        <v>44846</v>
      </c>
      <c r="C3779" s="1" t="n">
        <v>45182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46414-2022</t>
        </is>
      </c>
      <c r="B3780" s="1" t="n">
        <v>44846</v>
      </c>
      <c r="C3780" s="1" t="n">
        <v>45182</v>
      </c>
      <c r="D3780" t="inlineStr">
        <is>
          <t>SÖDERMANLANDS LÄN</t>
        </is>
      </c>
      <c r="E3780" t="inlineStr">
        <is>
          <t>FLEN</t>
        </is>
      </c>
      <c r="F3780" t="inlineStr">
        <is>
          <t>Kyrkan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46245-2022</t>
        </is>
      </c>
      <c r="B3781" s="1" t="n">
        <v>44846</v>
      </c>
      <c r="C3781" s="1" t="n">
        <v>45182</v>
      </c>
      <c r="D3781" t="inlineStr">
        <is>
          <t>SÖDERMANLANDS LÄN</t>
        </is>
      </c>
      <c r="E3781" t="inlineStr">
        <is>
          <t>NYKÖPING</t>
        </is>
      </c>
      <c r="G3781" t="n">
        <v>2.1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46487-2022</t>
        </is>
      </c>
      <c r="B3782" s="1" t="n">
        <v>44847</v>
      </c>
      <c r="C3782" s="1" t="n">
        <v>45182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46479-2022</t>
        </is>
      </c>
      <c r="B3783" s="1" t="n">
        <v>44847</v>
      </c>
      <c r="C3783" s="1" t="n">
        <v>45182</v>
      </c>
      <c r="D3783" t="inlineStr">
        <is>
          <t>SÖDERMANLANDS LÄN</t>
        </is>
      </c>
      <c r="E3783" t="inlineStr">
        <is>
          <t>KATRINEHOLM</t>
        </is>
      </c>
      <c r="F3783" t="inlineStr">
        <is>
          <t>Övriga statliga verk och myndigheter</t>
        </is>
      </c>
      <c r="G3783" t="n">
        <v>2.3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46569-2022</t>
        </is>
      </c>
      <c r="B3784" s="1" t="n">
        <v>44847</v>
      </c>
      <c r="C3784" s="1" t="n">
        <v>45182</v>
      </c>
      <c r="D3784" t="inlineStr">
        <is>
          <t>SÖDERMANLANDS LÄN</t>
        </is>
      </c>
      <c r="E3784" t="inlineStr">
        <is>
          <t>KATRINEHOLM</t>
        </is>
      </c>
      <c r="G3784" t="n">
        <v>1.7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46899-2022</t>
        </is>
      </c>
      <c r="B3785" s="1" t="n">
        <v>44848</v>
      </c>
      <c r="C3785" s="1" t="n">
        <v>45182</v>
      </c>
      <c r="D3785" t="inlineStr">
        <is>
          <t>SÖDERMANLANDS LÄN</t>
        </is>
      </c>
      <c r="E3785" t="inlineStr">
        <is>
          <t>KATRINEHOLM</t>
        </is>
      </c>
      <c r="G3785" t="n">
        <v>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46567-2022</t>
        </is>
      </c>
      <c r="B3786" s="1" t="n">
        <v>44848</v>
      </c>
      <c r="C3786" s="1" t="n">
        <v>45182</v>
      </c>
      <c r="D3786" t="inlineStr">
        <is>
          <t>SÖDERMANLANDS LÄN</t>
        </is>
      </c>
      <c r="E3786" t="inlineStr">
        <is>
          <t>FLEN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47187-2022</t>
        </is>
      </c>
      <c r="B3787" s="1" t="n">
        <v>44848</v>
      </c>
      <c r="C3787" s="1" t="n">
        <v>45182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47194-2022</t>
        </is>
      </c>
      <c r="B3788" s="1" t="n">
        <v>44848</v>
      </c>
      <c r="C3788" s="1" t="n">
        <v>45182</v>
      </c>
      <c r="D3788" t="inlineStr">
        <is>
          <t>SÖDERMANLANDS LÄN</t>
        </is>
      </c>
      <c r="E3788" t="inlineStr">
        <is>
          <t>FLEN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47134-2022</t>
        </is>
      </c>
      <c r="B3789" s="1" t="n">
        <v>44851</v>
      </c>
      <c r="C3789" s="1" t="n">
        <v>45182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46867-2022</t>
        </is>
      </c>
      <c r="B3790" s="1" t="n">
        <v>44851</v>
      </c>
      <c r="C3790" s="1" t="n">
        <v>45182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Aktiebolag</t>
        </is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46881-2022</t>
        </is>
      </c>
      <c r="B3791" s="1" t="n">
        <v>44851</v>
      </c>
      <c r="C3791" s="1" t="n">
        <v>45182</v>
      </c>
      <c r="D3791" t="inlineStr">
        <is>
          <t>SÖDERMANLANDS LÄN</t>
        </is>
      </c>
      <c r="E3791" t="inlineStr">
        <is>
          <t>ESKILSTUNA</t>
        </is>
      </c>
      <c r="G3791" t="n">
        <v>1.3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47038-2022</t>
        </is>
      </c>
      <c r="B3792" s="1" t="n">
        <v>44851</v>
      </c>
      <c r="C3792" s="1" t="n">
        <v>45182</v>
      </c>
      <c r="D3792" t="inlineStr">
        <is>
          <t>SÖDERMANLANDS LÄN</t>
        </is>
      </c>
      <c r="E3792" t="inlineStr">
        <is>
          <t>ESKILSTUNA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47182-2022</t>
        </is>
      </c>
      <c r="B3793" s="1" t="n">
        <v>44851</v>
      </c>
      <c r="C3793" s="1" t="n">
        <v>45182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46669-2022</t>
        </is>
      </c>
      <c r="B3794" s="1" t="n">
        <v>44851</v>
      </c>
      <c r="C3794" s="1" t="n">
        <v>45182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4.8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46862-2022</t>
        </is>
      </c>
      <c r="B3795" s="1" t="n">
        <v>44851</v>
      </c>
      <c r="C3795" s="1" t="n">
        <v>45182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46872-2022</t>
        </is>
      </c>
      <c r="B3796" s="1" t="n">
        <v>44851</v>
      </c>
      <c r="C3796" s="1" t="n">
        <v>45182</v>
      </c>
      <c r="D3796" t="inlineStr">
        <is>
          <t>SÖDERMANLANDS LÄN</t>
        </is>
      </c>
      <c r="E3796" t="inlineStr">
        <is>
          <t>ESKILSTUNA</t>
        </is>
      </c>
      <c r="G3796" t="n">
        <v>3.1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47453-2022</t>
        </is>
      </c>
      <c r="B3797" s="1" t="n">
        <v>44852</v>
      </c>
      <c r="C3797" s="1" t="n">
        <v>45182</v>
      </c>
      <c r="D3797" t="inlineStr">
        <is>
          <t>SÖDERMANLANDS LÄN</t>
        </is>
      </c>
      <c r="E3797" t="inlineStr">
        <is>
          <t>STRÄNGNÄS</t>
        </is>
      </c>
      <c r="G3797" t="n">
        <v>1.7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47049-2022</t>
        </is>
      </c>
      <c r="B3798" s="1" t="n">
        <v>44852</v>
      </c>
      <c r="C3798" s="1" t="n">
        <v>45182</v>
      </c>
      <c r="D3798" t="inlineStr">
        <is>
          <t>SÖDERMANLANDS LÄN</t>
        </is>
      </c>
      <c r="E3798" t="inlineStr">
        <is>
          <t>TROSA</t>
        </is>
      </c>
      <c r="G3798" t="n">
        <v>3.4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47456-2022</t>
        </is>
      </c>
      <c r="B3799" s="1" t="n">
        <v>44852</v>
      </c>
      <c r="C3799" s="1" t="n">
        <v>45182</v>
      </c>
      <c r="D3799" t="inlineStr">
        <is>
          <t>SÖDERMANLANDS LÄN</t>
        </is>
      </c>
      <c r="E3799" t="inlineStr">
        <is>
          <t>KATRINEHOLM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47013-2022</t>
        </is>
      </c>
      <c r="B3800" s="1" t="n">
        <v>44852</v>
      </c>
      <c r="C3800" s="1" t="n">
        <v>45182</v>
      </c>
      <c r="D3800" t="inlineStr">
        <is>
          <t>SÖDERMANLANDS LÄN</t>
        </is>
      </c>
      <c r="E3800" t="inlineStr">
        <is>
          <t>GNESTA</t>
        </is>
      </c>
      <c r="G3800" t="n">
        <v>0.5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47372-2022</t>
        </is>
      </c>
      <c r="B3801" s="1" t="n">
        <v>44853</v>
      </c>
      <c r="C3801" s="1" t="n">
        <v>45182</v>
      </c>
      <c r="D3801" t="inlineStr">
        <is>
          <t>SÖDERMANLANDS LÄN</t>
        </is>
      </c>
      <c r="E3801" t="inlineStr">
        <is>
          <t>NYKÖPING</t>
        </is>
      </c>
      <c r="G3801" t="n">
        <v>1.9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47969-2022</t>
        </is>
      </c>
      <c r="B3802" s="1" t="n">
        <v>44853</v>
      </c>
      <c r="C3802" s="1" t="n">
        <v>45182</v>
      </c>
      <c r="D3802" t="inlineStr">
        <is>
          <t>SÖDERMANLANDS LÄN</t>
        </is>
      </c>
      <c r="E3802" t="inlineStr">
        <is>
          <t>GNESTA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48160-2022</t>
        </is>
      </c>
      <c r="B3803" s="1" t="n">
        <v>44853</v>
      </c>
      <c r="C3803" s="1" t="n">
        <v>45182</v>
      </c>
      <c r="D3803" t="inlineStr">
        <is>
          <t>SÖDERMANLANDS LÄN</t>
        </is>
      </c>
      <c r="E3803" t="inlineStr">
        <is>
          <t>KATRINEHOLM</t>
        </is>
      </c>
      <c r="F3803" t="inlineStr">
        <is>
          <t>Övriga statliga verk och myndigheter</t>
        </is>
      </c>
      <c r="G3803" t="n">
        <v>2.2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47331-2022</t>
        </is>
      </c>
      <c r="B3804" s="1" t="n">
        <v>44853</v>
      </c>
      <c r="C3804" s="1" t="n">
        <v>45182</v>
      </c>
      <c r="D3804" t="inlineStr">
        <is>
          <t>SÖDERMANLANDS LÄN</t>
        </is>
      </c>
      <c r="E3804" t="inlineStr">
        <is>
          <t>KATRINEHOLM</t>
        </is>
      </c>
      <c r="G3804" t="n">
        <v>4.6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47370-2022</t>
        </is>
      </c>
      <c r="B3805" s="1" t="n">
        <v>44853</v>
      </c>
      <c r="C3805" s="1" t="n">
        <v>45182</v>
      </c>
      <c r="D3805" t="inlineStr">
        <is>
          <t>SÖDERMANLANDS LÄN</t>
        </is>
      </c>
      <c r="E3805" t="inlineStr">
        <is>
          <t>NYKÖPING</t>
        </is>
      </c>
      <c r="G3805" t="n">
        <v>3.2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48018-2022</t>
        </is>
      </c>
      <c r="B3806" s="1" t="n">
        <v>44853</v>
      </c>
      <c r="C3806" s="1" t="n">
        <v>45182</v>
      </c>
      <c r="D3806" t="inlineStr">
        <is>
          <t>SÖDERMANLANDS LÄN</t>
        </is>
      </c>
      <c r="E3806" t="inlineStr">
        <is>
          <t>KATRINEHOLM</t>
        </is>
      </c>
      <c r="G3806" t="n">
        <v>15.1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48173-2022</t>
        </is>
      </c>
      <c r="B3807" s="1" t="n">
        <v>44853</v>
      </c>
      <c r="C3807" s="1" t="n">
        <v>45182</v>
      </c>
      <c r="D3807" t="inlineStr">
        <is>
          <t>SÖDERMANLANDS LÄN</t>
        </is>
      </c>
      <c r="E3807" t="inlineStr">
        <is>
          <t>KATRINEHOLM</t>
        </is>
      </c>
      <c r="F3807" t="inlineStr">
        <is>
          <t>Övriga statliga verk och myndigheter</t>
        </is>
      </c>
      <c r="G3807" t="n">
        <v>3.2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47971-2022</t>
        </is>
      </c>
      <c r="B3808" s="1" t="n">
        <v>44853</v>
      </c>
      <c r="C3808" s="1" t="n">
        <v>45182</v>
      </c>
      <c r="D3808" t="inlineStr">
        <is>
          <t>SÖDERMANLANDS LÄN</t>
        </is>
      </c>
      <c r="E3808" t="inlineStr">
        <is>
          <t>GNESTA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48166-2022</t>
        </is>
      </c>
      <c r="B3809" s="1" t="n">
        <v>44853</v>
      </c>
      <c r="C3809" s="1" t="n">
        <v>45182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47763-2022</t>
        </is>
      </c>
      <c r="B3810" s="1" t="n">
        <v>44854</v>
      </c>
      <c r="C3810" s="1" t="n">
        <v>45182</v>
      </c>
      <c r="D3810" t="inlineStr">
        <is>
          <t>SÖDERMANLANDS LÄN</t>
        </is>
      </c>
      <c r="E3810" t="inlineStr">
        <is>
          <t>STRÄNGNÄS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48840-2022</t>
        </is>
      </c>
      <c r="B3811" s="1" t="n">
        <v>44854</v>
      </c>
      <c r="C3811" s="1" t="n">
        <v>45182</v>
      </c>
      <c r="D3811" t="inlineStr">
        <is>
          <t>SÖDERMANLANDS LÄN</t>
        </is>
      </c>
      <c r="E3811" t="inlineStr">
        <is>
          <t>KATRINEHOLM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48846-2022</t>
        </is>
      </c>
      <c r="B3812" s="1" t="n">
        <v>44854</v>
      </c>
      <c r="C3812" s="1" t="n">
        <v>45182</v>
      </c>
      <c r="D3812" t="inlineStr">
        <is>
          <t>SÖDERMANLANDS LÄN</t>
        </is>
      </c>
      <c r="E3812" t="inlineStr">
        <is>
          <t>KATRINEHOLM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48774-2022</t>
        </is>
      </c>
      <c r="B3813" s="1" t="n">
        <v>44855</v>
      </c>
      <c r="C3813" s="1" t="n">
        <v>45182</v>
      </c>
      <c r="D3813" t="inlineStr">
        <is>
          <t>SÖDERMANLANDS LÄN</t>
        </is>
      </c>
      <c r="E3813" t="inlineStr">
        <is>
          <t>FLEN</t>
        </is>
      </c>
      <c r="G3813" t="n">
        <v>0.8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48802-2022</t>
        </is>
      </c>
      <c r="B3814" s="1" t="n">
        <v>44855</v>
      </c>
      <c r="C3814" s="1" t="n">
        <v>45182</v>
      </c>
      <c r="D3814" t="inlineStr">
        <is>
          <t>SÖDERMANLANDS LÄN</t>
        </is>
      </c>
      <c r="E3814" t="inlineStr">
        <is>
          <t>FLEN</t>
        </is>
      </c>
      <c r="G3814" t="n">
        <v>1.4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48749-2022</t>
        </is>
      </c>
      <c r="B3815" s="1" t="n">
        <v>44855</v>
      </c>
      <c r="C3815" s="1" t="n">
        <v>45182</v>
      </c>
      <c r="D3815" t="inlineStr">
        <is>
          <t>SÖDERMANLANDS LÄN</t>
        </is>
      </c>
      <c r="E3815" t="inlineStr">
        <is>
          <t>FLEN</t>
        </is>
      </c>
      <c r="G3815" t="n">
        <v>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48791-2022</t>
        </is>
      </c>
      <c r="B3816" s="1" t="n">
        <v>44855</v>
      </c>
      <c r="C3816" s="1" t="n">
        <v>45182</v>
      </c>
      <c r="D3816" t="inlineStr">
        <is>
          <t>SÖDERMANLANDS LÄN</t>
        </is>
      </c>
      <c r="E3816" t="inlineStr">
        <is>
          <t>FLEN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48028-2022</t>
        </is>
      </c>
      <c r="B3817" s="1" t="n">
        <v>44855</v>
      </c>
      <c r="C3817" s="1" t="n">
        <v>45182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48030-2022</t>
        </is>
      </c>
      <c r="B3818" s="1" t="n">
        <v>44855</v>
      </c>
      <c r="C3818" s="1" t="n">
        <v>45182</v>
      </c>
      <c r="D3818" t="inlineStr">
        <is>
          <t>SÖDERMANLANDS LÄN</t>
        </is>
      </c>
      <c r="E3818" t="inlineStr">
        <is>
          <t>KATRINEHOLM</t>
        </is>
      </c>
      <c r="F3818" t="inlineStr">
        <is>
          <t>Allmännings- och besparingsskogar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49090-2022</t>
        </is>
      </c>
      <c r="B3819" s="1" t="n">
        <v>44857</v>
      </c>
      <c r="C3819" s="1" t="n">
        <v>45182</v>
      </c>
      <c r="D3819" t="inlineStr">
        <is>
          <t>SÖDERMANLANDS LÄN</t>
        </is>
      </c>
      <c r="E3819" t="inlineStr">
        <is>
          <t>VINGÅKER</t>
        </is>
      </c>
      <c r="G3819" t="n">
        <v>3.5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48253-2022</t>
        </is>
      </c>
      <c r="B3820" s="1" t="n">
        <v>44858</v>
      </c>
      <c r="C3820" s="1" t="n">
        <v>45182</v>
      </c>
      <c r="D3820" t="inlineStr">
        <is>
          <t>SÖDERMANLANDS LÄN</t>
        </is>
      </c>
      <c r="E3820" t="inlineStr">
        <is>
          <t>KATRINEHOLM</t>
        </is>
      </c>
      <c r="G3820" t="n">
        <v>4.7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48142-2022</t>
        </is>
      </c>
      <c r="B3821" s="1" t="n">
        <v>44858</v>
      </c>
      <c r="C3821" s="1" t="n">
        <v>45182</v>
      </c>
      <c r="D3821" t="inlineStr">
        <is>
          <t>SÖDERMANLANDS LÄN</t>
        </is>
      </c>
      <c r="E3821" t="inlineStr">
        <is>
          <t>STRÄNGNÄS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49223-2022</t>
        </is>
      </c>
      <c r="B3822" s="1" t="n">
        <v>44858</v>
      </c>
      <c r="C3822" s="1" t="n">
        <v>45182</v>
      </c>
      <c r="D3822" t="inlineStr">
        <is>
          <t>SÖDERMANLANDS LÄN</t>
        </is>
      </c>
      <c r="E3822" t="inlineStr">
        <is>
          <t>NYKÖPING</t>
        </is>
      </c>
      <c r="F3822" t="inlineStr">
        <is>
          <t>Övriga statliga verk och myndigheter</t>
        </is>
      </c>
      <c r="G3822" t="n">
        <v>4.5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48259-2022</t>
        </is>
      </c>
      <c r="B3823" s="1" t="n">
        <v>44858</v>
      </c>
      <c r="C3823" s="1" t="n">
        <v>45182</v>
      </c>
      <c r="D3823" t="inlineStr">
        <is>
          <t>SÖDERMANLANDS LÄN</t>
        </is>
      </c>
      <c r="E3823" t="inlineStr">
        <is>
          <t>KATRINEHOLM</t>
        </is>
      </c>
      <c r="G3823" t="n">
        <v>3.5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48484-2022</t>
        </is>
      </c>
      <c r="B3824" s="1" t="n">
        <v>44858</v>
      </c>
      <c r="C3824" s="1" t="n">
        <v>45182</v>
      </c>
      <c r="D3824" t="inlineStr">
        <is>
          <t>SÖDERMANLANDS LÄN</t>
        </is>
      </c>
      <c r="E3824" t="inlineStr">
        <is>
          <t>NYKÖPING</t>
        </is>
      </c>
      <c r="G3824" t="n">
        <v>1.9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48826-2022</t>
        </is>
      </c>
      <c r="B3825" s="1" t="n">
        <v>44859</v>
      </c>
      <c r="C3825" s="1" t="n">
        <v>45182</v>
      </c>
      <c r="D3825" t="inlineStr">
        <is>
          <t>SÖDERMANLANDS LÄN</t>
        </is>
      </c>
      <c r="E3825" t="inlineStr">
        <is>
          <t>FLEN</t>
        </is>
      </c>
      <c r="F3825" t="inlineStr">
        <is>
          <t>Holmen skog AB</t>
        </is>
      </c>
      <c r="G3825" t="n">
        <v>1.2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48877-2022</t>
        </is>
      </c>
      <c r="B3826" s="1" t="n">
        <v>44859</v>
      </c>
      <c r="C3826" s="1" t="n">
        <v>45182</v>
      </c>
      <c r="D3826" t="inlineStr">
        <is>
          <t>SÖDERMANLANDS LÄN</t>
        </is>
      </c>
      <c r="E3826" t="inlineStr">
        <is>
          <t>KATRINEHOLM</t>
        </is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48620-2022</t>
        </is>
      </c>
      <c r="B3827" s="1" t="n">
        <v>44859</v>
      </c>
      <c r="C3827" s="1" t="n">
        <v>45182</v>
      </c>
      <c r="D3827" t="inlineStr">
        <is>
          <t>SÖDERMANLANDS LÄN</t>
        </is>
      </c>
      <c r="E3827" t="inlineStr">
        <is>
          <t>VINGÅKER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48631-2022</t>
        </is>
      </c>
      <c r="B3828" s="1" t="n">
        <v>44859</v>
      </c>
      <c r="C3828" s="1" t="n">
        <v>45182</v>
      </c>
      <c r="D3828" t="inlineStr">
        <is>
          <t>SÖDERMANLANDS LÄN</t>
        </is>
      </c>
      <c r="E3828" t="inlineStr">
        <is>
          <t>VINGÅKER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48723-2022</t>
        </is>
      </c>
      <c r="B3829" s="1" t="n">
        <v>44859</v>
      </c>
      <c r="C3829" s="1" t="n">
        <v>45182</v>
      </c>
      <c r="D3829" t="inlineStr">
        <is>
          <t>SÖDERMANLANDS LÄN</t>
        </is>
      </c>
      <c r="E3829" t="inlineStr">
        <is>
          <t>FLEN</t>
        </is>
      </c>
      <c r="F3829" t="inlineStr">
        <is>
          <t>Holmen skog AB</t>
        </is>
      </c>
      <c r="G3829" t="n">
        <v>3.1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48627-2022</t>
        </is>
      </c>
      <c r="B3830" s="1" t="n">
        <v>44859</v>
      </c>
      <c r="C3830" s="1" t="n">
        <v>45182</v>
      </c>
      <c r="D3830" t="inlineStr">
        <is>
          <t>SÖDERMANLANDS LÄN</t>
        </is>
      </c>
      <c r="E3830" t="inlineStr">
        <is>
          <t>VINGÅKER</t>
        </is>
      </c>
      <c r="G3830" t="n">
        <v>0.7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48785-2022</t>
        </is>
      </c>
      <c r="B3831" s="1" t="n">
        <v>44859</v>
      </c>
      <c r="C3831" s="1" t="n">
        <v>45182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2.2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48638-2022</t>
        </is>
      </c>
      <c r="B3832" s="1" t="n">
        <v>44859</v>
      </c>
      <c r="C3832" s="1" t="n">
        <v>45182</v>
      </c>
      <c r="D3832" t="inlineStr">
        <is>
          <t>SÖDERMANLANDS LÄN</t>
        </is>
      </c>
      <c r="E3832" t="inlineStr">
        <is>
          <t>VINGÅKER</t>
        </is>
      </c>
      <c r="G3832" t="n">
        <v>1.4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48649-2022</t>
        </is>
      </c>
      <c r="B3833" s="1" t="n">
        <v>44859</v>
      </c>
      <c r="C3833" s="1" t="n">
        <v>45182</v>
      </c>
      <c r="D3833" t="inlineStr">
        <is>
          <t>SÖDERMANLANDS LÄN</t>
        </is>
      </c>
      <c r="E3833" t="inlineStr">
        <is>
          <t>VINGÅKER</t>
        </is>
      </c>
      <c r="G3833" t="n">
        <v>4.1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48682-2022</t>
        </is>
      </c>
      <c r="B3834" s="1" t="n">
        <v>44859</v>
      </c>
      <c r="C3834" s="1" t="n">
        <v>45182</v>
      </c>
      <c r="D3834" t="inlineStr">
        <is>
          <t>SÖDERMANLANDS LÄN</t>
        </is>
      </c>
      <c r="E3834" t="inlineStr">
        <is>
          <t>KATRINEHOLM</t>
        </is>
      </c>
      <c r="G3834" t="n">
        <v>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48617-2022</t>
        </is>
      </c>
      <c r="B3835" s="1" t="n">
        <v>44859</v>
      </c>
      <c r="C3835" s="1" t="n">
        <v>45182</v>
      </c>
      <c r="D3835" t="inlineStr">
        <is>
          <t>SÖDERMANLANDS LÄN</t>
        </is>
      </c>
      <c r="E3835" t="inlineStr">
        <is>
          <t>VINGÅKER</t>
        </is>
      </c>
      <c r="G3835" t="n">
        <v>1.6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48644-2022</t>
        </is>
      </c>
      <c r="B3836" s="1" t="n">
        <v>44859</v>
      </c>
      <c r="C3836" s="1" t="n">
        <v>45182</v>
      </c>
      <c r="D3836" t="inlineStr">
        <is>
          <t>SÖDERMANLANDS LÄN</t>
        </is>
      </c>
      <c r="E3836" t="inlineStr">
        <is>
          <t>VINGÅKER</t>
        </is>
      </c>
      <c r="G3836" t="n">
        <v>1.2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48685-2022</t>
        </is>
      </c>
      <c r="B3837" s="1" t="n">
        <v>44859</v>
      </c>
      <c r="C3837" s="1" t="n">
        <v>45182</v>
      </c>
      <c r="D3837" t="inlineStr">
        <is>
          <t>SÖDERMANLANDS LÄN</t>
        </is>
      </c>
      <c r="E3837" t="inlineStr">
        <is>
          <t>KATRINEHOLM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48709-2022</t>
        </is>
      </c>
      <c r="B3838" s="1" t="n">
        <v>44859</v>
      </c>
      <c r="C3838" s="1" t="n">
        <v>45182</v>
      </c>
      <c r="D3838" t="inlineStr">
        <is>
          <t>SÖDERMANLANDS LÄN</t>
        </is>
      </c>
      <c r="E3838" t="inlineStr">
        <is>
          <t>NYKÖPING</t>
        </is>
      </c>
      <c r="F3838" t="inlineStr">
        <is>
          <t>Holmen skog AB</t>
        </is>
      </c>
      <c r="G3838" t="n">
        <v>0.8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50032-2022</t>
        </is>
      </c>
      <c r="B3839" s="1" t="n">
        <v>44860</v>
      </c>
      <c r="C3839" s="1" t="n">
        <v>45182</v>
      </c>
      <c r="D3839" t="inlineStr">
        <is>
          <t>SÖDERMANLANDS LÄN</t>
        </is>
      </c>
      <c r="E3839" t="inlineStr">
        <is>
          <t>KATRINEHOLM</t>
        </is>
      </c>
      <c r="G3839" t="n">
        <v>7.5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49469-2022</t>
        </is>
      </c>
      <c r="B3840" s="1" t="n">
        <v>44861</v>
      </c>
      <c r="C3840" s="1" t="n">
        <v>45182</v>
      </c>
      <c r="D3840" t="inlineStr">
        <is>
          <t>SÖDERMANLANDS LÄN</t>
        </is>
      </c>
      <c r="E3840" t="inlineStr">
        <is>
          <t>ESKILSTUNA</t>
        </is>
      </c>
      <c r="F3840" t="inlineStr">
        <is>
          <t>Allmännings- och besparingsskogar</t>
        </is>
      </c>
      <c r="G3840" t="n">
        <v>5.8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49700-2022</t>
        </is>
      </c>
      <c r="B3841" s="1" t="n">
        <v>44862</v>
      </c>
      <c r="C3841" s="1" t="n">
        <v>45182</v>
      </c>
      <c r="D3841" t="inlineStr">
        <is>
          <t>SÖDERMANLANDS LÄN</t>
        </is>
      </c>
      <c r="E3841" t="inlineStr">
        <is>
          <t>KATRINEHOLM</t>
        </is>
      </c>
      <c r="G3841" t="n">
        <v>19.5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49828-2022</t>
        </is>
      </c>
      <c r="B3842" s="1" t="n">
        <v>44862</v>
      </c>
      <c r="C3842" s="1" t="n">
        <v>45182</v>
      </c>
      <c r="D3842" t="inlineStr">
        <is>
          <t>SÖDERMANLANDS LÄN</t>
        </is>
      </c>
      <c r="E3842" t="inlineStr">
        <is>
          <t>FLEN</t>
        </is>
      </c>
      <c r="F3842" t="inlineStr">
        <is>
          <t>Kyrkan</t>
        </is>
      </c>
      <c r="G3842" t="n">
        <v>4.7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50840-2022</t>
        </is>
      </c>
      <c r="B3843" s="1" t="n">
        <v>44862</v>
      </c>
      <c r="C3843" s="1" t="n">
        <v>45182</v>
      </c>
      <c r="D3843" t="inlineStr">
        <is>
          <t>SÖDERMANLANDS LÄN</t>
        </is>
      </c>
      <c r="E3843" t="inlineStr">
        <is>
          <t>KATRINEHOLM</t>
        </is>
      </c>
      <c r="G3843" t="n">
        <v>4.2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49763-2022</t>
        </is>
      </c>
      <c r="B3844" s="1" t="n">
        <v>44862</v>
      </c>
      <c r="C3844" s="1" t="n">
        <v>45182</v>
      </c>
      <c r="D3844" t="inlineStr">
        <is>
          <t>SÖDERMANLANDS LÄN</t>
        </is>
      </c>
      <c r="E3844" t="inlineStr">
        <is>
          <t>NYKÖPING</t>
        </is>
      </c>
      <c r="G3844" t="n">
        <v>2.6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50731-2022</t>
        </is>
      </c>
      <c r="B3845" s="1" t="n">
        <v>44862</v>
      </c>
      <c r="C3845" s="1" t="n">
        <v>45182</v>
      </c>
      <c r="D3845" t="inlineStr">
        <is>
          <t>SÖDERMANLANDS LÄN</t>
        </is>
      </c>
      <c r="E3845" t="inlineStr">
        <is>
          <t>FLEN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49884-2022</t>
        </is>
      </c>
      <c r="B3846" s="1" t="n">
        <v>44864</v>
      </c>
      <c r="C3846" s="1" t="n">
        <v>45182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2.8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50898-2022</t>
        </is>
      </c>
      <c r="B3847" s="1" t="n">
        <v>44864</v>
      </c>
      <c r="C3847" s="1" t="n">
        <v>45182</v>
      </c>
      <c r="D3847" t="inlineStr">
        <is>
          <t>SÖDERMANLANDS LÄN</t>
        </is>
      </c>
      <c r="E3847" t="inlineStr">
        <is>
          <t>FLEN</t>
        </is>
      </c>
      <c r="G3847" t="n">
        <v>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50292-2022</t>
        </is>
      </c>
      <c r="B3848" s="1" t="n">
        <v>44865</v>
      </c>
      <c r="C3848" s="1" t="n">
        <v>45182</v>
      </c>
      <c r="D3848" t="inlineStr">
        <is>
          <t>SÖDERMANLANDS LÄN</t>
        </is>
      </c>
      <c r="E3848" t="inlineStr">
        <is>
          <t>ESKILSTUNA</t>
        </is>
      </c>
      <c r="F3848" t="inlineStr">
        <is>
          <t>Kyrkan</t>
        </is>
      </c>
      <c r="G3848" t="n">
        <v>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51186-2022</t>
        </is>
      </c>
      <c r="B3849" s="1" t="n">
        <v>44865</v>
      </c>
      <c r="C3849" s="1" t="n">
        <v>45182</v>
      </c>
      <c r="D3849" t="inlineStr">
        <is>
          <t>SÖDERMANLANDS LÄN</t>
        </is>
      </c>
      <c r="E3849" t="inlineStr">
        <is>
          <t>KATRINEHOLM</t>
        </is>
      </c>
      <c r="F3849" t="inlineStr">
        <is>
          <t>Övriga Aktiebolag</t>
        </is>
      </c>
      <c r="G3849" t="n">
        <v>6.5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49942-2022</t>
        </is>
      </c>
      <c r="B3850" s="1" t="n">
        <v>44865</v>
      </c>
      <c r="C3850" s="1" t="n">
        <v>45182</v>
      </c>
      <c r="D3850" t="inlineStr">
        <is>
          <t>SÖDERMANLANDS LÄN</t>
        </is>
      </c>
      <c r="E3850" t="inlineStr">
        <is>
          <t>NYKÖPING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50261-2022</t>
        </is>
      </c>
      <c r="B3851" s="1" t="n">
        <v>44865</v>
      </c>
      <c r="C3851" s="1" t="n">
        <v>45182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50310-2022</t>
        </is>
      </c>
      <c r="B3852" s="1" t="n">
        <v>44865</v>
      </c>
      <c r="C3852" s="1" t="n">
        <v>45182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Kyrkan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50061-2022</t>
        </is>
      </c>
      <c r="B3853" s="1" t="n">
        <v>44865</v>
      </c>
      <c r="C3853" s="1" t="n">
        <v>45182</v>
      </c>
      <c r="D3853" t="inlineStr">
        <is>
          <t>SÖDERMANLANDS LÄN</t>
        </is>
      </c>
      <c r="E3853" t="inlineStr">
        <is>
          <t>KATRINEHOLM</t>
        </is>
      </c>
      <c r="G3853" t="n">
        <v>4.9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50269-2022</t>
        </is>
      </c>
      <c r="B3854" s="1" t="n">
        <v>44865</v>
      </c>
      <c r="C3854" s="1" t="n">
        <v>45182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Allmännings- och besparingsskogar</t>
        </is>
      </c>
      <c r="G3854" t="n">
        <v>0.6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49923-2022</t>
        </is>
      </c>
      <c r="B3855" s="1" t="n">
        <v>44865</v>
      </c>
      <c r="C3855" s="1" t="n">
        <v>45182</v>
      </c>
      <c r="D3855" t="inlineStr">
        <is>
          <t>SÖDERMANLANDS LÄN</t>
        </is>
      </c>
      <c r="E3855" t="inlineStr">
        <is>
          <t>GNESTA</t>
        </is>
      </c>
      <c r="G3855" t="n">
        <v>2.8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49939-2022</t>
        </is>
      </c>
      <c r="B3856" s="1" t="n">
        <v>44865</v>
      </c>
      <c r="C3856" s="1" t="n">
        <v>45182</v>
      </c>
      <c r="D3856" t="inlineStr">
        <is>
          <t>SÖDERMANLANDS LÄN</t>
        </is>
      </c>
      <c r="E3856" t="inlineStr">
        <is>
          <t>FLEN</t>
        </is>
      </c>
      <c r="F3856" t="inlineStr">
        <is>
          <t>Holmen skog AB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50298-2022</t>
        </is>
      </c>
      <c r="B3857" s="1" t="n">
        <v>44865</v>
      </c>
      <c r="C3857" s="1" t="n">
        <v>45182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51891-2022</t>
        </is>
      </c>
      <c r="B3858" s="1" t="n">
        <v>44867</v>
      </c>
      <c r="C3858" s="1" t="n">
        <v>45182</v>
      </c>
      <c r="D3858" t="inlineStr">
        <is>
          <t>SÖDERMANLANDS LÄN</t>
        </is>
      </c>
      <c r="E3858" t="inlineStr">
        <is>
          <t>VINGÅKER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50709-2022</t>
        </is>
      </c>
      <c r="B3859" s="1" t="n">
        <v>44867</v>
      </c>
      <c r="C3859" s="1" t="n">
        <v>45182</v>
      </c>
      <c r="D3859" t="inlineStr">
        <is>
          <t>SÖDERMANLANDS LÄN</t>
        </is>
      </c>
      <c r="E3859" t="inlineStr">
        <is>
          <t>STRÄNGNÄS</t>
        </is>
      </c>
      <c r="G3859" t="n">
        <v>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50776-2022</t>
        </is>
      </c>
      <c r="B3860" s="1" t="n">
        <v>44867</v>
      </c>
      <c r="C3860" s="1" t="n">
        <v>45182</v>
      </c>
      <c r="D3860" t="inlineStr">
        <is>
          <t>SÖDERMANLANDS LÄN</t>
        </is>
      </c>
      <c r="E3860" t="inlineStr">
        <is>
          <t>NYKÖPING</t>
        </is>
      </c>
      <c r="G3860" t="n">
        <v>13.4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50734-2022</t>
        </is>
      </c>
      <c r="B3861" s="1" t="n">
        <v>44867</v>
      </c>
      <c r="C3861" s="1" t="n">
        <v>45182</v>
      </c>
      <c r="D3861" t="inlineStr">
        <is>
          <t>SÖDERMANLANDS LÄN</t>
        </is>
      </c>
      <c r="E3861" t="inlineStr">
        <is>
          <t>NYKÖPING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51096-2022</t>
        </is>
      </c>
      <c r="B3862" s="1" t="n">
        <v>44868</v>
      </c>
      <c r="C3862" s="1" t="n">
        <v>45182</v>
      </c>
      <c r="D3862" t="inlineStr">
        <is>
          <t>SÖDERMANLANDS LÄN</t>
        </is>
      </c>
      <c r="E3862" t="inlineStr">
        <is>
          <t>FLEN</t>
        </is>
      </c>
      <c r="G3862" t="n">
        <v>8.4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51327-2022</t>
        </is>
      </c>
      <c r="B3863" s="1" t="n">
        <v>44868</v>
      </c>
      <c r="C3863" s="1" t="n">
        <v>45182</v>
      </c>
      <c r="D3863" t="inlineStr">
        <is>
          <t>SÖDERMANLANDS LÄN</t>
        </is>
      </c>
      <c r="E3863" t="inlineStr">
        <is>
          <t>FLEN</t>
        </is>
      </c>
      <c r="G3863" t="n">
        <v>3.4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51925-2022</t>
        </is>
      </c>
      <c r="B3864" s="1" t="n">
        <v>44868</v>
      </c>
      <c r="C3864" s="1" t="n">
        <v>45182</v>
      </c>
      <c r="D3864" t="inlineStr">
        <is>
          <t>SÖDERMANLANDS LÄN</t>
        </is>
      </c>
      <c r="E3864" t="inlineStr">
        <is>
          <t>FLEN</t>
        </is>
      </c>
      <c r="F3864" t="inlineStr">
        <is>
          <t>Övriga statliga verk och myndigheter</t>
        </is>
      </c>
      <c r="G3864" t="n">
        <v>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51410-2022</t>
        </is>
      </c>
      <c r="B3865" s="1" t="n">
        <v>44869</v>
      </c>
      <c r="C3865" s="1" t="n">
        <v>45182</v>
      </c>
      <c r="D3865" t="inlineStr">
        <is>
          <t>SÖDERMANLANDS LÄN</t>
        </is>
      </c>
      <c r="E3865" t="inlineStr">
        <is>
          <t>NYKÖPING</t>
        </is>
      </c>
      <c r="F3865" t="inlineStr">
        <is>
          <t>Holmen skog AB</t>
        </is>
      </c>
      <c r="G3865" t="n">
        <v>0.5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51530-2022</t>
        </is>
      </c>
      <c r="B3866" s="1" t="n">
        <v>44869</v>
      </c>
      <c r="C3866" s="1" t="n">
        <v>45182</v>
      </c>
      <c r="D3866" t="inlineStr">
        <is>
          <t>SÖDERMANLANDS LÄN</t>
        </is>
      </c>
      <c r="E3866" t="inlineStr">
        <is>
          <t>NYKÖPING</t>
        </is>
      </c>
      <c r="G3866" t="n">
        <v>1.2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52257-2022</t>
        </is>
      </c>
      <c r="B3867" s="1" t="n">
        <v>44869</v>
      </c>
      <c r="C3867" s="1" t="n">
        <v>45182</v>
      </c>
      <c r="D3867" t="inlineStr">
        <is>
          <t>SÖDERMANLANDS LÄN</t>
        </is>
      </c>
      <c r="E3867" t="inlineStr">
        <is>
          <t>FLEN</t>
        </is>
      </c>
      <c r="F3867" t="inlineStr">
        <is>
          <t>Övriga statliga verk och myndigheter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51569-2022</t>
        </is>
      </c>
      <c r="B3868" s="1" t="n">
        <v>44870</v>
      </c>
      <c r="C3868" s="1" t="n">
        <v>45182</v>
      </c>
      <c r="D3868" t="inlineStr">
        <is>
          <t>SÖDERMANLANDS LÄN</t>
        </is>
      </c>
      <c r="E3868" t="inlineStr">
        <is>
          <t>NYKÖPING</t>
        </is>
      </c>
      <c r="G3868" t="n">
        <v>0.5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51593-2022</t>
        </is>
      </c>
      <c r="B3869" s="1" t="n">
        <v>44871</v>
      </c>
      <c r="C3869" s="1" t="n">
        <v>45182</v>
      </c>
      <c r="D3869" t="inlineStr">
        <is>
          <t>SÖDERMANLANDS LÄN</t>
        </is>
      </c>
      <c r="E3869" t="inlineStr">
        <is>
          <t>ESKILSTUNA</t>
        </is>
      </c>
      <c r="G3869" t="n">
        <v>1.1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51613-2022</t>
        </is>
      </c>
      <c r="B3870" s="1" t="n">
        <v>44871</v>
      </c>
      <c r="C3870" s="1" t="n">
        <v>45182</v>
      </c>
      <c r="D3870" t="inlineStr">
        <is>
          <t>SÖDERMANLANDS LÄN</t>
        </is>
      </c>
      <c r="E3870" t="inlineStr">
        <is>
          <t>KATRINEHOLM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51762-2022</t>
        </is>
      </c>
      <c r="B3871" s="1" t="n">
        <v>44872</v>
      </c>
      <c r="C3871" s="1" t="n">
        <v>45182</v>
      </c>
      <c r="D3871" t="inlineStr">
        <is>
          <t>SÖDERMANLANDS LÄN</t>
        </is>
      </c>
      <c r="E3871" t="inlineStr">
        <is>
          <t>STRÄNGNÄS</t>
        </is>
      </c>
      <c r="G3871" t="n">
        <v>5.7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51772-2022</t>
        </is>
      </c>
      <c r="B3872" s="1" t="n">
        <v>44872</v>
      </c>
      <c r="C3872" s="1" t="n">
        <v>45182</v>
      </c>
      <c r="D3872" t="inlineStr">
        <is>
          <t>SÖDERMANLANDS LÄN</t>
        </is>
      </c>
      <c r="E3872" t="inlineStr">
        <is>
          <t>STRÄNGNÄS</t>
        </is>
      </c>
      <c r="G3872" t="n">
        <v>2.4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51815-2022</t>
        </is>
      </c>
      <c r="B3873" s="1" t="n">
        <v>44872</v>
      </c>
      <c r="C3873" s="1" t="n">
        <v>45182</v>
      </c>
      <c r="D3873" t="inlineStr">
        <is>
          <t>SÖDERMANLANDS LÄN</t>
        </is>
      </c>
      <c r="E3873" t="inlineStr">
        <is>
          <t>STRÄNGNÄS</t>
        </is>
      </c>
      <c r="G3873" t="n">
        <v>9.800000000000001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52820-2022</t>
        </is>
      </c>
      <c r="B3874" s="1" t="n">
        <v>44872</v>
      </c>
      <c r="C3874" s="1" t="n">
        <v>45182</v>
      </c>
      <c r="D3874" t="inlineStr">
        <is>
          <t>SÖDERMANLANDS LÄN</t>
        </is>
      </c>
      <c r="E3874" t="inlineStr">
        <is>
          <t>FLEN</t>
        </is>
      </c>
      <c r="G3874" t="n">
        <v>2.1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51763-2022</t>
        </is>
      </c>
      <c r="B3875" s="1" t="n">
        <v>44872</v>
      </c>
      <c r="C3875" s="1" t="n">
        <v>45182</v>
      </c>
      <c r="D3875" t="inlineStr">
        <is>
          <t>SÖDERMANLANDS LÄN</t>
        </is>
      </c>
      <c r="E3875" t="inlineStr">
        <is>
          <t>STRÄNGNÄS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51820-2022</t>
        </is>
      </c>
      <c r="B3876" s="1" t="n">
        <v>44872</v>
      </c>
      <c r="C3876" s="1" t="n">
        <v>45182</v>
      </c>
      <c r="D3876" t="inlineStr">
        <is>
          <t>SÖDERMANLANDS LÄN</t>
        </is>
      </c>
      <c r="E3876" t="inlineStr">
        <is>
          <t>KATRINEHOLM</t>
        </is>
      </c>
      <c r="G3876" t="n">
        <v>1.5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52247-2022</t>
        </is>
      </c>
      <c r="B3877" s="1" t="n">
        <v>44873</v>
      </c>
      <c r="C3877" s="1" t="n">
        <v>45182</v>
      </c>
      <c r="D3877" t="inlineStr">
        <is>
          <t>SÖDERMANLANDS LÄN</t>
        </is>
      </c>
      <c r="E3877" t="inlineStr">
        <is>
          <t>GNESTA</t>
        </is>
      </c>
      <c r="G3877" t="n">
        <v>0.2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52050-2022</t>
        </is>
      </c>
      <c r="B3878" s="1" t="n">
        <v>44873</v>
      </c>
      <c r="C3878" s="1" t="n">
        <v>45182</v>
      </c>
      <c r="D3878" t="inlineStr">
        <is>
          <t>SÖDERMANLANDS LÄN</t>
        </is>
      </c>
      <c r="E3878" t="inlineStr">
        <is>
          <t>FLEN</t>
        </is>
      </c>
      <c r="G3878" t="n">
        <v>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53098-2022</t>
        </is>
      </c>
      <c r="B3879" s="1" t="n">
        <v>44873</v>
      </c>
      <c r="C3879" s="1" t="n">
        <v>45182</v>
      </c>
      <c r="D3879" t="inlineStr">
        <is>
          <t>SÖDERMANLANDS LÄN</t>
        </is>
      </c>
      <c r="E3879" t="inlineStr">
        <is>
          <t>ESKILSTUNA</t>
        </is>
      </c>
      <c r="G3879" t="n">
        <v>0.9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53139-2022</t>
        </is>
      </c>
      <c r="B3880" s="1" t="n">
        <v>44873</v>
      </c>
      <c r="C3880" s="1" t="n">
        <v>45182</v>
      </c>
      <c r="D3880" t="inlineStr">
        <is>
          <t>SÖDERMANLANDS LÄN</t>
        </is>
      </c>
      <c r="E3880" t="inlineStr">
        <is>
          <t>STRÄNGNÄS</t>
        </is>
      </c>
      <c r="G3880" t="n">
        <v>6.2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53488-2022</t>
        </is>
      </c>
      <c r="B3881" s="1" t="n">
        <v>44874</v>
      </c>
      <c r="C3881" s="1" t="n">
        <v>45182</v>
      </c>
      <c r="D3881" t="inlineStr">
        <is>
          <t>SÖDERMANLANDS LÄN</t>
        </is>
      </c>
      <c r="E3881" t="inlineStr">
        <is>
          <t>STRÄNGNÄS</t>
        </is>
      </c>
      <c r="G3881" t="n">
        <v>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52563-2022</t>
        </is>
      </c>
      <c r="B3882" s="1" t="n">
        <v>44874</v>
      </c>
      <c r="C3882" s="1" t="n">
        <v>45182</v>
      </c>
      <c r="D3882" t="inlineStr">
        <is>
          <t>SÖDERMANLANDS LÄN</t>
        </is>
      </c>
      <c r="E3882" t="inlineStr">
        <is>
          <t>ESKILSTUNA</t>
        </is>
      </c>
      <c r="G3882" t="n">
        <v>3.7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53374-2022</t>
        </is>
      </c>
      <c r="B3883" s="1" t="n">
        <v>44874</v>
      </c>
      <c r="C3883" s="1" t="n">
        <v>45182</v>
      </c>
      <c r="D3883" t="inlineStr">
        <is>
          <t>SÖDERMANLANDS LÄN</t>
        </is>
      </c>
      <c r="E3883" t="inlineStr">
        <is>
          <t>ESKILSTUNA</t>
        </is>
      </c>
      <c r="G3883" t="n">
        <v>3.8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53750-2022</t>
        </is>
      </c>
      <c r="B3884" s="1" t="n">
        <v>44875</v>
      </c>
      <c r="C3884" s="1" t="n">
        <v>45182</v>
      </c>
      <c r="D3884" t="inlineStr">
        <is>
          <t>SÖDERMANLANDS LÄN</t>
        </is>
      </c>
      <c r="E3884" t="inlineStr">
        <is>
          <t>KATRINEHOLM</t>
        </is>
      </c>
      <c r="F3884" t="inlineStr">
        <is>
          <t>Övriga Aktiebolag</t>
        </is>
      </c>
      <c r="G3884" t="n">
        <v>12.6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52793-2022</t>
        </is>
      </c>
      <c r="B3885" s="1" t="n">
        <v>44875</v>
      </c>
      <c r="C3885" s="1" t="n">
        <v>45182</v>
      </c>
      <c r="D3885" t="inlineStr">
        <is>
          <t>SÖDERMANLANDS LÄN</t>
        </is>
      </c>
      <c r="E3885" t="inlineStr">
        <is>
          <t>ESKILSTUNA</t>
        </is>
      </c>
      <c r="G3885" t="n">
        <v>3.2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53543-2022</t>
        </is>
      </c>
      <c r="B3886" s="1" t="n">
        <v>44875</v>
      </c>
      <c r="C3886" s="1" t="n">
        <v>45182</v>
      </c>
      <c r="D3886" t="inlineStr">
        <is>
          <t>SÖDERMANLANDS LÄN</t>
        </is>
      </c>
      <c r="E3886" t="inlineStr">
        <is>
          <t>STRÄNGNÄS</t>
        </is>
      </c>
      <c r="F3886" t="inlineStr">
        <is>
          <t>Övriga statliga verk och myndigheter</t>
        </is>
      </c>
      <c r="G3886" t="n">
        <v>4.2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53871-2022</t>
        </is>
      </c>
      <c r="B3887" s="1" t="n">
        <v>44876</v>
      </c>
      <c r="C3887" s="1" t="n">
        <v>45182</v>
      </c>
      <c r="D3887" t="inlineStr">
        <is>
          <t>SÖDERMANLANDS LÄN</t>
        </is>
      </c>
      <c r="E3887" t="inlineStr">
        <is>
          <t>KATRINEHOLM</t>
        </is>
      </c>
      <c r="G3887" t="n">
        <v>5.3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53413-2022</t>
        </is>
      </c>
      <c r="B3888" s="1" t="n">
        <v>44879</v>
      </c>
      <c r="C3888" s="1" t="n">
        <v>45182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8.800000000000001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53545-2022</t>
        </is>
      </c>
      <c r="B3889" s="1" t="n">
        <v>44879</v>
      </c>
      <c r="C3889" s="1" t="n">
        <v>45182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8.300000000000001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53569-2022</t>
        </is>
      </c>
      <c r="B3890" s="1" t="n">
        <v>44879</v>
      </c>
      <c r="C3890" s="1" t="n">
        <v>45182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6.3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53378-2022</t>
        </is>
      </c>
      <c r="B3891" s="1" t="n">
        <v>44879</v>
      </c>
      <c r="C3891" s="1" t="n">
        <v>45182</v>
      </c>
      <c r="D3891" t="inlineStr">
        <is>
          <t>SÖDERMANLANDS LÄN</t>
        </is>
      </c>
      <c r="E3891" t="inlineStr">
        <is>
          <t>NYKÖPING</t>
        </is>
      </c>
      <c r="F3891" t="inlineStr">
        <is>
          <t>Övriga Aktiebolag</t>
        </is>
      </c>
      <c r="G3891" t="n">
        <v>0.6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53332-2022</t>
        </is>
      </c>
      <c r="B3892" s="1" t="n">
        <v>44879</v>
      </c>
      <c r="C3892" s="1" t="n">
        <v>45182</v>
      </c>
      <c r="D3892" t="inlineStr">
        <is>
          <t>SÖDERMANLANDS LÄN</t>
        </is>
      </c>
      <c r="E3892" t="inlineStr">
        <is>
          <t>KATRINEHOLM</t>
        </is>
      </c>
      <c r="F3892" t="inlineStr">
        <is>
          <t>Allmännings- och besparingsskogar</t>
        </is>
      </c>
      <c r="G3892" t="n">
        <v>7.2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53371-2022</t>
        </is>
      </c>
      <c r="B3893" s="1" t="n">
        <v>44879</v>
      </c>
      <c r="C3893" s="1" t="n">
        <v>45182</v>
      </c>
      <c r="D3893" t="inlineStr">
        <is>
          <t>SÖDERMANLANDS LÄN</t>
        </is>
      </c>
      <c r="E3893" t="inlineStr">
        <is>
          <t>FLEN</t>
        </is>
      </c>
      <c r="G3893" t="n">
        <v>5.8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53573-2022</t>
        </is>
      </c>
      <c r="B3894" s="1" t="n">
        <v>44879</v>
      </c>
      <c r="C3894" s="1" t="n">
        <v>45182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9.199999999999999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53760-2022</t>
        </is>
      </c>
      <c r="B3895" s="1" t="n">
        <v>44880</v>
      </c>
      <c r="C3895" s="1" t="n">
        <v>45182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53756-2022</t>
        </is>
      </c>
      <c r="B3896" s="1" t="n">
        <v>44880</v>
      </c>
      <c r="C3896" s="1" t="n">
        <v>45182</v>
      </c>
      <c r="D3896" t="inlineStr">
        <is>
          <t>SÖDERMANLANDS LÄN</t>
        </is>
      </c>
      <c r="E3896" t="inlineStr">
        <is>
          <t>VINGÅKER</t>
        </is>
      </c>
      <c r="G3896" t="n">
        <v>5.1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53800-2022</t>
        </is>
      </c>
      <c r="B3897" s="1" t="n">
        <v>44880</v>
      </c>
      <c r="C3897" s="1" t="n">
        <v>45182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7.4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53738-2022</t>
        </is>
      </c>
      <c r="B3898" s="1" t="n">
        <v>44880</v>
      </c>
      <c r="C3898" s="1" t="n">
        <v>45182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53748-2022</t>
        </is>
      </c>
      <c r="B3899" s="1" t="n">
        <v>44880</v>
      </c>
      <c r="C3899" s="1" t="n">
        <v>45182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1.7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53904-2022</t>
        </is>
      </c>
      <c r="B3900" s="1" t="n">
        <v>44880</v>
      </c>
      <c r="C3900" s="1" t="n">
        <v>45182</v>
      </c>
      <c r="D3900" t="inlineStr">
        <is>
          <t>SÖDERMANLANDS LÄN</t>
        </is>
      </c>
      <c r="E3900" t="inlineStr">
        <is>
          <t>STRÄNGNÄS</t>
        </is>
      </c>
      <c r="G3900" t="n">
        <v>2.9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54598-2022</t>
        </is>
      </c>
      <c r="B3901" s="1" t="n">
        <v>44881</v>
      </c>
      <c r="C3901" s="1" t="n">
        <v>45182</v>
      </c>
      <c r="D3901" t="inlineStr">
        <is>
          <t>SÖDERMANLANDS LÄN</t>
        </is>
      </c>
      <c r="E3901" t="inlineStr">
        <is>
          <t>STRÄNGNÄS</t>
        </is>
      </c>
      <c r="G3901" t="n">
        <v>5.4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54724-2022</t>
        </is>
      </c>
      <c r="B3902" s="1" t="n">
        <v>44881</v>
      </c>
      <c r="C3902" s="1" t="n">
        <v>45182</v>
      </c>
      <c r="D3902" t="inlineStr">
        <is>
          <t>SÖDERMANLANDS LÄN</t>
        </is>
      </c>
      <c r="E3902" t="inlineStr">
        <is>
          <t>FLEN</t>
        </is>
      </c>
      <c r="G3902" t="n">
        <v>11.6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54737-2022</t>
        </is>
      </c>
      <c r="B3903" s="1" t="n">
        <v>44881</v>
      </c>
      <c r="C3903" s="1" t="n">
        <v>45182</v>
      </c>
      <c r="D3903" t="inlineStr">
        <is>
          <t>SÖDERMANLANDS LÄN</t>
        </is>
      </c>
      <c r="E3903" t="inlineStr">
        <is>
          <t>FLEN</t>
        </is>
      </c>
      <c r="G3903" t="n">
        <v>5.7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54216-2022</t>
        </is>
      </c>
      <c r="B3904" s="1" t="n">
        <v>44881</v>
      </c>
      <c r="C3904" s="1" t="n">
        <v>45182</v>
      </c>
      <c r="D3904" t="inlineStr">
        <is>
          <t>SÖDERMANLANDS LÄN</t>
        </is>
      </c>
      <c r="E3904" t="inlineStr">
        <is>
          <t>ESKILSTUNA</t>
        </is>
      </c>
      <c r="G3904" t="n">
        <v>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54024-2022</t>
        </is>
      </c>
      <c r="B3905" s="1" t="n">
        <v>44881</v>
      </c>
      <c r="C3905" s="1" t="n">
        <v>45182</v>
      </c>
      <c r="D3905" t="inlineStr">
        <is>
          <t>SÖDERMANLANDS LÄN</t>
        </is>
      </c>
      <c r="E3905" t="inlineStr">
        <is>
          <t>NYKÖPING</t>
        </is>
      </c>
      <c r="G3905" t="n">
        <v>16.2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54556-2022</t>
        </is>
      </c>
      <c r="B3906" s="1" t="n">
        <v>44882</v>
      </c>
      <c r="C3906" s="1" t="n">
        <v>45182</v>
      </c>
      <c r="D3906" t="inlineStr">
        <is>
          <t>SÖDERMANLANDS LÄN</t>
        </is>
      </c>
      <c r="E3906" t="inlineStr">
        <is>
          <t>NYKÖPING</t>
        </is>
      </c>
      <c r="G3906" t="n">
        <v>3.1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54383-2022</t>
        </is>
      </c>
      <c r="B3907" s="1" t="n">
        <v>44882</v>
      </c>
      <c r="C3907" s="1" t="n">
        <v>45182</v>
      </c>
      <c r="D3907" t="inlineStr">
        <is>
          <t>SÖDERMANLANDS LÄN</t>
        </is>
      </c>
      <c r="E3907" t="inlineStr">
        <is>
          <t>STRÄNGNÄS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54622-2022</t>
        </is>
      </c>
      <c r="B3908" s="1" t="n">
        <v>44883</v>
      </c>
      <c r="C3908" s="1" t="n">
        <v>45182</v>
      </c>
      <c r="D3908" t="inlineStr">
        <is>
          <t>SÖDERMANLANDS LÄN</t>
        </is>
      </c>
      <c r="E3908" t="inlineStr">
        <is>
          <t>ESKILSTUNA</t>
        </is>
      </c>
      <c r="F3908" t="inlineStr">
        <is>
          <t>Sveaskog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55741-2022</t>
        </is>
      </c>
      <c r="B3909" s="1" t="n">
        <v>44883</v>
      </c>
      <c r="C3909" s="1" t="n">
        <v>45182</v>
      </c>
      <c r="D3909" t="inlineStr">
        <is>
          <t>SÖDERMANLANDS LÄN</t>
        </is>
      </c>
      <c r="E3909" t="inlineStr">
        <is>
          <t>ESKILSTUNA</t>
        </is>
      </c>
      <c r="G3909" t="n">
        <v>1.2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55756-2022</t>
        </is>
      </c>
      <c r="B3910" s="1" t="n">
        <v>44883</v>
      </c>
      <c r="C3910" s="1" t="n">
        <v>45182</v>
      </c>
      <c r="D3910" t="inlineStr">
        <is>
          <t>SÖDERMANLANDS LÄN</t>
        </is>
      </c>
      <c r="E3910" t="inlineStr">
        <is>
          <t>ESKILSTUNA</t>
        </is>
      </c>
      <c r="G3910" t="n">
        <v>3.4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54881-2022</t>
        </is>
      </c>
      <c r="B3911" s="1" t="n">
        <v>44886</v>
      </c>
      <c r="C3911" s="1" t="n">
        <v>45182</v>
      </c>
      <c r="D3911" t="inlineStr">
        <is>
          <t>SÖDERMANLANDS LÄN</t>
        </is>
      </c>
      <c r="E3911" t="inlineStr">
        <is>
          <t>STRÄNGNÄS</t>
        </is>
      </c>
      <c r="G3911" t="n">
        <v>2.4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55081-2022</t>
        </is>
      </c>
      <c r="B3912" s="1" t="n">
        <v>44886</v>
      </c>
      <c r="C3912" s="1" t="n">
        <v>45182</v>
      </c>
      <c r="D3912" t="inlineStr">
        <is>
          <t>SÖDERMANLANDS LÄN</t>
        </is>
      </c>
      <c r="E3912" t="inlineStr">
        <is>
          <t>FLEN</t>
        </is>
      </c>
      <c r="G3912" t="n">
        <v>6.8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55812-2022</t>
        </is>
      </c>
      <c r="B3913" s="1" t="n">
        <v>44886</v>
      </c>
      <c r="C3913" s="1" t="n">
        <v>45182</v>
      </c>
      <c r="D3913" t="inlineStr">
        <is>
          <t>SÖDERMANLANDS LÄN</t>
        </is>
      </c>
      <c r="E3913" t="inlineStr">
        <is>
          <t>ESKILSTUNA</t>
        </is>
      </c>
      <c r="G3913" t="n">
        <v>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54951-2022</t>
        </is>
      </c>
      <c r="B3914" s="1" t="n">
        <v>44886</v>
      </c>
      <c r="C3914" s="1" t="n">
        <v>45182</v>
      </c>
      <c r="D3914" t="inlineStr">
        <is>
          <t>SÖDERMANLANDS LÄN</t>
        </is>
      </c>
      <c r="E3914" t="inlineStr">
        <is>
          <t>FLEN</t>
        </is>
      </c>
      <c r="G3914" t="n">
        <v>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55169-2022</t>
        </is>
      </c>
      <c r="B3915" s="1" t="n">
        <v>44886</v>
      </c>
      <c r="C3915" s="1" t="n">
        <v>45182</v>
      </c>
      <c r="D3915" t="inlineStr">
        <is>
          <t>SÖDERMANLANDS LÄN</t>
        </is>
      </c>
      <c r="E3915" t="inlineStr">
        <is>
          <t>KATRINEHOLM</t>
        </is>
      </c>
      <c r="G3915" t="n">
        <v>1.3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55785-2022</t>
        </is>
      </c>
      <c r="B3916" s="1" t="n">
        <v>44886</v>
      </c>
      <c r="C3916" s="1" t="n">
        <v>45182</v>
      </c>
      <c r="D3916" t="inlineStr">
        <is>
          <t>SÖDERMANLANDS LÄN</t>
        </is>
      </c>
      <c r="E3916" t="inlineStr">
        <is>
          <t>ESKILSTUNA</t>
        </is>
      </c>
      <c r="G3916" t="n">
        <v>5.6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55087-2022</t>
        </is>
      </c>
      <c r="B3917" s="1" t="n">
        <v>44886</v>
      </c>
      <c r="C3917" s="1" t="n">
        <v>45182</v>
      </c>
      <c r="D3917" t="inlineStr">
        <is>
          <t>SÖDERMANLANDS LÄN</t>
        </is>
      </c>
      <c r="E3917" t="inlineStr">
        <is>
          <t>ESKILSTUNA</t>
        </is>
      </c>
      <c r="G3917" t="n">
        <v>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55177-2022</t>
        </is>
      </c>
      <c r="B3918" s="1" t="n">
        <v>44886</v>
      </c>
      <c r="C3918" s="1" t="n">
        <v>45182</v>
      </c>
      <c r="D3918" t="inlineStr">
        <is>
          <t>SÖDERMANLANDS LÄN</t>
        </is>
      </c>
      <c r="E3918" t="inlineStr">
        <is>
          <t>FLEN</t>
        </is>
      </c>
      <c r="G3918" t="n">
        <v>2.8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55779-2022</t>
        </is>
      </c>
      <c r="B3919" s="1" t="n">
        <v>44886</v>
      </c>
      <c r="C3919" s="1" t="n">
        <v>45182</v>
      </c>
      <c r="D3919" t="inlineStr">
        <is>
          <t>SÖDERMANLANDS LÄN</t>
        </is>
      </c>
      <c r="E3919" t="inlineStr">
        <is>
          <t>ESKILSTUNA</t>
        </is>
      </c>
      <c r="G3919" t="n">
        <v>0.8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55825-2022</t>
        </is>
      </c>
      <c r="B3920" s="1" t="n">
        <v>44886</v>
      </c>
      <c r="C3920" s="1" t="n">
        <v>45182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55172-2022</t>
        </is>
      </c>
      <c r="B3921" s="1" t="n">
        <v>44886</v>
      </c>
      <c r="C3921" s="1" t="n">
        <v>45182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55763-2022</t>
        </is>
      </c>
      <c r="B3922" s="1" t="n">
        <v>44886</v>
      </c>
      <c r="C3922" s="1" t="n">
        <v>45182</v>
      </c>
      <c r="D3922" t="inlineStr">
        <is>
          <t>SÖDERMANLANDS LÄN</t>
        </is>
      </c>
      <c r="E3922" t="inlineStr">
        <is>
          <t>ESKILSTUNA</t>
        </is>
      </c>
      <c r="G3922" t="n">
        <v>15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55296-2022</t>
        </is>
      </c>
      <c r="B3923" s="1" t="n">
        <v>44887</v>
      </c>
      <c r="C3923" s="1" t="n">
        <v>45182</v>
      </c>
      <c r="D3923" t="inlineStr">
        <is>
          <t>SÖDERMANLANDS LÄN</t>
        </is>
      </c>
      <c r="E3923" t="inlineStr">
        <is>
          <t>KATRINEHOLM</t>
        </is>
      </c>
      <c r="G3923" t="n">
        <v>1.4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56577-2022</t>
        </is>
      </c>
      <c r="B3924" s="1" t="n">
        <v>44887</v>
      </c>
      <c r="C3924" s="1" t="n">
        <v>45182</v>
      </c>
      <c r="D3924" t="inlineStr">
        <is>
          <t>SÖDERMANLANDS LÄN</t>
        </is>
      </c>
      <c r="E3924" t="inlineStr">
        <is>
          <t>FLEN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55445-2022</t>
        </is>
      </c>
      <c r="B3925" s="1" t="n">
        <v>44887</v>
      </c>
      <c r="C3925" s="1" t="n">
        <v>45182</v>
      </c>
      <c r="D3925" t="inlineStr">
        <is>
          <t>SÖDERMANLANDS LÄN</t>
        </is>
      </c>
      <c r="E3925" t="inlineStr">
        <is>
          <t>FLEN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56393-2022</t>
        </is>
      </c>
      <c r="B3926" s="1" t="n">
        <v>44887</v>
      </c>
      <c r="C3926" s="1" t="n">
        <v>45182</v>
      </c>
      <c r="D3926" t="inlineStr">
        <is>
          <t>SÖDERMANLANDS LÄN</t>
        </is>
      </c>
      <c r="E3926" t="inlineStr">
        <is>
          <t>FLEN</t>
        </is>
      </c>
      <c r="G3926" t="n">
        <v>11.3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56497-2022</t>
        </is>
      </c>
      <c r="B3927" s="1" t="n">
        <v>44887</v>
      </c>
      <c r="C3927" s="1" t="n">
        <v>45182</v>
      </c>
      <c r="D3927" t="inlineStr">
        <is>
          <t>SÖDERMANLANDS LÄN</t>
        </is>
      </c>
      <c r="E3927" t="inlineStr">
        <is>
          <t>FLEN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55863-2022</t>
        </is>
      </c>
      <c r="B3928" s="1" t="n">
        <v>44888</v>
      </c>
      <c r="C3928" s="1" t="n">
        <v>45182</v>
      </c>
      <c r="D3928" t="inlineStr">
        <is>
          <t>SÖDERMANLANDS LÄN</t>
        </is>
      </c>
      <c r="E3928" t="inlineStr">
        <is>
          <t>KATRINEHOLM</t>
        </is>
      </c>
      <c r="G3928" t="n">
        <v>17.4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55857-2022</t>
        </is>
      </c>
      <c r="B3929" s="1" t="n">
        <v>44888</v>
      </c>
      <c r="C3929" s="1" t="n">
        <v>45182</v>
      </c>
      <c r="D3929" t="inlineStr">
        <is>
          <t>SÖDERMANLANDS LÄN</t>
        </is>
      </c>
      <c r="E3929" t="inlineStr">
        <is>
          <t>KATRINEHOLM</t>
        </is>
      </c>
      <c r="G3929" t="n">
        <v>2.4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55651-2022</t>
        </is>
      </c>
      <c r="B3930" s="1" t="n">
        <v>44888</v>
      </c>
      <c r="C3930" s="1" t="n">
        <v>45182</v>
      </c>
      <c r="D3930" t="inlineStr">
        <is>
          <t>SÖDERMANLANDS LÄN</t>
        </is>
      </c>
      <c r="E3930" t="inlineStr">
        <is>
          <t>VINGÅKER</t>
        </is>
      </c>
      <c r="G3930" t="n">
        <v>2.7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55856-2022</t>
        </is>
      </c>
      <c r="B3931" s="1" t="n">
        <v>44888</v>
      </c>
      <c r="C3931" s="1" t="n">
        <v>45182</v>
      </c>
      <c r="D3931" t="inlineStr">
        <is>
          <t>SÖDERMANLANDS LÄN</t>
        </is>
      </c>
      <c r="E3931" t="inlineStr">
        <is>
          <t>KATRINEHOLM</t>
        </is>
      </c>
      <c r="G3931" t="n">
        <v>5.6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55865-2022</t>
        </is>
      </c>
      <c r="B3932" s="1" t="n">
        <v>44888</v>
      </c>
      <c r="C3932" s="1" t="n">
        <v>45182</v>
      </c>
      <c r="D3932" t="inlineStr">
        <is>
          <t>SÖDERMANLANDS LÄN</t>
        </is>
      </c>
      <c r="E3932" t="inlineStr">
        <is>
          <t>KATRINEHOLM</t>
        </is>
      </c>
      <c r="G3932" t="n">
        <v>9.1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57541-2022</t>
        </is>
      </c>
      <c r="B3933" s="1" t="n">
        <v>44889</v>
      </c>
      <c r="C3933" s="1" t="n">
        <v>45182</v>
      </c>
      <c r="D3933" t="inlineStr">
        <is>
          <t>SÖDERMANLANDS LÄN</t>
        </is>
      </c>
      <c r="E3933" t="inlineStr">
        <is>
          <t>ESKILSTUNA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57524-2022</t>
        </is>
      </c>
      <c r="B3934" s="1" t="n">
        <v>44889</v>
      </c>
      <c r="C3934" s="1" t="n">
        <v>45182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57546-2022</t>
        </is>
      </c>
      <c r="B3935" s="1" t="n">
        <v>44889</v>
      </c>
      <c r="C3935" s="1" t="n">
        <v>45182</v>
      </c>
      <c r="D3935" t="inlineStr">
        <is>
          <t>SÖDERMANLANDS LÄN</t>
        </is>
      </c>
      <c r="E3935" t="inlineStr">
        <is>
          <t>ESKILSTUNA</t>
        </is>
      </c>
      <c r="G3935" t="n">
        <v>1.4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56138-2022</t>
        </is>
      </c>
      <c r="B3936" s="1" t="n">
        <v>44889</v>
      </c>
      <c r="C3936" s="1" t="n">
        <v>45182</v>
      </c>
      <c r="D3936" t="inlineStr">
        <is>
          <t>SÖDERMANLANDS LÄN</t>
        </is>
      </c>
      <c r="E3936" t="inlineStr">
        <is>
          <t>NYKÖPING</t>
        </is>
      </c>
      <c r="G3936" t="n">
        <v>11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57538-2022</t>
        </is>
      </c>
      <c r="B3937" s="1" t="n">
        <v>44889</v>
      </c>
      <c r="C3937" s="1" t="n">
        <v>45182</v>
      </c>
      <c r="D3937" t="inlineStr">
        <is>
          <t>SÖDERMANLANDS LÄN</t>
        </is>
      </c>
      <c r="E3937" t="inlineStr">
        <is>
          <t>ESKILSTUNA</t>
        </is>
      </c>
      <c r="G3937" t="n">
        <v>3.3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56117-2022</t>
        </is>
      </c>
      <c r="B3938" s="1" t="n">
        <v>44889</v>
      </c>
      <c r="C3938" s="1" t="n">
        <v>45182</v>
      </c>
      <c r="D3938" t="inlineStr">
        <is>
          <t>SÖDERMANLANDS LÄN</t>
        </is>
      </c>
      <c r="E3938" t="inlineStr">
        <is>
          <t>TROSA</t>
        </is>
      </c>
      <c r="F3938" t="inlineStr">
        <is>
          <t>Holmen skog AB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57530-2022</t>
        </is>
      </c>
      <c r="B3939" s="1" t="n">
        <v>44889</v>
      </c>
      <c r="C3939" s="1" t="n">
        <v>45182</v>
      </c>
      <c r="D3939" t="inlineStr">
        <is>
          <t>SÖDERMANLANDS LÄN</t>
        </is>
      </c>
      <c r="E3939" t="inlineStr">
        <is>
          <t>ESKILSTUNA</t>
        </is>
      </c>
      <c r="G3939" t="n">
        <v>5.7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57548-2022</t>
        </is>
      </c>
      <c r="B3940" s="1" t="n">
        <v>44889</v>
      </c>
      <c r="C3940" s="1" t="n">
        <v>45182</v>
      </c>
      <c r="D3940" t="inlineStr">
        <is>
          <t>SÖDERMANLANDS LÄN</t>
        </is>
      </c>
      <c r="E3940" t="inlineStr">
        <is>
          <t>KATRINEHOLM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56304-2022</t>
        </is>
      </c>
      <c r="B3941" s="1" t="n">
        <v>44890</v>
      </c>
      <c r="C3941" s="1" t="n">
        <v>45182</v>
      </c>
      <c r="D3941" t="inlineStr">
        <is>
          <t>SÖDERMANLANDS LÄN</t>
        </is>
      </c>
      <c r="E3941" t="inlineStr">
        <is>
          <t>KATRINEHOLM</t>
        </is>
      </c>
      <c r="G3941" t="n">
        <v>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56336-2022</t>
        </is>
      </c>
      <c r="B3942" s="1" t="n">
        <v>44890</v>
      </c>
      <c r="C3942" s="1" t="n">
        <v>45182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2.2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56345-2022</t>
        </is>
      </c>
      <c r="B3943" s="1" t="n">
        <v>44890</v>
      </c>
      <c r="C3943" s="1" t="n">
        <v>45182</v>
      </c>
      <c r="D3943" t="inlineStr">
        <is>
          <t>SÖDERMANLANDS LÄN</t>
        </is>
      </c>
      <c r="E3943" t="inlineStr">
        <is>
          <t>NYKÖPING</t>
        </is>
      </c>
      <c r="F3943" t="inlineStr">
        <is>
          <t>Övriga Aktiebolag</t>
        </is>
      </c>
      <c r="G3943" t="n">
        <v>1.5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57696-2022</t>
        </is>
      </c>
      <c r="B3944" s="1" t="n">
        <v>44890</v>
      </c>
      <c r="C3944" s="1" t="n">
        <v>45182</v>
      </c>
      <c r="D3944" t="inlineStr">
        <is>
          <t>SÖDERMANLANDS LÄN</t>
        </is>
      </c>
      <c r="E3944" t="inlineStr">
        <is>
          <t>KATRINEHOLM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57727-2022</t>
        </is>
      </c>
      <c r="B3945" s="1" t="n">
        <v>44890</v>
      </c>
      <c r="C3945" s="1" t="n">
        <v>45182</v>
      </c>
      <c r="D3945" t="inlineStr">
        <is>
          <t>SÖDERMANLANDS LÄN</t>
        </is>
      </c>
      <c r="E3945" t="inlineStr">
        <is>
          <t>KATRINEHOLM</t>
        </is>
      </c>
      <c r="G3945" t="n">
        <v>1.9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56268-2022</t>
        </is>
      </c>
      <c r="B3946" s="1" t="n">
        <v>44890</v>
      </c>
      <c r="C3946" s="1" t="n">
        <v>45182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56317-2022</t>
        </is>
      </c>
      <c r="B3947" s="1" t="n">
        <v>44890</v>
      </c>
      <c r="C3947" s="1" t="n">
        <v>45182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3.9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58224-2022</t>
        </is>
      </c>
      <c r="B3948" s="1" t="n">
        <v>44893</v>
      </c>
      <c r="C3948" s="1" t="n">
        <v>45182</v>
      </c>
      <c r="D3948" t="inlineStr">
        <is>
          <t>SÖDERMANLANDS LÄN</t>
        </is>
      </c>
      <c r="E3948" t="inlineStr">
        <is>
          <t>VINGÅKER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56483-2022</t>
        </is>
      </c>
      <c r="B3949" s="1" t="n">
        <v>44893</v>
      </c>
      <c r="C3949" s="1" t="n">
        <v>45182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56560-2022</t>
        </is>
      </c>
      <c r="B3950" s="1" t="n">
        <v>44893</v>
      </c>
      <c r="C3950" s="1" t="n">
        <v>45182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56611-2022</t>
        </is>
      </c>
      <c r="B3951" s="1" t="n">
        <v>44893</v>
      </c>
      <c r="C3951" s="1" t="n">
        <v>45182</v>
      </c>
      <c r="D3951" t="inlineStr">
        <is>
          <t>SÖDERMANLANDS LÄN</t>
        </is>
      </c>
      <c r="E3951" t="inlineStr">
        <is>
          <t>GNESTA</t>
        </is>
      </c>
      <c r="G3951" t="n">
        <v>5.2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56906-2022</t>
        </is>
      </c>
      <c r="B3952" s="1" t="n">
        <v>44894</v>
      </c>
      <c r="C3952" s="1" t="n">
        <v>45182</v>
      </c>
      <c r="D3952" t="inlineStr">
        <is>
          <t>SÖDERMANLANDS LÄN</t>
        </is>
      </c>
      <c r="E3952" t="inlineStr">
        <is>
          <t>NYKÖPING</t>
        </is>
      </c>
      <c r="G3952" t="n">
        <v>9.9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56914-2022</t>
        </is>
      </c>
      <c r="B3953" s="1" t="n">
        <v>44894</v>
      </c>
      <c r="C3953" s="1" t="n">
        <v>45182</v>
      </c>
      <c r="D3953" t="inlineStr">
        <is>
          <t>SÖDERMANLANDS LÄN</t>
        </is>
      </c>
      <c r="E3953" t="inlineStr">
        <is>
          <t>STRÄNGNÄS</t>
        </is>
      </c>
      <c r="G3953" t="n">
        <v>13.2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57265-2022</t>
        </is>
      </c>
      <c r="B3954" s="1" t="n">
        <v>44895</v>
      </c>
      <c r="C3954" s="1" t="n">
        <v>45182</v>
      </c>
      <c r="D3954" t="inlineStr">
        <is>
          <t>SÖDERMANLANDS LÄN</t>
        </is>
      </c>
      <c r="E3954" t="inlineStr">
        <is>
          <t>KATRINEHOLM</t>
        </is>
      </c>
      <c r="G3954" t="n">
        <v>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58692-2022</t>
        </is>
      </c>
      <c r="B3955" s="1" t="n">
        <v>44895</v>
      </c>
      <c r="C3955" s="1" t="n">
        <v>45182</v>
      </c>
      <c r="D3955" t="inlineStr">
        <is>
          <t>SÖDERMANLANDS LÄN</t>
        </is>
      </c>
      <c r="E3955" t="inlineStr">
        <is>
          <t>FLEN</t>
        </is>
      </c>
      <c r="G3955" t="n">
        <v>2.4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58838-2022</t>
        </is>
      </c>
      <c r="B3956" s="1" t="n">
        <v>44895</v>
      </c>
      <c r="C3956" s="1" t="n">
        <v>45182</v>
      </c>
      <c r="D3956" t="inlineStr">
        <is>
          <t>SÖDERMANLANDS LÄN</t>
        </is>
      </c>
      <c r="E3956" t="inlineStr">
        <is>
          <t>FLEN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57263-2022</t>
        </is>
      </c>
      <c r="B3957" s="1" t="n">
        <v>44895</v>
      </c>
      <c r="C3957" s="1" t="n">
        <v>45182</v>
      </c>
      <c r="D3957" t="inlineStr">
        <is>
          <t>SÖDERMANLANDS LÄN</t>
        </is>
      </c>
      <c r="E3957" t="inlineStr">
        <is>
          <t>KATRINEHOLM</t>
        </is>
      </c>
      <c r="G3957" t="n">
        <v>0.6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57353-2022</t>
        </is>
      </c>
      <c r="B3958" s="1" t="n">
        <v>44896</v>
      </c>
      <c r="C3958" s="1" t="n">
        <v>45182</v>
      </c>
      <c r="D3958" t="inlineStr">
        <is>
          <t>SÖDERMANLANDS LÄN</t>
        </is>
      </c>
      <c r="E3958" t="inlineStr">
        <is>
          <t>FLEN</t>
        </is>
      </c>
      <c r="F3958" t="inlineStr">
        <is>
          <t>Övriga statliga verk och myndigheter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59159-2022</t>
        </is>
      </c>
      <c r="B3959" s="1" t="n">
        <v>44896</v>
      </c>
      <c r="C3959" s="1" t="n">
        <v>45182</v>
      </c>
      <c r="D3959" t="inlineStr">
        <is>
          <t>SÖDERMANLANDS LÄN</t>
        </is>
      </c>
      <c r="E3959" t="inlineStr">
        <is>
          <t>NYKÖPING</t>
        </is>
      </c>
      <c r="G3959" t="n">
        <v>1.5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57356-2022</t>
        </is>
      </c>
      <c r="B3960" s="1" t="n">
        <v>44896</v>
      </c>
      <c r="C3960" s="1" t="n">
        <v>45182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0.9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59258-2022</t>
        </is>
      </c>
      <c r="B3961" s="1" t="n">
        <v>44897</v>
      </c>
      <c r="C3961" s="1" t="n">
        <v>45182</v>
      </c>
      <c r="D3961" t="inlineStr">
        <is>
          <t>SÖDERMANLANDS LÄN</t>
        </is>
      </c>
      <c r="E3961" t="inlineStr">
        <is>
          <t>FLEN</t>
        </is>
      </c>
      <c r="F3961" t="inlineStr">
        <is>
          <t>Övriga statliga verk och myndigheter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59023-2022</t>
        </is>
      </c>
      <c r="B3962" s="1" t="n">
        <v>44897</v>
      </c>
      <c r="C3962" s="1" t="n">
        <v>45182</v>
      </c>
      <c r="D3962" t="inlineStr">
        <is>
          <t>SÖDERMANLANDS LÄN</t>
        </is>
      </c>
      <c r="E3962" t="inlineStr">
        <is>
          <t>FLEN</t>
        </is>
      </c>
      <c r="G3962" t="n">
        <v>1.2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59247-2022</t>
        </is>
      </c>
      <c r="B3963" s="1" t="n">
        <v>44897</v>
      </c>
      <c r="C3963" s="1" t="n">
        <v>45182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59265-2022</t>
        </is>
      </c>
      <c r="B3964" s="1" t="n">
        <v>44897</v>
      </c>
      <c r="C3964" s="1" t="n">
        <v>45182</v>
      </c>
      <c r="D3964" t="inlineStr">
        <is>
          <t>SÖDERMANLANDS LÄN</t>
        </is>
      </c>
      <c r="E3964" t="inlineStr">
        <is>
          <t>FLEN</t>
        </is>
      </c>
      <c r="G3964" t="n">
        <v>14.1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59304-2022</t>
        </is>
      </c>
      <c r="B3965" s="1" t="n">
        <v>44897</v>
      </c>
      <c r="C3965" s="1" t="n">
        <v>45182</v>
      </c>
      <c r="D3965" t="inlineStr">
        <is>
          <t>SÖDERMANLANDS LÄN</t>
        </is>
      </c>
      <c r="E3965" t="inlineStr">
        <is>
          <t>NYKÖPING</t>
        </is>
      </c>
      <c r="G3965" t="n">
        <v>4.8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57875-2022</t>
        </is>
      </c>
      <c r="B3966" s="1" t="n">
        <v>44899</v>
      </c>
      <c r="C3966" s="1" t="n">
        <v>45182</v>
      </c>
      <c r="D3966" t="inlineStr">
        <is>
          <t>SÖDERMANLANDS LÄN</t>
        </is>
      </c>
      <c r="E3966" t="inlineStr">
        <is>
          <t>KATRINEHOLM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57982-2022</t>
        </is>
      </c>
      <c r="B3967" s="1" t="n">
        <v>44900</v>
      </c>
      <c r="C3967" s="1" t="n">
        <v>45182</v>
      </c>
      <c r="D3967" t="inlineStr">
        <is>
          <t>SÖDERMANLANDS LÄN</t>
        </is>
      </c>
      <c r="E3967" t="inlineStr">
        <is>
          <t>ESKILSTUNA</t>
        </is>
      </c>
      <c r="G3967" t="n">
        <v>5.3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58022-2022</t>
        </is>
      </c>
      <c r="B3968" s="1" t="n">
        <v>44900</v>
      </c>
      <c r="C3968" s="1" t="n">
        <v>45182</v>
      </c>
      <c r="D3968" t="inlineStr">
        <is>
          <t>SÖDERMANLANDS LÄN</t>
        </is>
      </c>
      <c r="E3968" t="inlineStr">
        <is>
          <t>STRÄNGNÄS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59819-2022</t>
        </is>
      </c>
      <c r="B3969" s="1" t="n">
        <v>44900</v>
      </c>
      <c r="C3969" s="1" t="n">
        <v>45182</v>
      </c>
      <c r="D3969" t="inlineStr">
        <is>
          <t>SÖDERMANLANDS LÄN</t>
        </is>
      </c>
      <c r="E3969" t="inlineStr">
        <is>
          <t>FLEN</t>
        </is>
      </c>
      <c r="G3969" t="n">
        <v>0.5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59817-2022</t>
        </is>
      </c>
      <c r="B3970" s="1" t="n">
        <v>44900</v>
      </c>
      <c r="C3970" s="1" t="n">
        <v>45182</v>
      </c>
      <c r="D3970" t="inlineStr">
        <is>
          <t>SÖDERMANLANDS LÄN</t>
        </is>
      </c>
      <c r="E3970" t="inlineStr">
        <is>
          <t>FLEN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59752-2022</t>
        </is>
      </c>
      <c r="B3971" s="1" t="n">
        <v>44900</v>
      </c>
      <c r="C3971" s="1" t="n">
        <v>45182</v>
      </c>
      <c r="D3971" t="inlineStr">
        <is>
          <t>SÖDERMANLANDS LÄN</t>
        </is>
      </c>
      <c r="E3971" t="inlineStr">
        <is>
          <t>STRÄNGNÄS</t>
        </is>
      </c>
      <c r="G3971" t="n">
        <v>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58241-2022</t>
        </is>
      </c>
      <c r="B3972" s="1" t="n">
        <v>44901</v>
      </c>
      <c r="C3972" s="1" t="n">
        <v>45182</v>
      </c>
      <c r="D3972" t="inlineStr">
        <is>
          <t>SÖDERMANLANDS LÄN</t>
        </is>
      </c>
      <c r="E3972" t="inlineStr">
        <is>
          <t>STRÄNGNÄS</t>
        </is>
      </c>
      <c r="G3972" t="n">
        <v>0.4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58238-2022</t>
        </is>
      </c>
      <c r="B3973" s="1" t="n">
        <v>44901</v>
      </c>
      <c r="C3973" s="1" t="n">
        <v>45182</v>
      </c>
      <c r="D3973" t="inlineStr">
        <is>
          <t>SÖDERMANLANDS LÄN</t>
        </is>
      </c>
      <c r="E3973" t="inlineStr">
        <is>
          <t>STRÄNGNÄS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58205-2022</t>
        </is>
      </c>
      <c r="B3974" s="1" t="n">
        <v>44901</v>
      </c>
      <c r="C3974" s="1" t="n">
        <v>45182</v>
      </c>
      <c r="D3974" t="inlineStr">
        <is>
          <t>SÖDERMANLANDS LÄN</t>
        </is>
      </c>
      <c r="E3974" t="inlineStr">
        <is>
          <t>GNESTA</t>
        </is>
      </c>
      <c r="G3974" t="n">
        <v>1.8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58219-2022</t>
        </is>
      </c>
      <c r="B3975" s="1" t="n">
        <v>44901</v>
      </c>
      <c r="C3975" s="1" t="n">
        <v>45182</v>
      </c>
      <c r="D3975" t="inlineStr">
        <is>
          <t>SÖDERMANLANDS LÄN</t>
        </is>
      </c>
      <c r="E3975" t="inlineStr">
        <is>
          <t>GNESTA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58212-2022</t>
        </is>
      </c>
      <c r="B3976" s="1" t="n">
        <v>44901</v>
      </c>
      <c r="C3976" s="1" t="n">
        <v>45182</v>
      </c>
      <c r="D3976" t="inlineStr">
        <is>
          <t>SÖDERMANLANDS LÄN</t>
        </is>
      </c>
      <c r="E3976" t="inlineStr">
        <is>
          <t>STRÄNGNÄS</t>
        </is>
      </c>
      <c r="G3976" t="n">
        <v>2.3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59988-2022</t>
        </is>
      </c>
      <c r="B3977" s="1" t="n">
        <v>44902</v>
      </c>
      <c r="C3977" s="1" t="n">
        <v>45182</v>
      </c>
      <c r="D3977" t="inlineStr">
        <is>
          <t>SÖDERMANLANDS LÄN</t>
        </is>
      </c>
      <c r="E3977" t="inlineStr">
        <is>
          <t>VINGÅKER</t>
        </is>
      </c>
      <c r="G3977" t="n">
        <v>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59971-2022</t>
        </is>
      </c>
      <c r="B3978" s="1" t="n">
        <v>44902</v>
      </c>
      <c r="C3978" s="1" t="n">
        <v>45182</v>
      </c>
      <c r="D3978" t="inlineStr">
        <is>
          <t>SÖDERMANLANDS LÄN</t>
        </is>
      </c>
      <c r="E3978" t="inlineStr">
        <is>
          <t>VINGÅKER</t>
        </is>
      </c>
      <c r="G3978" t="n">
        <v>10.1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59992-2022</t>
        </is>
      </c>
      <c r="B3979" s="1" t="n">
        <v>44902</v>
      </c>
      <c r="C3979" s="1" t="n">
        <v>45182</v>
      </c>
      <c r="D3979" t="inlineStr">
        <is>
          <t>SÖDERMANLANDS LÄN</t>
        </is>
      </c>
      <c r="E3979" t="inlineStr">
        <is>
          <t>VINGÅKER</t>
        </is>
      </c>
      <c r="G3979" t="n">
        <v>4.9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58991-2022</t>
        </is>
      </c>
      <c r="B3980" s="1" t="n">
        <v>44903</v>
      </c>
      <c r="C3980" s="1" t="n">
        <v>45182</v>
      </c>
      <c r="D3980" t="inlineStr">
        <is>
          <t>SÖDERMANLANDS LÄN</t>
        </is>
      </c>
      <c r="E3980" t="inlineStr">
        <is>
          <t>ESKILSTUNA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58999-2022</t>
        </is>
      </c>
      <c r="B3981" s="1" t="n">
        <v>44903</v>
      </c>
      <c r="C3981" s="1" t="n">
        <v>45182</v>
      </c>
      <c r="D3981" t="inlineStr">
        <is>
          <t>SÖDERMANLANDS LÄN</t>
        </is>
      </c>
      <c r="E3981" t="inlineStr">
        <is>
          <t>ESKILSTUNA</t>
        </is>
      </c>
      <c r="G3981" t="n">
        <v>0.7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58994-2022</t>
        </is>
      </c>
      <c r="B3982" s="1" t="n">
        <v>44903</v>
      </c>
      <c r="C3982" s="1" t="n">
        <v>45182</v>
      </c>
      <c r="D3982" t="inlineStr">
        <is>
          <t>SÖDERMANLANDS LÄN</t>
        </is>
      </c>
      <c r="E3982" t="inlineStr">
        <is>
          <t>ESKILSTUNA</t>
        </is>
      </c>
      <c r="G3982" t="n">
        <v>2.9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59001-2022</t>
        </is>
      </c>
      <c r="B3983" s="1" t="n">
        <v>44903</v>
      </c>
      <c r="C3983" s="1" t="n">
        <v>45182</v>
      </c>
      <c r="D3983" t="inlineStr">
        <is>
          <t>SÖDERMANLANDS LÄN</t>
        </is>
      </c>
      <c r="E3983" t="inlineStr">
        <is>
          <t>STRÄNGNÄS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58842-2022</t>
        </is>
      </c>
      <c r="B3984" s="1" t="n">
        <v>44903</v>
      </c>
      <c r="C3984" s="1" t="n">
        <v>45182</v>
      </c>
      <c r="D3984" t="inlineStr">
        <is>
          <t>SÖDERMANLANDS LÄN</t>
        </is>
      </c>
      <c r="E3984" t="inlineStr">
        <is>
          <t>VINGÅKER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59000-2022</t>
        </is>
      </c>
      <c r="B3985" s="1" t="n">
        <v>44903</v>
      </c>
      <c r="C3985" s="1" t="n">
        <v>45182</v>
      </c>
      <c r="D3985" t="inlineStr">
        <is>
          <t>SÖDERMANLANDS LÄN</t>
        </is>
      </c>
      <c r="E3985" t="inlineStr">
        <is>
          <t>ESKILSTUNA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59151-2022</t>
        </is>
      </c>
      <c r="B3986" s="1" t="n">
        <v>44904</v>
      </c>
      <c r="C3986" s="1" t="n">
        <v>45182</v>
      </c>
      <c r="D3986" t="inlineStr">
        <is>
          <t>SÖDERMANLANDS LÄN</t>
        </is>
      </c>
      <c r="E3986" t="inlineStr">
        <is>
          <t>ESKILSTUNA</t>
        </is>
      </c>
      <c r="F3986" t="inlineStr">
        <is>
          <t>Allmännings- och besparingsskogar</t>
        </is>
      </c>
      <c r="G3986" t="n">
        <v>1.3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60518-2022</t>
        </is>
      </c>
      <c r="B3987" s="1" t="n">
        <v>44904</v>
      </c>
      <c r="C3987" s="1" t="n">
        <v>45182</v>
      </c>
      <c r="D3987" t="inlineStr">
        <is>
          <t>SÖDERMANLANDS LÄN</t>
        </is>
      </c>
      <c r="E3987" t="inlineStr">
        <is>
          <t>NYKÖPING</t>
        </is>
      </c>
      <c r="G3987" t="n">
        <v>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60574-2022</t>
        </is>
      </c>
      <c r="B3988" s="1" t="n">
        <v>44904</v>
      </c>
      <c r="C3988" s="1" t="n">
        <v>45182</v>
      </c>
      <c r="D3988" t="inlineStr">
        <is>
          <t>SÖDERMANLANDS LÄN</t>
        </is>
      </c>
      <c r="E3988" t="inlineStr">
        <is>
          <t>FLEN</t>
        </is>
      </c>
      <c r="G3988" t="n">
        <v>2.4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60547-2022</t>
        </is>
      </c>
      <c r="B3989" s="1" t="n">
        <v>44904</v>
      </c>
      <c r="C3989" s="1" t="n">
        <v>45182</v>
      </c>
      <c r="D3989" t="inlineStr">
        <is>
          <t>SÖDERMANLANDS LÄN</t>
        </is>
      </c>
      <c r="E3989" t="inlineStr">
        <is>
          <t>STRÄNGNÄS</t>
        </is>
      </c>
      <c r="G3989" t="n">
        <v>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59384-2022</t>
        </is>
      </c>
      <c r="B3990" s="1" t="n">
        <v>44905</v>
      </c>
      <c r="C3990" s="1" t="n">
        <v>45182</v>
      </c>
      <c r="D3990" t="inlineStr">
        <is>
          <t>SÖDERMANLANDS LÄN</t>
        </is>
      </c>
      <c r="E3990" t="inlineStr">
        <is>
          <t>KATRINEHOLM</t>
        </is>
      </c>
      <c r="G3990" t="n">
        <v>0.6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59383-2022</t>
        </is>
      </c>
      <c r="B3991" s="1" t="n">
        <v>44905</v>
      </c>
      <c r="C3991" s="1" t="n">
        <v>45182</v>
      </c>
      <c r="D3991" t="inlineStr">
        <is>
          <t>SÖDERMANLANDS LÄN</t>
        </is>
      </c>
      <c r="E3991" t="inlineStr">
        <is>
          <t>KATRINEHOLM</t>
        </is>
      </c>
      <c r="G3991" t="n">
        <v>2.9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60804-2022</t>
        </is>
      </c>
      <c r="B3992" s="1" t="n">
        <v>44907</v>
      </c>
      <c r="C3992" s="1" t="n">
        <v>45182</v>
      </c>
      <c r="D3992" t="inlineStr">
        <is>
          <t>SÖDERMANLANDS LÄN</t>
        </is>
      </c>
      <c r="E3992" t="inlineStr">
        <is>
          <t>NYKÖPING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59776-2022</t>
        </is>
      </c>
      <c r="B3993" s="1" t="n">
        <v>44908</v>
      </c>
      <c r="C3993" s="1" t="n">
        <v>45182</v>
      </c>
      <c r="D3993" t="inlineStr">
        <is>
          <t>SÖDERMANLANDS LÄN</t>
        </is>
      </c>
      <c r="E3993" t="inlineStr">
        <is>
          <t>FLEN</t>
        </is>
      </c>
      <c r="G3993" t="n">
        <v>1.8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59896-2022</t>
        </is>
      </c>
      <c r="B3994" s="1" t="n">
        <v>44908</v>
      </c>
      <c r="C3994" s="1" t="n">
        <v>45182</v>
      </c>
      <c r="D3994" t="inlineStr">
        <is>
          <t>SÖDERMANLANDS LÄN</t>
        </is>
      </c>
      <c r="E3994" t="inlineStr">
        <is>
          <t>KATRINEHOLM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59706-2022</t>
        </is>
      </c>
      <c r="B3995" s="1" t="n">
        <v>44908</v>
      </c>
      <c r="C3995" s="1" t="n">
        <v>45182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13.2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59720-2022</t>
        </is>
      </c>
      <c r="B3996" s="1" t="n">
        <v>44908</v>
      </c>
      <c r="C3996" s="1" t="n">
        <v>45182</v>
      </c>
      <c r="D3996" t="inlineStr">
        <is>
          <t>SÖDERMANLANDS LÄN</t>
        </is>
      </c>
      <c r="E3996" t="inlineStr">
        <is>
          <t>FLEN</t>
        </is>
      </c>
      <c r="F3996" t="inlineStr">
        <is>
          <t>Kyrkan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59898-2022</t>
        </is>
      </c>
      <c r="B3997" s="1" t="n">
        <v>44908</v>
      </c>
      <c r="C3997" s="1" t="n">
        <v>45182</v>
      </c>
      <c r="D3997" t="inlineStr">
        <is>
          <t>SÖDERMANLANDS LÄN</t>
        </is>
      </c>
      <c r="E3997" t="inlineStr">
        <is>
          <t>KATRINEHOLM</t>
        </is>
      </c>
      <c r="G3997" t="n">
        <v>4.8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60124-2022</t>
        </is>
      </c>
      <c r="B3998" s="1" t="n">
        <v>44909</v>
      </c>
      <c r="C3998" s="1" t="n">
        <v>45182</v>
      </c>
      <c r="D3998" t="inlineStr">
        <is>
          <t>SÖDERMANLANDS LÄN</t>
        </is>
      </c>
      <c r="E3998" t="inlineStr">
        <is>
          <t>GNESTA</t>
        </is>
      </c>
      <c r="G3998" t="n">
        <v>4.3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61311-2022</t>
        </is>
      </c>
      <c r="B3999" s="1" t="n">
        <v>44909</v>
      </c>
      <c r="C3999" s="1" t="n">
        <v>45182</v>
      </c>
      <c r="D3999" t="inlineStr">
        <is>
          <t>SÖDERMANLANDS LÄN</t>
        </is>
      </c>
      <c r="E3999" t="inlineStr">
        <is>
          <t>ESKILSTUNA</t>
        </is>
      </c>
      <c r="G3999" t="n">
        <v>7.3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60058-2022</t>
        </is>
      </c>
      <c r="B4000" s="1" t="n">
        <v>44909</v>
      </c>
      <c r="C4000" s="1" t="n">
        <v>45182</v>
      </c>
      <c r="D4000" t="inlineStr">
        <is>
          <t>SÖDERMANLANDS LÄN</t>
        </is>
      </c>
      <c r="E4000" t="inlineStr">
        <is>
          <t>FLEN</t>
        </is>
      </c>
      <c r="F4000" t="inlineStr">
        <is>
          <t>Holmen skog AB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60160-2022</t>
        </is>
      </c>
      <c r="B4001" s="1" t="n">
        <v>44909</v>
      </c>
      <c r="C4001" s="1" t="n">
        <v>45182</v>
      </c>
      <c r="D4001" t="inlineStr">
        <is>
          <t>SÖDERMANLANDS LÄN</t>
        </is>
      </c>
      <c r="E4001" t="inlineStr">
        <is>
          <t>KATRINEHOLM</t>
        </is>
      </c>
      <c r="F4001" t="inlineStr">
        <is>
          <t>Allmännings- och besparingsskogar</t>
        </is>
      </c>
      <c r="G4001" t="n">
        <v>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60034-2022</t>
        </is>
      </c>
      <c r="B4002" s="1" t="n">
        <v>44909</v>
      </c>
      <c r="C4002" s="1" t="n">
        <v>45182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0.8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60048-2022</t>
        </is>
      </c>
      <c r="B4003" s="1" t="n">
        <v>44909</v>
      </c>
      <c r="C4003" s="1" t="n">
        <v>45182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60150-2022</t>
        </is>
      </c>
      <c r="B4004" s="1" t="n">
        <v>44909</v>
      </c>
      <c r="C4004" s="1" t="n">
        <v>45182</v>
      </c>
      <c r="D4004" t="inlineStr">
        <is>
          <t>SÖDERMANLANDS LÄN</t>
        </is>
      </c>
      <c r="E4004" t="inlineStr">
        <is>
          <t>FLEN</t>
        </is>
      </c>
      <c r="F4004" t="inlineStr">
        <is>
          <t>Holmen skog AB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60334-2022</t>
        </is>
      </c>
      <c r="B4005" s="1" t="n">
        <v>44910</v>
      </c>
      <c r="C4005" s="1" t="n">
        <v>45182</v>
      </c>
      <c r="D4005" t="inlineStr">
        <is>
          <t>SÖDERMANLANDS LÄN</t>
        </is>
      </c>
      <c r="E4005" t="inlineStr">
        <is>
          <t>VINGÅKER</t>
        </is>
      </c>
      <c r="G4005" t="n">
        <v>3.4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60218-2022</t>
        </is>
      </c>
      <c r="B4006" s="1" t="n">
        <v>44910</v>
      </c>
      <c r="C4006" s="1" t="n">
        <v>45182</v>
      </c>
      <c r="D4006" t="inlineStr">
        <is>
          <t>SÖDERMANLANDS LÄN</t>
        </is>
      </c>
      <c r="E4006" t="inlineStr">
        <is>
          <t>NYKÖPING</t>
        </is>
      </c>
      <c r="F4006" t="inlineStr">
        <is>
          <t>Sveaskog</t>
        </is>
      </c>
      <c r="G4006" t="n">
        <v>4.6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60332-2022</t>
        </is>
      </c>
      <c r="B4007" s="1" t="n">
        <v>44910</v>
      </c>
      <c r="C4007" s="1" t="n">
        <v>45182</v>
      </c>
      <c r="D4007" t="inlineStr">
        <is>
          <t>SÖDERMANLANDS LÄN</t>
        </is>
      </c>
      <c r="E4007" t="inlineStr">
        <is>
          <t>VINGÅKER</t>
        </is>
      </c>
      <c r="G4007" t="n">
        <v>2.2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61534-2022</t>
        </is>
      </c>
      <c r="B4008" s="1" t="n">
        <v>44910</v>
      </c>
      <c r="C4008" s="1" t="n">
        <v>45182</v>
      </c>
      <c r="D4008" t="inlineStr">
        <is>
          <t>SÖDERMANLANDS LÄN</t>
        </is>
      </c>
      <c r="E4008" t="inlineStr">
        <is>
          <t>VINGÅKER</t>
        </is>
      </c>
      <c r="F4008" t="inlineStr">
        <is>
          <t>Kommuner</t>
        </is>
      </c>
      <c r="G4008" t="n">
        <v>4.6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60460-2022</t>
        </is>
      </c>
      <c r="B4009" s="1" t="n">
        <v>44911</v>
      </c>
      <c r="C4009" s="1" t="n">
        <v>45182</v>
      </c>
      <c r="D4009" t="inlineStr">
        <is>
          <t>SÖDERMANLANDS LÄN</t>
        </is>
      </c>
      <c r="E4009" t="inlineStr">
        <is>
          <t>NYKÖPING</t>
        </is>
      </c>
      <c r="F4009" t="inlineStr">
        <is>
          <t>Holmen skog AB</t>
        </is>
      </c>
      <c r="G4009" t="n">
        <v>1.7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61633-2022</t>
        </is>
      </c>
      <c r="B4010" s="1" t="n">
        <v>44911</v>
      </c>
      <c r="C4010" s="1" t="n">
        <v>45182</v>
      </c>
      <c r="D4010" t="inlineStr">
        <is>
          <t>SÖDERMANLANDS LÄN</t>
        </is>
      </c>
      <c r="E4010" t="inlineStr">
        <is>
          <t>FLEN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60609-2022</t>
        </is>
      </c>
      <c r="B4011" s="1" t="n">
        <v>44911</v>
      </c>
      <c r="C4011" s="1" t="n">
        <v>45182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0.7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60637-2022</t>
        </is>
      </c>
      <c r="B4012" s="1" t="n">
        <v>44911</v>
      </c>
      <c r="C4012" s="1" t="n">
        <v>45182</v>
      </c>
      <c r="D4012" t="inlineStr">
        <is>
          <t>SÖDERMANLANDS LÄN</t>
        </is>
      </c>
      <c r="E4012" t="inlineStr">
        <is>
          <t>NYKÖPING</t>
        </is>
      </c>
      <c r="G4012" t="n">
        <v>1.9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60634-2022</t>
        </is>
      </c>
      <c r="B4013" s="1" t="n">
        <v>44911</v>
      </c>
      <c r="C4013" s="1" t="n">
        <v>45182</v>
      </c>
      <c r="D4013" t="inlineStr">
        <is>
          <t>SÖDERMANLANDS LÄN</t>
        </is>
      </c>
      <c r="E4013" t="inlineStr">
        <is>
          <t>NYKÖPING</t>
        </is>
      </c>
      <c r="G4013" t="n">
        <v>1.4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60980-2022</t>
        </is>
      </c>
      <c r="B4014" s="1" t="n">
        <v>44914</v>
      </c>
      <c r="C4014" s="1" t="n">
        <v>45182</v>
      </c>
      <c r="D4014" t="inlineStr">
        <is>
          <t>SÖDERMANLANDS LÄN</t>
        </is>
      </c>
      <c r="E4014" t="inlineStr">
        <is>
          <t>ESKILSTUNA</t>
        </is>
      </c>
      <c r="G4014" t="n">
        <v>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61298-2022</t>
        </is>
      </c>
      <c r="B4015" s="1" t="n">
        <v>44915</v>
      </c>
      <c r="C4015" s="1" t="n">
        <v>45182</v>
      </c>
      <c r="D4015" t="inlineStr">
        <is>
          <t>SÖDERMANLANDS LÄN</t>
        </is>
      </c>
      <c r="E4015" t="inlineStr">
        <is>
          <t>ESKILSTUNA</t>
        </is>
      </c>
      <c r="G4015" t="n">
        <v>6.3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61179-2022</t>
        </is>
      </c>
      <c r="B4016" s="1" t="n">
        <v>44915</v>
      </c>
      <c r="C4016" s="1" t="n">
        <v>45182</v>
      </c>
      <c r="D4016" t="inlineStr">
        <is>
          <t>SÖDERMANLANDS LÄN</t>
        </is>
      </c>
      <c r="E4016" t="inlineStr">
        <is>
          <t>GNESTA</t>
        </is>
      </c>
      <c r="G4016" t="n">
        <v>2.1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61303-2022</t>
        </is>
      </c>
      <c r="B4017" s="1" t="n">
        <v>44915</v>
      </c>
      <c r="C4017" s="1" t="n">
        <v>45182</v>
      </c>
      <c r="D4017" t="inlineStr">
        <is>
          <t>SÖDERMANLANDS LÄN</t>
        </is>
      </c>
      <c r="E4017" t="inlineStr">
        <is>
          <t>ESKILSTUNA</t>
        </is>
      </c>
      <c r="G4017" t="n">
        <v>4.2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61314-2022</t>
        </is>
      </c>
      <c r="B4018" s="1" t="n">
        <v>44915</v>
      </c>
      <c r="C4018" s="1" t="n">
        <v>45182</v>
      </c>
      <c r="D4018" t="inlineStr">
        <is>
          <t>SÖDERMANLANDS LÄN</t>
        </is>
      </c>
      <c r="E4018" t="inlineStr">
        <is>
          <t>ESKILSTUNA</t>
        </is>
      </c>
      <c r="G4018" t="n">
        <v>8.300000000000001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62473-2022</t>
        </is>
      </c>
      <c r="B4019" s="1" t="n">
        <v>44916</v>
      </c>
      <c r="C4019" s="1" t="n">
        <v>45182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1.2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62469-2022</t>
        </is>
      </c>
      <c r="B4020" s="1" t="n">
        <v>44916</v>
      </c>
      <c r="C4020" s="1" t="n">
        <v>45182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0.7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61975-2022</t>
        </is>
      </c>
      <c r="B4021" s="1" t="n">
        <v>44916</v>
      </c>
      <c r="C4021" s="1" t="n">
        <v>45182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1.6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62474-2022</t>
        </is>
      </c>
      <c r="B4022" s="1" t="n">
        <v>44916</v>
      </c>
      <c r="C4022" s="1" t="n">
        <v>45182</v>
      </c>
      <c r="D4022" t="inlineStr">
        <is>
          <t>SÖDERMANLANDS LÄN</t>
        </is>
      </c>
      <c r="E4022" t="inlineStr">
        <is>
          <t>TROSA</t>
        </is>
      </c>
      <c r="F4022" t="inlineStr">
        <is>
          <t>Övriga Aktiebolag</t>
        </is>
      </c>
      <c r="G4022" t="n">
        <v>0.6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61866-2022</t>
        </is>
      </c>
      <c r="B4023" s="1" t="n">
        <v>44917</v>
      </c>
      <c r="C4023" s="1" t="n">
        <v>45182</v>
      </c>
      <c r="D4023" t="inlineStr">
        <is>
          <t>SÖDERMANLANDS LÄN</t>
        </is>
      </c>
      <c r="E4023" t="inlineStr">
        <is>
          <t>ESKILSTUNA</t>
        </is>
      </c>
      <c r="G4023" t="n">
        <v>3.6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61896-2022</t>
        </is>
      </c>
      <c r="B4024" s="1" t="n">
        <v>44917</v>
      </c>
      <c r="C4024" s="1" t="n">
        <v>45182</v>
      </c>
      <c r="D4024" t="inlineStr">
        <is>
          <t>SÖDERMANLANDS LÄN</t>
        </is>
      </c>
      <c r="E4024" t="inlineStr">
        <is>
          <t>GNESTA</t>
        </is>
      </c>
      <c r="F4024" t="inlineStr">
        <is>
          <t>Kommuner</t>
        </is>
      </c>
      <c r="G4024" t="n">
        <v>1.8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61861-2022</t>
        </is>
      </c>
      <c r="B4025" s="1" t="n">
        <v>44917</v>
      </c>
      <c r="C4025" s="1" t="n">
        <v>45182</v>
      </c>
      <c r="D4025" t="inlineStr">
        <is>
          <t>SÖDERMANLANDS LÄN</t>
        </is>
      </c>
      <c r="E4025" t="inlineStr">
        <is>
          <t>ESKILSTUNA</t>
        </is>
      </c>
      <c r="G4025" t="n">
        <v>1.9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61999-2022</t>
        </is>
      </c>
      <c r="B4026" s="1" t="n">
        <v>44918</v>
      </c>
      <c r="C4026" s="1" t="n">
        <v>45182</v>
      </c>
      <c r="D4026" t="inlineStr">
        <is>
          <t>SÖDERMANLANDS LÄN</t>
        </is>
      </c>
      <c r="E4026" t="inlineStr">
        <is>
          <t>ESKILSTUNA</t>
        </is>
      </c>
      <c r="G4026" t="n">
        <v>2.3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62018-2022</t>
        </is>
      </c>
      <c r="B4027" s="1" t="n">
        <v>44918</v>
      </c>
      <c r="C4027" s="1" t="n">
        <v>45182</v>
      </c>
      <c r="D4027" t="inlineStr">
        <is>
          <t>SÖDERMANLANDS LÄN</t>
        </is>
      </c>
      <c r="E4027" t="inlineStr">
        <is>
          <t>GNESTA</t>
        </is>
      </c>
      <c r="F4027" t="inlineStr">
        <is>
          <t>Kommuner</t>
        </is>
      </c>
      <c r="G4027" t="n">
        <v>8.1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124-2023</t>
        </is>
      </c>
      <c r="B4028" s="1" t="n">
        <v>44918</v>
      </c>
      <c r="C4028" s="1" t="n">
        <v>45182</v>
      </c>
      <c r="D4028" t="inlineStr">
        <is>
          <t>SÖDERMANLANDS LÄN</t>
        </is>
      </c>
      <c r="E4028" t="inlineStr">
        <is>
          <t>VINGÅKER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131-2023</t>
        </is>
      </c>
      <c r="B4029" s="1" t="n">
        <v>44918</v>
      </c>
      <c r="C4029" s="1" t="n">
        <v>45182</v>
      </c>
      <c r="D4029" t="inlineStr">
        <is>
          <t>SÖDERMANLANDS LÄN</t>
        </is>
      </c>
      <c r="E4029" t="inlineStr">
        <is>
          <t>VINGÅKER</t>
        </is>
      </c>
      <c r="G4029" t="n">
        <v>3.8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61988-2022</t>
        </is>
      </c>
      <c r="B4030" s="1" t="n">
        <v>44918</v>
      </c>
      <c r="C4030" s="1" t="n">
        <v>45182</v>
      </c>
      <c r="D4030" t="inlineStr">
        <is>
          <t>SÖDERMANLANDS LÄN</t>
        </is>
      </c>
      <c r="E4030" t="inlineStr">
        <is>
          <t>ESKILSTUNA</t>
        </is>
      </c>
      <c r="G4030" t="n">
        <v>7.1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62022-2022</t>
        </is>
      </c>
      <c r="B4031" s="1" t="n">
        <v>44918</v>
      </c>
      <c r="C4031" s="1" t="n">
        <v>45182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129-2023</t>
        </is>
      </c>
      <c r="B4032" s="1" t="n">
        <v>44918</v>
      </c>
      <c r="C4032" s="1" t="n">
        <v>45182</v>
      </c>
      <c r="D4032" t="inlineStr">
        <is>
          <t>SÖDERMANLANDS LÄN</t>
        </is>
      </c>
      <c r="E4032" t="inlineStr">
        <is>
          <t>VINGÅKER</t>
        </is>
      </c>
      <c r="G4032" t="n">
        <v>10.2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133-2023</t>
        </is>
      </c>
      <c r="B4033" s="1" t="n">
        <v>44918</v>
      </c>
      <c r="C4033" s="1" t="n">
        <v>45182</v>
      </c>
      <c r="D4033" t="inlineStr">
        <is>
          <t>SÖDERMANLANDS LÄN</t>
        </is>
      </c>
      <c r="E4033" t="inlineStr">
        <is>
          <t>VINGÅKER</t>
        </is>
      </c>
      <c r="G4033" t="n">
        <v>5.2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62016-2022</t>
        </is>
      </c>
      <c r="B4034" s="1" t="n">
        <v>44918</v>
      </c>
      <c r="C4034" s="1" t="n">
        <v>45182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3.6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130-2023</t>
        </is>
      </c>
      <c r="B4035" s="1" t="n">
        <v>44918</v>
      </c>
      <c r="C4035" s="1" t="n">
        <v>45182</v>
      </c>
      <c r="D4035" t="inlineStr">
        <is>
          <t>SÖDERMANLANDS LÄN</t>
        </is>
      </c>
      <c r="E4035" t="inlineStr">
        <is>
          <t>VINGÅKER</t>
        </is>
      </c>
      <c r="G4035" t="n">
        <v>6.6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134-2023</t>
        </is>
      </c>
      <c r="B4036" s="1" t="n">
        <v>44918</v>
      </c>
      <c r="C4036" s="1" t="n">
        <v>45182</v>
      </c>
      <c r="D4036" t="inlineStr">
        <is>
          <t>SÖDERMANLANDS LÄN</t>
        </is>
      </c>
      <c r="E4036" t="inlineStr">
        <is>
          <t>VINGÅKER</t>
        </is>
      </c>
      <c r="G4036" t="n">
        <v>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109-2023</t>
        </is>
      </c>
      <c r="B4037" s="1" t="n">
        <v>44918</v>
      </c>
      <c r="C4037" s="1" t="n">
        <v>45182</v>
      </c>
      <c r="D4037" t="inlineStr">
        <is>
          <t>SÖDERMANLANDS LÄN</t>
        </is>
      </c>
      <c r="E4037" t="inlineStr">
        <is>
          <t>NYKÖPING</t>
        </is>
      </c>
      <c r="G4037" t="n">
        <v>7.8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128-2023</t>
        </is>
      </c>
      <c r="B4038" s="1" t="n">
        <v>44918</v>
      </c>
      <c r="C4038" s="1" t="n">
        <v>45182</v>
      </c>
      <c r="D4038" t="inlineStr">
        <is>
          <t>SÖDERMANLANDS LÄN</t>
        </is>
      </c>
      <c r="E4038" t="inlineStr">
        <is>
          <t>VINGÅKER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132-2023</t>
        </is>
      </c>
      <c r="B4039" s="1" t="n">
        <v>44918</v>
      </c>
      <c r="C4039" s="1" t="n">
        <v>45182</v>
      </c>
      <c r="D4039" t="inlineStr">
        <is>
          <t>SÖDERMANLANDS LÄN</t>
        </is>
      </c>
      <c r="E4039" t="inlineStr">
        <is>
          <t>VINGÅKER</t>
        </is>
      </c>
      <c r="G4039" t="n">
        <v>1.1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62244-2022</t>
        </is>
      </c>
      <c r="B4040" s="1" t="n">
        <v>44922</v>
      </c>
      <c r="C4040" s="1" t="n">
        <v>45182</v>
      </c>
      <c r="D4040" t="inlineStr">
        <is>
          <t>SÖDERMANLANDS LÄN</t>
        </is>
      </c>
      <c r="E4040" t="inlineStr">
        <is>
          <t>GNESTA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62140-2022</t>
        </is>
      </c>
      <c r="B4041" s="1" t="n">
        <v>44922</v>
      </c>
      <c r="C4041" s="1" t="n">
        <v>45182</v>
      </c>
      <c r="D4041" t="inlineStr">
        <is>
          <t>SÖDERMANLANDS LÄN</t>
        </is>
      </c>
      <c r="E4041" t="inlineStr">
        <is>
          <t>KATRINEHOLM</t>
        </is>
      </c>
      <c r="F4041" t="inlineStr">
        <is>
          <t>Övriga Aktiebolag</t>
        </is>
      </c>
      <c r="G4041" t="n">
        <v>2.4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62216-2022</t>
        </is>
      </c>
      <c r="B4042" s="1" t="n">
        <v>44922</v>
      </c>
      <c r="C4042" s="1" t="n">
        <v>45182</v>
      </c>
      <c r="D4042" t="inlineStr">
        <is>
          <t>SÖDERMANLANDS LÄN</t>
        </is>
      </c>
      <c r="E4042" t="inlineStr">
        <is>
          <t>GNESTA</t>
        </is>
      </c>
      <c r="G4042" t="n">
        <v>3.4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62506-2022</t>
        </is>
      </c>
      <c r="B4043" s="1" t="n">
        <v>44924</v>
      </c>
      <c r="C4043" s="1" t="n">
        <v>45182</v>
      </c>
      <c r="D4043" t="inlineStr">
        <is>
          <t>SÖDERMANLANDS LÄN</t>
        </is>
      </c>
      <c r="E4043" t="inlineStr">
        <is>
          <t>KATRINEHOLM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62465-2022</t>
        </is>
      </c>
      <c r="B4044" s="1" t="n">
        <v>44924</v>
      </c>
      <c r="C4044" s="1" t="n">
        <v>45182</v>
      </c>
      <c r="D4044" t="inlineStr">
        <is>
          <t>SÖDERMANLANDS LÄN</t>
        </is>
      </c>
      <c r="E4044" t="inlineStr">
        <is>
          <t>KATRINEHOLM</t>
        </is>
      </c>
      <c r="G4044" t="n">
        <v>11.2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62734-2022</t>
        </is>
      </c>
      <c r="B4045" s="1" t="n">
        <v>44925</v>
      </c>
      <c r="C4045" s="1" t="n">
        <v>45182</v>
      </c>
      <c r="D4045" t="inlineStr">
        <is>
          <t>SÖDERMANLANDS LÄN</t>
        </is>
      </c>
      <c r="E4045" t="inlineStr">
        <is>
          <t>ESKILSTUNA</t>
        </is>
      </c>
      <c r="G4045" t="n">
        <v>6.5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5-2023</t>
        </is>
      </c>
      <c r="B4046" s="1" t="n">
        <v>44927</v>
      </c>
      <c r="C4046" s="1" t="n">
        <v>45182</v>
      </c>
      <c r="D4046" t="inlineStr">
        <is>
          <t>SÖDERMANLANDS LÄN</t>
        </is>
      </c>
      <c r="E4046" t="inlineStr">
        <is>
          <t>GNESTA</t>
        </is>
      </c>
      <c r="G4046" t="n">
        <v>1.9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23-2023</t>
        </is>
      </c>
      <c r="B4047" s="1" t="n">
        <v>44928</v>
      </c>
      <c r="C4047" s="1" t="n">
        <v>45182</v>
      </c>
      <c r="D4047" t="inlineStr">
        <is>
          <t>SÖDERMANLANDS LÄN</t>
        </is>
      </c>
      <c r="E4047" t="inlineStr">
        <is>
          <t>ESKILSTUNA</t>
        </is>
      </c>
      <c r="G4047" t="n">
        <v>1.2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243-2023</t>
        </is>
      </c>
      <c r="B4048" s="1" t="n">
        <v>44928</v>
      </c>
      <c r="C4048" s="1" t="n">
        <v>45182</v>
      </c>
      <c r="D4048" t="inlineStr">
        <is>
          <t>SÖDERMANLANDS LÄN</t>
        </is>
      </c>
      <c r="E4048" t="inlineStr">
        <is>
          <t>STRÄNGNÄS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454-2023</t>
        </is>
      </c>
      <c r="B4049" s="1" t="n">
        <v>44929</v>
      </c>
      <c r="C4049" s="1" t="n">
        <v>45182</v>
      </c>
      <c r="D4049" t="inlineStr">
        <is>
          <t>SÖDERMANLANDS LÄN</t>
        </is>
      </c>
      <c r="E4049" t="inlineStr">
        <is>
          <t>NYKÖPING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1112-2023</t>
        </is>
      </c>
      <c r="B4050" s="1" t="n">
        <v>44930</v>
      </c>
      <c r="C4050" s="1" t="n">
        <v>45182</v>
      </c>
      <c r="D4050" t="inlineStr">
        <is>
          <t>SÖDERMANLANDS LÄN</t>
        </is>
      </c>
      <c r="E4050" t="inlineStr">
        <is>
          <t>ESKILSTUNA</t>
        </is>
      </c>
      <c r="G4050" t="n">
        <v>4.3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1129-2023</t>
        </is>
      </c>
      <c r="B4051" s="1" t="n">
        <v>44930</v>
      </c>
      <c r="C4051" s="1" t="n">
        <v>45182</v>
      </c>
      <c r="D4051" t="inlineStr">
        <is>
          <t>SÖDERMANLANDS LÄN</t>
        </is>
      </c>
      <c r="E4051" t="inlineStr">
        <is>
          <t>ESKILSTUNA</t>
        </is>
      </c>
      <c r="G4051" t="n">
        <v>6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1378-2023</t>
        </is>
      </c>
      <c r="B4052" s="1" t="n">
        <v>44930</v>
      </c>
      <c r="C4052" s="1" t="n">
        <v>45182</v>
      </c>
      <c r="D4052" t="inlineStr">
        <is>
          <t>SÖDERMANLANDS LÄN</t>
        </is>
      </c>
      <c r="E4052" t="inlineStr">
        <is>
          <t>GNESTA</t>
        </is>
      </c>
      <c r="G4052" t="n">
        <v>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1131-2023</t>
        </is>
      </c>
      <c r="B4053" s="1" t="n">
        <v>44930</v>
      </c>
      <c r="C4053" s="1" t="n">
        <v>45182</v>
      </c>
      <c r="D4053" t="inlineStr">
        <is>
          <t>SÖDERMANLANDS LÄN</t>
        </is>
      </c>
      <c r="E4053" t="inlineStr">
        <is>
          <t>ESKILSTUNA</t>
        </is>
      </c>
      <c r="G4053" t="n">
        <v>3.3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780-2023</t>
        </is>
      </c>
      <c r="B4054" s="1" t="n">
        <v>44931</v>
      </c>
      <c r="C4054" s="1" t="n">
        <v>45182</v>
      </c>
      <c r="D4054" t="inlineStr">
        <is>
          <t>SÖDERMANLANDS LÄN</t>
        </is>
      </c>
      <c r="E4054" t="inlineStr">
        <is>
          <t>FLEN</t>
        </is>
      </c>
      <c r="F4054" t="inlineStr">
        <is>
          <t>Holmen skog AB</t>
        </is>
      </c>
      <c r="G4054" t="n">
        <v>1.3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895-2023</t>
        </is>
      </c>
      <c r="B4055" s="1" t="n">
        <v>44931</v>
      </c>
      <c r="C4055" s="1" t="n">
        <v>45182</v>
      </c>
      <c r="D4055" t="inlineStr">
        <is>
          <t>SÖDERMANLANDS LÄN</t>
        </is>
      </c>
      <c r="E4055" t="inlineStr">
        <is>
          <t>NYKÖPING</t>
        </is>
      </c>
      <c r="G4055" t="n">
        <v>2.1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926-2023</t>
        </is>
      </c>
      <c r="B4056" s="1" t="n">
        <v>44932</v>
      </c>
      <c r="C4056" s="1" t="n">
        <v>45182</v>
      </c>
      <c r="D4056" t="inlineStr">
        <is>
          <t>SÖDERMANLANDS LÄN</t>
        </is>
      </c>
      <c r="E4056" t="inlineStr">
        <is>
          <t>NYKÖPING</t>
        </is>
      </c>
      <c r="G4056" t="n">
        <v>0.7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929-2023</t>
        </is>
      </c>
      <c r="B4057" s="1" t="n">
        <v>44932</v>
      </c>
      <c r="C4057" s="1" t="n">
        <v>45182</v>
      </c>
      <c r="D4057" t="inlineStr">
        <is>
          <t>SÖDERMANLANDS LÄN</t>
        </is>
      </c>
      <c r="E4057" t="inlineStr">
        <is>
          <t>NYKÖPING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948-2023</t>
        </is>
      </c>
      <c r="B4058" s="1" t="n">
        <v>44934</v>
      </c>
      <c r="C4058" s="1" t="n">
        <v>45182</v>
      </c>
      <c r="D4058" t="inlineStr">
        <is>
          <t>SÖDERMANLANDS LÄN</t>
        </is>
      </c>
      <c r="E4058" t="inlineStr">
        <is>
          <t>KATRINEHOLM</t>
        </is>
      </c>
      <c r="G4058" t="n">
        <v>1.2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959-2023</t>
        </is>
      </c>
      <c r="B4059" s="1" t="n">
        <v>44934</v>
      </c>
      <c r="C4059" s="1" t="n">
        <v>45182</v>
      </c>
      <c r="D4059" t="inlineStr">
        <is>
          <t>SÖDERMANLANDS LÄN</t>
        </is>
      </c>
      <c r="E4059" t="inlineStr">
        <is>
          <t>FLEN</t>
        </is>
      </c>
      <c r="G4059" t="n">
        <v>4.8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1149-2023</t>
        </is>
      </c>
      <c r="B4060" s="1" t="n">
        <v>44935</v>
      </c>
      <c r="C4060" s="1" t="n">
        <v>45182</v>
      </c>
      <c r="D4060" t="inlineStr">
        <is>
          <t>SÖDERMANLANDS LÄN</t>
        </is>
      </c>
      <c r="E4060" t="inlineStr">
        <is>
          <t>NYKÖPING</t>
        </is>
      </c>
      <c r="F4060" t="inlineStr">
        <is>
          <t>Holmen skog AB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1251-2023</t>
        </is>
      </c>
      <c r="B4061" s="1" t="n">
        <v>44936</v>
      </c>
      <c r="C4061" s="1" t="n">
        <v>45182</v>
      </c>
      <c r="D4061" t="inlineStr">
        <is>
          <t>SÖDERMANLANDS LÄN</t>
        </is>
      </c>
      <c r="E4061" t="inlineStr">
        <is>
          <t>STRÄNGNÄS</t>
        </is>
      </c>
      <c r="G4061" t="n">
        <v>6.1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1395-2023</t>
        </is>
      </c>
      <c r="B4062" s="1" t="n">
        <v>44936</v>
      </c>
      <c r="C4062" s="1" t="n">
        <v>45182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1392-2023</t>
        </is>
      </c>
      <c r="B4063" s="1" t="n">
        <v>44936</v>
      </c>
      <c r="C4063" s="1" t="n">
        <v>45182</v>
      </c>
      <c r="D4063" t="inlineStr">
        <is>
          <t>SÖDERMANLANDS LÄN</t>
        </is>
      </c>
      <c r="E4063" t="inlineStr">
        <is>
          <t>NYKÖPING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1509-2023</t>
        </is>
      </c>
      <c r="B4064" s="1" t="n">
        <v>44937</v>
      </c>
      <c r="C4064" s="1" t="n">
        <v>45182</v>
      </c>
      <c r="D4064" t="inlineStr">
        <is>
          <t>SÖDERMANLANDS LÄN</t>
        </is>
      </c>
      <c r="E4064" t="inlineStr">
        <is>
          <t>NYKÖPING</t>
        </is>
      </c>
      <c r="F4064" t="inlineStr">
        <is>
          <t>Holmen skog AB</t>
        </is>
      </c>
      <c r="G4064" t="n">
        <v>6.3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1459-2023</t>
        </is>
      </c>
      <c r="B4065" s="1" t="n">
        <v>44937</v>
      </c>
      <c r="C4065" s="1" t="n">
        <v>45182</v>
      </c>
      <c r="D4065" t="inlineStr">
        <is>
          <t>SÖDERMANLANDS LÄN</t>
        </is>
      </c>
      <c r="E4065" t="inlineStr">
        <is>
          <t>VINGÅKER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1788-2023</t>
        </is>
      </c>
      <c r="B4066" s="1" t="n">
        <v>44937</v>
      </c>
      <c r="C4066" s="1" t="n">
        <v>45182</v>
      </c>
      <c r="D4066" t="inlineStr">
        <is>
          <t>SÖDERMANLANDS LÄN</t>
        </is>
      </c>
      <c r="E4066" t="inlineStr">
        <is>
          <t>VINGÅKER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1431-2023</t>
        </is>
      </c>
      <c r="B4067" s="1" t="n">
        <v>44937</v>
      </c>
      <c r="C4067" s="1" t="n">
        <v>45182</v>
      </c>
      <c r="D4067" t="inlineStr">
        <is>
          <t>SÖDERMANLANDS LÄN</t>
        </is>
      </c>
      <c r="E4067" t="inlineStr">
        <is>
          <t>TROSA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1785-2023</t>
        </is>
      </c>
      <c r="B4068" s="1" t="n">
        <v>44937</v>
      </c>
      <c r="C4068" s="1" t="n">
        <v>45182</v>
      </c>
      <c r="D4068" t="inlineStr">
        <is>
          <t>SÖDERMANLANDS LÄN</t>
        </is>
      </c>
      <c r="E4068" t="inlineStr">
        <is>
          <t>VINGÅKER</t>
        </is>
      </c>
      <c r="G4068" t="n">
        <v>8.199999999999999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1721-2023</t>
        </is>
      </c>
      <c r="B4069" s="1" t="n">
        <v>44938</v>
      </c>
      <c r="C4069" s="1" t="n">
        <v>45182</v>
      </c>
      <c r="D4069" t="inlineStr">
        <is>
          <t>SÖDERMANLANDS LÄN</t>
        </is>
      </c>
      <c r="E4069" t="inlineStr">
        <is>
          <t>VINGÅKER</t>
        </is>
      </c>
      <c r="G4069" t="n">
        <v>1.7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1826-2023</t>
        </is>
      </c>
      <c r="B4070" s="1" t="n">
        <v>44938</v>
      </c>
      <c r="C4070" s="1" t="n">
        <v>45182</v>
      </c>
      <c r="D4070" t="inlineStr">
        <is>
          <t>SÖDERMANLANDS LÄN</t>
        </is>
      </c>
      <c r="E4070" t="inlineStr">
        <is>
          <t>VINGÅKER</t>
        </is>
      </c>
      <c r="G4070" t="n">
        <v>1.3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1822-2023</t>
        </is>
      </c>
      <c r="B4071" s="1" t="n">
        <v>44938</v>
      </c>
      <c r="C4071" s="1" t="n">
        <v>45182</v>
      </c>
      <c r="D4071" t="inlineStr">
        <is>
          <t>SÖDERMANLANDS LÄN</t>
        </is>
      </c>
      <c r="E4071" t="inlineStr">
        <is>
          <t>VINGÅKER</t>
        </is>
      </c>
      <c r="G4071" t="n">
        <v>0.8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1739-2023</t>
        </is>
      </c>
      <c r="B4072" s="1" t="n">
        <v>44938</v>
      </c>
      <c r="C4072" s="1" t="n">
        <v>45182</v>
      </c>
      <c r="D4072" t="inlineStr">
        <is>
          <t>SÖDERMANLANDS LÄN</t>
        </is>
      </c>
      <c r="E4072" t="inlineStr">
        <is>
          <t>NYKÖPING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2009-2023</t>
        </is>
      </c>
      <c r="B4073" s="1" t="n">
        <v>44939</v>
      </c>
      <c r="C4073" s="1" t="n">
        <v>45182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0.7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1916-2023</t>
        </is>
      </c>
      <c r="B4074" s="1" t="n">
        <v>44939</v>
      </c>
      <c r="C4074" s="1" t="n">
        <v>45182</v>
      </c>
      <c r="D4074" t="inlineStr">
        <is>
          <t>SÖDERMANLANDS LÄN</t>
        </is>
      </c>
      <c r="E4074" t="inlineStr">
        <is>
          <t>NYKÖPING</t>
        </is>
      </c>
      <c r="F4074" t="inlineStr">
        <is>
          <t>Holmen skog AB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1975-2023</t>
        </is>
      </c>
      <c r="B4075" s="1" t="n">
        <v>44939</v>
      </c>
      <c r="C4075" s="1" t="n">
        <v>45182</v>
      </c>
      <c r="D4075" t="inlineStr">
        <is>
          <t>SÖDERMANLANDS LÄN</t>
        </is>
      </c>
      <c r="E4075" t="inlineStr">
        <is>
          <t>STRÄNGNÄS</t>
        </is>
      </c>
      <c r="F4075" t="inlineStr">
        <is>
          <t>Övriga Aktiebolag</t>
        </is>
      </c>
      <c r="G4075" t="n">
        <v>4.4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2391-2023</t>
        </is>
      </c>
      <c r="B4076" s="1" t="n">
        <v>44942</v>
      </c>
      <c r="C4076" s="1" t="n">
        <v>45182</v>
      </c>
      <c r="D4076" t="inlineStr">
        <is>
          <t>SÖDERMANLANDS LÄN</t>
        </is>
      </c>
      <c r="E4076" t="inlineStr">
        <is>
          <t>FLEN</t>
        </is>
      </c>
      <c r="F4076" t="inlineStr">
        <is>
          <t>Holmen skog AB</t>
        </is>
      </c>
      <c r="G4076" t="n">
        <v>1.2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2686-2023</t>
        </is>
      </c>
      <c r="B4077" s="1" t="n">
        <v>44942</v>
      </c>
      <c r="C4077" s="1" t="n">
        <v>45182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2325-2023</t>
        </is>
      </c>
      <c r="B4078" s="1" t="n">
        <v>44942</v>
      </c>
      <c r="C4078" s="1" t="n">
        <v>45182</v>
      </c>
      <c r="D4078" t="inlineStr">
        <is>
          <t>SÖDERMANLANDS LÄN</t>
        </is>
      </c>
      <c r="E4078" t="inlineStr">
        <is>
          <t>KATRINEHOLM</t>
        </is>
      </c>
      <c r="G4078" t="n">
        <v>5.6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2341-2023</t>
        </is>
      </c>
      <c r="B4079" s="1" t="n">
        <v>44942</v>
      </c>
      <c r="C4079" s="1" t="n">
        <v>45182</v>
      </c>
      <c r="D4079" t="inlineStr">
        <is>
          <t>SÖDERMANLANDS LÄN</t>
        </is>
      </c>
      <c r="E4079" t="inlineStr">
        <is>
          <t>ESKILSTUNA</t>
        </is>
      </c>
      <c r="G4079" t="n">
        <v>5.5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2343-2023</t>
        </is>
      </c>
      <c r="B4080" s="1" t="n">
        <v>44942</v>
      </c>
      <c r="C4080" s="1" t="n">
        <v>45182</v>
      </c>
      <c r="D4080" t="inlineStr">
        <is>
          <t>SÖDERMANLANDS LÄN</t>
        </is>
      </c>
      <c r="E4080" t="inlineStr">
        <is>
          <t>ESKILSTUNA</t>
        </is>
      </c>
      <c r="G4080" t="n">
        <v>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2368-2023</t>
        </is>
      </c>
      <c r="B4081" s="1" t="n">
        <v>44942</v>
      </c>
      <c r="C4081" s="1" t="n">
        <v>45182</v>
      </c>
      <c r="D4081" t="inlineStr">
        <is>
          <t>SÖDERMANLANDS LÄN</t>
        </is>
      </c>
      <c r="E4081" t="inlineStr">
        <is>
          <t>NYKÖPING</t>
        </is>
      </c>
      <c r="G4081" t="n">
        <v>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2757-2023</t>
        </is>
      </c>
      <c r="B4082" s="1" t="n">
        <v>44943</v>
      </c>
      <c r="C4082" s="1" t="n">
        <v>45182</v>
      </c>
      <c r="D4082" t="inlineStr">
        <is>
          <t>SÖDERMANLANDS LÄN</t>
        </is>
      </c>
      <c r="E4082" t="inlineStr">
        <is>
          <t>FLEN</t>
        </is>
      </c>
      <c r="G4082" t="n">
        <v>4.9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2836-2023</t>
        </is>
      </c>
      <c r="B4083" s="1" t="n">
        <v>44943</v>
      </c>
      <c r="C4083" s="1" t="n">
        <v>45182</v>
      </c>
      <c r="D4083" t="inlineStr">
        <is>
          <t>SÖDERMANLANDS LÄN</t>
        </is>
      </c>
      <c r="E4083" t="inlineStr">
        <is>
          <t>NYKÖPING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2509-2023</t>
        </is>
      </c>
      <c r="B4084" s="1" t="n">
        <v>44943</v>
      </c>
      <c r="C4084" s="1" t="n">
        <v>45182</v>
      </c>
      <c r="D4084" t="inlineStr">
        <is>
          <t>SÖDERMANLANDS LÄN</t>
        </is>
      </c>
      <c r="E4084" t="inlineStr">
        <is>
          <t>NYKÖPING</t>
        </is>
      </c>
      <c r="F4084" t="inlineStr">
        <is>
          <t>Övriga Aktiebolag</t>
        </is>
      </c>
      <c r="G4084" t="n">
        <v>2.3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2543-2023</t>
        </is>
      </c>
      <c r="B4085" s="1" t="n">
        <v>44943</v>
      </c>
      <c r="C4085" s="1" t="n">
        <v>45182</v>
      </c>
      <c r="D4085" t="inlineStr">
        <is>
          <t>SÖDERMANLANDS LÄN</t>
        </is>
      </c>
      <c r="E4085" t="inlineStr">
        <is>
          <t>NYKÖPING</t>
        </is>
      </c>
      <c r="G4085" t="n">
        <v>0.5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2568-2023</t>
        </is>
      </c>
      <c r="B4086" s="1" t="n">
        <v>44943</v>
      </c>
      <c r="C4086" s="1" t="n">
        <v>45182</v>
      </c>
      <c r="D4086" t="inlineStr">
        <is>
          <t>SÖDERMANLANDS LÄN</t>
        </is>
      </c>
      <c r="E4086" t="inlineStr">
        <is>
          <t>NYKÖPING</t>
        </is>
      </c>
      <c r="G4086" t="n">
        <v>4.6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2586-2023</t>
        </is>
      </c>
      <c r="B4087" s="1" t="n">
        <v>44943</v>
      </c>
      <c r="C4087" s="1" t="n">
        <v>45182</v>
      </c>
      <c r="D4087" t="inlineStr">
        <is>
          <t>SÖDERMANLANDS LÄN</t>
        </is>
      </c>
      <c r="E4087" t="inlineStr">
        <is>
          <t>VINGÅKER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2544-2023</t>
        </is>
      </c>
      <c r="B4088" s="1" t="n">
        <v>44943</v>
      </c>
      <c r="C4088" s="1" t="n">
        <v>45182</v>
      </c>
      <c r="D4088" t="inlineStr">
        <is>
          <t>SÖDERMANLANDS LÄN</t>
        </is>
      </c>
      <c r="E4088" t="inlineStr">
        <is>
          <t>NYKÖPING</t>
        </is>
      </c>
      <c r="G4088" t="n">
        <v>0.2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2759-2023</t>
        </is>
      </c>
      <c r="B4089" s="1" t="n">
        <v>44943</v>
      </c>
      <c r="C4089" s="1" t="n">
        <v>45182</v>
      </c>
      <c r="D4089" t="inlineStr">
        <is>
          <t>SÖDERMANLANDS LÄN</t>
        </is>
      </c>
      <c r="E4089" t="inlineStr">
        <is>
          <t>FLEN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2664-2023</t>
        </is>
      </c>
      <c r="B4090" s="1" t="n">
        <v>44944</v>
      </c>
      <c r="C4090" s="1" t="n">
        <v>45182</v>
      </c>
      <c r="D4090" t="inlineStr">
        <is>
          <t>SÖDERMANLANDS LÄN</t>
        </is>
      </c>
      <c r="E4090" t="inlineStr">
        <is>
          <t>NYKÖPING</t>
        </is>
      </c>
      <c r="G4090" t="n">
        <v>6.4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2668-2023</t>
        </is>
      </c>
      <c r="B4091" s="1" t="n">
        <v>44944</v>
      </c>
      <c r="C4091" s="1" t="n">
        <v>45182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Sveaskog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2687-2023</t>
        </is>
      </c>
      <c r="B4092" s="1" t="n">
        <v>44944</v>
      </c>
      <c r="C4092" s="1" t="n">
        <v>45182</v>
      </c>
      <c r="D4092" t="inlineStr">
        <is>
          <t>SÖDERMANLANDS LÄN</t>
        </is>
      </c>
      <c r="E4092" t="inlineStr">
        <is>
          <t>NYKÖPING</t>
        </is>
      </c>
      <c r="G4092" t="n">
        <v>14.9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2613-2023</t>
        </is>
      </c>
      <c r="B4093" s="1" t="n">
        <v>44944</v>
      </c>
      <c r="C4093" s="1" t="n">
        <v>45182</v>
      </c>
      <c r="D4093" t="inlineStr">
        <is>
          <t>SÖDERMANLANDS LÄN</t>
        </is>
      </c>
      <c r="E4093" t="inlineStr">
        <is>
          <t>KATRINEHOLM</t>
        </is>
      </c>
      <c r="G4093" t="n">
        <v>7.9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2681-2023</t>
        </is>
      </c>
      <c r="B4094" s="1" t="n">
        <v>44944</v>
      </c>
      <c r="C4094" s="1" t="n">
        <v>45182</v>
      </c>
      <c r="D4094" t="inlineStr">
        <is>
          <t>SÖDERMANLANDS LÄN</t>
        </is>
      </c>
      <c r="E4094" t="inlineStr">
        <is>
          <t>VINGÅKER</t>
        </is>
      </c>
      <c r="G4094" t="n">
        <v>3.2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2856-2023</t>
        </is>
      </c>
      <c r="B4095" s="1" t="n">
        <v>44945</v>
      </c>
      <c r="C4095" s="1" t="n">
        <v>45182</v>
      </c>
      <c r="D4095" t="inlineStr">
        <is>
          <t>SÖDERMANLANDS LÄN</t>
        </is>
      </c>
      <c r="E4095" t="inlineStr">
        <is>
          <t>NYKÖPING</t>
        </is>
      </c>
      <c r="F4095" t="inlineStr">
        <is>
          <t>Kommuner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2920-2023</t>
        </is>
      </c>
      <c r="B4096" s="1" t="n">
        <v>44945</v>
      </c>
      <c r="C4096" s="1" t="n">
        <v>45182</v>
      </c>
      <c r="D4096" t="inlineStr">
        <is>
          <t>SÖDERMANLANDS LÄN</t>
        </is>
      </c>
      <c r="E4096" t="inlineStr">
        <is>
          <t>GNESTA</t>
        </is>
      </c>
      <c r="G4096" t="n">
        <v>3.7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3004-2023</t>
        </is>
      </c>
      <c r="B4097" s="1" t="n">
        <v>44945</v>
      </c>
      <c r="C4097" s="1" t="n">
        <v>45182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3.2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3003-2023</t>
        </is>
      </c>
      <c r="B4098" s="1" t="n">
        <v>44945</v>
      </c>
      <c r="C4098" s="1" t="n">
        <v>45182</v>
      </c>
      <c r="D4098" t="inlineStr">
        <is>
          <t>SÖDERMANLANDS LÄN</t>
        </is>
      </c>
      <c r="E4098" t="inlineStr">
        <is>
          <t>GNESTA</t>
        </is>
      </c>
      <c r="F4098" t="inlineStr">
        <is>
          <t>Kommuner</t>
        </is>
      </c>
      <c r="G4098" t="n">
        <v>1.6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3317-2023</t>
        </is>
      </c>
      <c r="B4099" s="1" t="n">
        <v>44945</v>
      </c>
      <c r="C4099" s="1" t="n">
        <v>45182</v>
      </c>
      <c r="D4099" t="inlineStr">
        <is>
          <t>SÖDERMANLANDS LÄN</t>
        </is>
      </c>
      <c r="E4099" t="inlineStr">
        <is>
          <t>KATRINEHOLM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3002-2023</t>
        </is>
      </c>
      <c r="B4100" s="1" t="n">
        <v>44945</v>
      </c>
      <c r="C4100" s="1" t="n">
        <v>45182</v>
      </c>
      <c r="D4100" t="inlineStr">
        <is>
          <t>SÖDERMANLANDS LÄN</t>
        </is>
      </c>
      <c r="E4100" t="inlineStr">
        <is>
          <t>GNESTA</t>
        </is>
      </c>
      <c r="F4100" t="inlineStr">
        <is>
          <t>Kommuner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3315-2023</t>
        </is>
      </c>
      <c r="B4101" s="1" t="n">
        <v>44945</v>
      </c>
      <c r="C4101" s="1" t="n">
        <v>45182</v>
      </c>
      <c r="D4101" t="inlineStr">
        <is>
          <t>SÖDERMANLANDS LÄN</t>
        </is>
      </c>
      <c r="E4101" t="inlineStr">
        <is>
          <t>KATRINEHOLM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2858-2023</t>
        </is>
      </c>
      <c r="B4102" s="1" t="n">
        <v>44945</v>
      </c>
      <c r="C4102" s="1" t="n">
        <v>45182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4.8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3136-2023</t>
        </is>
      </c>
      <c r="B4103" s="1" t="n">
        <v>44946</v>
      </c>
      <c r="C4103" s="1" t="n">
        <v>45182</v>
      </c>
      <c r="D4103" t="inlineStr">
        <is>
          <t>SÖDERMANLANDS LÄN</t>
        </is>
      </c>
      <c r="E4103" t="inlineStr">
        <is>
          <t>ESKILSTUNA</t>
        </is>
      </c>
      <c r="G4103" t="n">
        <v>4.1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3145-2023</t>
        </is>
      </c>
      <c r="B4104" s="1" t="n">
        <v>44946</v>
      </c>
      <c r="C4104" s="1" t="n">
        <v>45182</v>
      </c>
      <c r="D4104" t="inlineStr">
        <is>
          <t>SÖDERMANLANDS LÄN</t>
        </is>
      </c>
      <c r="E4104" t="inlineStr">
        <is>
          <t>ESKILSTUNA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3216-2023</t>
        </is>
      </c>
      <c r="B4105" s="1" t="n">
        <v>44946</v>
      </c>
      <c r="C4105" s="1" t="n">
        <v>45182</v>
      </c>
      <c r="D4105" t="inlineStr">
        <is>
          <t>SÖDERMANLANDS LÄN</t>
        </is>
      </c>
      <c r="E4105" t="inlineStr">
        <is>
          <t>NYKÖPING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3227-2023</t>
        </is>
      </c>
      <c r="B4106" s="1" t="n">
        <v>44946</v>
      </c>
      <c r="C4106" s="1" t="n">
        <v>45182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2.1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3101-2023</t>
        </is>
      </c>
      <c r="B4107" s="1" t="n">
        <v>44946</v>
      </c>
      <c r="C4107" s="1" t="n">
        <v>45182</v>
      </c>
      <c r="D4107" t="inlineStr">
        <is>
          <t>SÖDERMANLANDS LÄN</t>
        </is>
      </c>
      <c r="E4107" t="inlineStr">
        <is>
          <t>ESKILSTUNA</t>
        </is>
      </c>
      <c r="G4107" t="n">
        <v>0.9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3112-2023</t>
        </is>
      </c>
      <c r="B4108" s="1" t="n">
        <v>44946</v>
      </c>
      <c r="C4108" s="1" t="n">
        <v>45182</v>
      </c>
      <c r="D4108" t="inlineStr">
        <is>
          <t>SÖDERMANLANDS LÄN</t>
        </is>
      </c>
      <c r="E4108" t="inlineStr">
        <is>
          <t>ESKILSTUNA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3138-2023</t>
        </is>
      </c>
      <c r="B4109" s="1" t="n">
        <v>44946</v>
      </c>
      <c r="C4109" s="1" t="n">
        <v>45182</v>
      </c>
      <c r="D4109" t="inlineStr">
        <is>
          <t>SÖDERMANLANDS LÄN</t>
        </is>
      </c>
      <c r="E4109" t="inlineStr">
        <is>
          <t>ESKILSTUNA</t>
        </is>
      </c>
      <c r="G4109" t="n">
        <v>1.6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3468-2023</t>
        </is>
      </c>
      <c r="B4110" s="1" t="n">
        <v>44949</v>
      </c>
      <c r="C4110" s="1" t="n">
        <v>45182</v>
      </c>
      <c r="D4110" t="inlineStr">
        <is>
          <t>SÖDERMANLANDS LÄN</t>
        </is>
      </c>
      <c r="E4110" t="inlineStr">
        <is>
          <t>NYKÖPING</t>
        </is>
      </c>
      <c r="F4110" t="inlineStr">
        <is>
          <t>Övriga Aktiebolag</t>
        </is>
      </c>
      <c r="G4110" t="n">
        <v>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3475-2023</t>
        </is>
      </c>
      <c r="B4111" s="1" t="n">
        <v>44949</v>
      </c>
      <c r="C4111" s="1" t="n">
        <v>45182</v>
      </c>
      <c r="D4111" t="inlineStr">
        <is>
          <t>SÖDERMANLANDS LÄN</t>
        </is>
      </c>
      <c r="E4111" t="inlineStr">
        <is>
          <t>NYKÖPING</t>
        </is>
      </c>
      <c r="G4111" t="n">
        <v>0.9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3492-2023</t>
        </is>
      </c>
      <c r="B4112" s="1" t="n">
        <v>44949</v>
      </c>
      <c r="C4112" s="1" t="n">
        <v>45182</v>
      </c>
      <c r="D4112" t="inlineStr">
        <is>
          <t>SÖDERMANLANDS LÄN</t>
        </is>
      </c>
      <c r="E4112" t="inlineStr">
        <is>
          <t>KATRINEHOLM</t>
        </is>
      </c>
      <c r="G4112" t="n">
        <v>5.5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3290-2023</t>
        </is>
      </c>
      <c r="B4113" s="1" t="n">
        <v>44949</v>
      </c>
      <c r="C4113" s="1" t="n">
        <v>45182</v>
      </c>
      <c r="D4113" t="inlineStr">
        <is>
          <t>SÖDERMANLANDS LÄN</t>
        </is>
      </c>
      <c r="E4113" t="inlineStr">
        <is>
          <t>KATRINEHOLM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3435-2023</t>
        </is>
      </c>
      <c r="B4114" s="1" t="n">
        <v>44949</v>
      </c>
      <c r="C4114" s="1" t="n">
        <v>45182</v>
      </c>
      <c r="D4114" t="inlineStr">
        <is>
          <t>SÖDERMANLANDS LÄN</t>
        </is>
      </c>
      <c r="E4114" t="inlineStr">
        <is>
          <t>FLEN</t>
        </is>
      </c>
      <c r="F4114" t="inlineStr">
        <is>
          <t>Holmen skog AB</t>
        </is>
      </c>
      <c r="G4114" t="n">
        <v>2.9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3571-2023</t>
        </is>
      </c>
      <c r="B4115" s="1" t="n">
        <v>44950</v>
      </c>
      <c r="C4115" s="1" t="n">
        <v>45182</v>
      </c>
      <c r="D4115" t="inlineStr">
        <is>
          <t>SÖDERMANLANDS LÄN</t>
        </is>
      </c>
      <c r="E4115" t="inlineStr">
        <is>
          <t>NYKÖPING</t>
        </is>
      </c>
      <c r="G4115" t="n">
        <v>1.8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3847-2023</t>
        </is>
      </c>
      <c r="B4116" s="1" t="n">
        <v>44951</v>
      </c>
      <c r="C4116" s="1" t="n">
        <v>45182</v>
      </c>
      <c r="D4116" t="inlineStr">
        <is>
          <t>SÖDERMANLANDS LÄN</t>
        </is>
      </c>
      <c r="E4116" t="inlineStr">
        <is>
          <t>GNESTA</t>
        </is>
      </c>
      <c r="G4116" t="n">
        <v>3.8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3707-2023</t>
        </is>
      </c>
      <c r="B4117" s="1" t="n">
        <v>44951</v>
      </c>
      <c r="C4117" s="1" t="n">
        <v>45182</v>
      </c>
      <c r="D4117" t="inlineStr">
        <is>
          <t>SÖDERMANLANDS LÄN</t>
        </is>
      </c>
      <c r="E4117" t="inlineStr">
        <is>
          <t>NYKÖPING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3741-2023</t>
        </is>
      </c>
      <c r="B4118" s="1" t="n">
        <v>44951</v>
      </c>
      <c r="C4118" s="1" t="n">
        <v>45182</v>
      </c>
      <c r="D4118" t="inlineStr">
        <is>
          <t>SÖDERMANLANDS LÄN</t>
        </is>
      </c>
      <c r="E4118" t="inlineStr">
        <is>
          <t>TROSA</t>
        </is>
      </c>
      <c r="G4118" t="n">
        <v>4.8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4122-2023</t>
        </is>
      </c>
      <c r="B4119" s="1" t="n">
        <v>44952</v>
      </c>
      <c r="C4119" s="1" t="n">
        <v>45182</v>
      </c>
      <c r="D4119" t="inlineStr">
        <is>
          <t>SÖDERMANLANDS LÄN</t>
        </is>
      </c>
      <c r="E4119" t="inlineStr">
        <is>
          <t>KATRINEHOLM</t>
        </is>
      </c>
      <c r="G4119" t="n">
        <v>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4249-2023</t>
        </is>
      </c>
      <c r="B4120" s="1" t="n">
        <v>44953</v>
      </c>
      <c r="C4120" s="1" t="n">
        <v>45182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1.4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4256-2023</t>
        </is>
      </c>
      <c r="B4121" s="1" t="n">
        <v>44953</v>
      </c>
      <c r="C4121" s="1" t="n">
        <v>45182</v>
      </c>
      <c r="D4121" t="inlineStr">
        <is>
          <t>SÖDERMANLANDS LÄN</t>
        </is>
      </c>
      <c r="E4121" t="inlineStr">
        <is>
          <t>ESKILSTUNA</t>
        </is>
      </c>
      <c r="F4121" t="inlineStr">
        <is>
          <t>Allmännings- och besparingsskogar</t>
        </is>
      </c>
      <c r="G4121" t="n">
        <v>7.3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4281-2023</t>
        </is>
      </c>
      <c r="B4122" s="1" t="n">
        <v>44953</v>
      </c>
      <c r="C4122" s="1" t="n">
        <v>45182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2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4320-2023</t>
        </is>
      </c>
      <c r="B4123" s="1" t="n">
        <v>44953</v>
      </c>
      <c r="C4123" s="1" t="n">
        <v>45182</v>
      </c>
      <c r="D4123" t="inlineStr">
        <is>
          <t>SÖDERMANLANDS LÄN</t>
        </is>
      </c>
      <c r="E4123" t="inlineStr">
        <is>
          <t>STRÄNGNÄS</t>
        </is>
      </c>
      <c r="F4123" t="inlineStr">
        <is>
          <t>Allmännings- och besparingsskogar</t>
        </is>
      </c>
      <c r="G4123" t="n">
        <v>0.6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4392-2023</t>
        </is>
      </c>
      <c r="B4124" s="1" t="n">
        <v>44955</v>
      </c>
      <c r="C4124" s="1" t="n">
        <v>45182</v>
      </c>
      <c r="D4124" t="inlineStr">
        <is>
          <t>SÖDERMANLANDS LÄN</t>
        </is>
      </c>
      <c r="E4124" t="inlineStr">
        <is>
          <t>ESKILSTUNA</t>
        </is>
      </c>
      <c r="G4124" t="n">
        <v>11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4562-2023</t>
        </is>
      </c>
      <c r="B4125" s="1" t="n">
        <v>44956</v>
      </c>
      <c r="C4125" s="1" t="n">
        <v>45182</v>
      </c>
      <c r="D4125" t="inlineStr">
        <is>
          <t>SÖDERMANLANDS LÄN</t>
        </is>
      </c>
      <c r="E4125" t="inlineStr">
        <is>
          <t>ESKILSTUNA</t>
        </is>
      </c>
      <c r="G4125" t="n">
        <v>0.8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4402-2023</t>
        </is>
      </c>
      <c r="B4126" s="1" t="n">
        <v>44956</v>
      </c>
      <c r="C4126" s="1" t="n">
        <v>45182</v>
      </c>
      <c r="D4126" t="inlineStr">
        <is>
          <t>SÖDERMANLANDS LÄN</t>
        </is>
      </c>
      <c r="E4126" t="inlineStr">
        <is>
          <t>NYKÖPING</t>
        </is>
      </c>
      <c r="F4126" t="inlineStr">
        <is>
          <t>Övriga Aktiebolag</t>
        </is>
      </c>
      <c r="G4126" t="n">
        <v>0.4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4509-2023</t>
        </is>
      </c>
      <c r="B4127" s="1" t="n">
        <v>44956</v>
      </c>
      <c r="C4127" s="1" t="n">
        <v>45182</v>
      </c>
      <c r="D4127" t="inlineStr">
        <is>
          <t>SÖDERMANLANDS LÄN</t>
        </is>
      </c>
      <c r="E4127" t="inlineStr">
        <is>
          <t>GNESTA</t>
        </is>
      </c>
      <c r="G4127" t="n">
        <v>3.2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4577-2023</t>
        </is>
      </c>
      <c r="B4128" s="1" t="n">
        <v>44956</v>
      </c>
      <c r="C4128" s="1" t="n">
        <v>45182</v>
      </c>
      <c r="D4128" t="inlineStr">
        <is>
          <t>SÖDERMANLANDS LÄN</t>
        </is>
      </c>
      <c r="E4128" t="inlineStr">
        <is>
          <t>NYKÖPING</t>
        </is>
      </c>
      <c r="G4128" t="n">
        <v>3.1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4683-2023</t>
        </is>
      </c>
      <c r="B4129" s="1" t="n">
        <v>44957</v>
      </c>
      <c r="C4129" s="1" t="n">
        <v>45182</v>
      </c>
      <c r="D4129" t="inlineStr">
        <is>
          <t>SÖDERMANLANDS LÄN</t>
        </is>
      </c>
      <c r="E4129" t="inlineStr">
        <is>
          <t>NYKÖPING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4669-2023</t>
        </is>
      </c>
      <c r="B4130" s="1" t="n">
        <v>44957</v>
      </c>
      <c r="C4130" s="1" t="n">
        <v>45182</v>
      </c>
      <c r="D4130" t="inlineStr">
        <is>
          <t>SÖDERMANLANDS LÄN</t>
        </is>
      </c>
      <c r="E4130" t="inlineStr">
        <is>
          <t>KATRINEHOLM</t>
        </is>
      </c>
      <c r="F4130" t="inlineStr">
        <is>
          <t>Holmen skog AB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4749-2023</t>
        </is>
      </c>
      <c r="B4131" s="1" t="n">
        <v>44957</v>
      </c>
      <c r="C4131" s="1" t="n">
        <v>45182</v>
      </c>
      <c r="D4131" t="inlineStr">
        <is>
          <t>SÖDERMANLANDS LÄN</t>
        </is>
      </c>
      <c r="E4131" t="inlineStr">
        <is>
          <t>FLEN</t>
        </is>
      </c>
      <c r="G4131" t="n">
        <v>2.8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4662-2023</t>
        </is>
      </c>
      <c r="B4132" s="1" t="n">
        <v>44957</v>
      </c>
      <c r="C4132" s="1" t="n">
        <v>45182</v>
      </c>
      <c r="D4132" t="inlineStr">
        <is>
          <t>SÖDERMANLANDS LÄN</t>
        </is>
      </c>
      <c r="E4132" t="inlineStr">
        <is>
          <t>KATRINEHOLM</t>
        </is>
      </c>
      <c r="F4132" t="inlineStr">
        <is>
          <t>Holmen skog AB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4689-2023</t>
        </is>
      </c>
      <c r="B4133" s="1" t="n">
        <v>44957</v>
      </c>
      <c r="C4133" s="1" t="n">
        <v>45182</v>
      </c>
      <c r="D4133" t="inlineStr">
        <is>
          <t>SÖDERMANLANDS LÄN</t>
        </is>
      </c>
      <c r="E4133" t="inlineStr">
        <is>
          <t>KATRINEHOLM</t>
        </is>
      </c>
      <c r="G4133" t="n">
        <v>0.7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4724-2023</t>
        </is>
      </c>
      <c r="B4134" s="1" t="n">
        <v>44957</v>
      </c>
      <c r="C4134" s="1" t="n">
        <v>45182</v>
      </c>
      <c r="D4134" t="inlineStr">
        <is>
          <t>SÖDERMANLANDS LÄN</t>
        </is>
      </c>
      <c r="E4134" t="inlineStr">
        <is>
          <t>KATRINEHOLM</t>
        </is>
      </c>
      <c r="F4134" t="inlineStr">
        <is>
          <t>Holmen skog AB</t>
        </is>
      </c>
      <c r="G4134" t="n">
        <v>1.7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4742-2023</t>
        </is>
      </c>
      <c r="B4135" s="1" t="n">
        <v>44957</v>
      </c>
      <c r="C4135" s="1" t="n">
        <v>45182</v>
      </c>
      <c r="D4135" t="inlineStr">
        <is>
          <t>SÖDERMANLANDS LÄN</t>
        </is>
      </c>
      <c r="E4135" t="inlineStr">
        <is>
          <t>FLEN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4789-2023</t>
        </is>
      </c>
      <c r="B4136" s="1" t="n">
        <v>44957</v>
      </c>
      <c r="C4136" s="1" t="n">
        <v>45182</v>
      </c>
      <c r="D4136" t="inlineStr">
        <is>
          <t>SÖDERMANLANDS LÄN</t>
        </is>
      </c>
      <c r="E4136" t="inlineStr">
        <is>
          <t>NYKÖPING</t>
        </is>
      </c>
      <c r="G4136" t="n">
        <v>2.3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4641-2023</t>
        </is>
      </c>
      <c r="B4137" s="1" t="n">
        <v>44957</v>
      </c>
      <c r="C4137" s="1" t="n">
        <v>45182</v>
      </c>
      <c r="D4137" t="inlineStr">
        <is>
          <t>SÖDERMANLANDS LÄN</t>
        </is>
      </c>
      <c r="E4137" t="inlineStr">
        <is>
          <t>ESKILSTUNA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4656-2023</t>
        </is>
      </c>
      <c r="B4138" s="1" t="n">
        <v>44957</v>
      </c>
      <c r="C4138" s="1" t="n">
        <v>45182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1.7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5107-2023</t>
        </is>
      </c>
      <c r="B4139" s="1" t="n">
        <v>44958</v>
      </c>
      <c r="C4139" s="1" t="n">
        <v>45182</v>
      </c>
      <c r="D4139" t="inlineStr">
        <is>
          <t>SÖDERMANLANDS LÄN</t>
        </is>
      </c>
      <c r="E4139" t="inlineStr">
        <is>
          <t>NYKÖPING</t>
        </is>
      </c>
      <c r="G4139" t="n">
        <v>4.4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4899-2023</t>
        </is>
      </c>
      <c r="B4140" s="1" t="n">
        <v>44958</v>
      </c>
      <c r="C4140" s="1" t="n">
        <v>45182</v>
      </c>
      <c r="D4140" t="inlineStr">
        <is>
          <t>SÖDERMANLANDS LÄN</t>
        </is>
      </c>
      <c r="E4140" t="inlineStr">
        <is>
          <t>FLEN</t>
        </is>
      </c>
      <c r="F4140" t="inlineStr">
        <is>
          <t>Kyrkan</t>
        </is>
      </c>
      <c r="G4140" t="n">
        <v>0.3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5109-2023</t>
        </is>
      </c>
      <c r="B4141" s="1" t="n">
        <v>44958</v>
      </c>
      <c r="C4141" s="1" t="n">
        <v>45182</v>
      </c>
      <c r="D4141" t="inlineStr">
        <is>
          <t>SÖDERMANLANDS LÄN</t>
        </is>
      </c>
      <c r="E4141" t="inlineStr">
        <is>
          <t>FLEN</t>
        </is>
      </c>
      <c r="G4141" t="n">
        <v>7.5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5822-2023</t>
        </is>
      </c>
      <c r="B4142" s="1" t="n">
        <v>44958</v>
      </c>
      <c r="C4142" s="1" t="n">
        <v>45182</v>
      </c>
      <c r="D4142" t="inlineStr">
        <is>
          <t>SÖDERMANLANDS LÄN</t>
        </is>
      </c>
      <c r="E4142" t="inlineStr">
        <is>
          <t>GNESTA</t>
        </is>
      </c>
      <c r="G4142" t="n">
        <v>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5291-2023</t>
        </is>
      </c>
      <c r="B4143" s="1" t="n">
        <v>44959</v>
      </c>
      <c r="C4143" s="1" t="n">
        <v>45182</v>
      </c>
      <c r="D4143" t="inlineStr">
        <is>
          <t>SÖDERMANLANDS LÄN</t>
        </is>
      </c>
      <c r="E4143" t="inlineStr">
        <is>
          <t>NYKÖPING</t>
        </is>
      </c>
      <c r="G4143" t="n">
        <v>6.5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6000-2023</t>
        </is>
      </c>
      <c r="B4144" s="1" t="n">
        <v>44959</v>
      </c>
      <c r="C4144" s="1" t="n">
        <v>45182</v>
      </c>
      <c r="D4144" t="inlineStr">
        <is>
          <t>SÖDERMANLANDS LÄN</t>
        </is>
      </c>
      <c r="E4144" t="inlineStr">
        <is>
          <t>ESKILSTUNA</t>
        </is>
      </c>
      <c r="G4144" t="n">
        <v>11.7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6026-2023</t>
        </is>
      </c>
      <c r="B4145" s="1" t="n">
        <v>44959</v>
      </c>
      <c r="C4145" s="1" t="n">
        <v>45182</v>
      </c>
      <c r="D4145" t="inlineStr">
        <is>
          <t>SÖDERMANLANDS LÄN</t>
        </is>
      </c>
      <c r="E4145" t="inlineStr">
        <is>
          <t>ESKILSTUNA</t>
        </is>
      </c>
      <c r="G4145" t="n">
        <v>7.9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5191-2023</t>
        </is>
      </c>
      <c r="B4146" s="1" t="n">
        <v>44959</v>
      </c>
      <c r="C4146" s="1" t="n">
        <v>45182</v>
      </c>
      <c r="D4146" t="inlineStr">
        <is>
          <t>SÖDERMANLANDS LÄN</t>
        </is>
      </c>
      <c r="E4146" t="inlineStr">
        <is>
          <t>KATRINEHOLM</t>
        </is>
      </c>
      <c r="F4146" t="inlineStr">
        <is>
          <t>Kyrkan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5292-2023</t>
        </is>
      </c>
      <c r="B4147" s="1" t="n">
        <v>44959</v>
      </c>
      <c r="C4147" s="1" t="n">
        <v>45182</v>
      </c>
      <c r="D4147" t="inlineStr">
        <is>
          <t>SÖDERMANLANDS LÄN</t>
        </is>
      </c>
      <c r="E4147" t="inlineStr">
        <is>
          <t>NYKÖPING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5290-2023</t>
        </is>
      </c>
      <c r="B4148" s="1" t="n">
        <v>44959</v>
      </c>
      <c r="C4148" s="1" t="n">
        <v>45182</v>
      </c>
      <c r="D4148" t="inlineStr">
        <is>
          <t>SÖDERMANLANDS LÄN</t>
        </is>
      </c>
      <c r="E4148" t="inlineStr">
        <is>
          <t>NYKÖPING</t>
        </is>
      </c>
      <c r="G4148" t="n">
        <v>3.7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5319-2023</t>
        </is>
      </c>
      <c r="B4149" s="1" t="n">
        <v>44959</v>
      </c>
      <c r="C4149" s="1" t="n">
        <v>45182</v>
      </c>
      <c r="D4149" t="inlineStr">
        <is>
          <t>SÖDERMANLANDS LÄN</t>
        </is>
      </c>
      <c r="E4149" t="inlineStr">
        <is>
          <t>NYKÖPING</t>
        </is>
      </c>
      <c r="F4149" t="inlineStr">
        <is>
          <t>Övriga Aktiebolag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5483-2023</t>
        </is>
      </c>
      <c r="B4150" s="1" t="n">
        <v>44960</v>
      </c>
      <c r="C4150" s="1" t="n">
        <v>45182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5513-2023</t>
        </is>
      </c>
      <c r="B4151" s="1" t="n">
        <v>44960</v>
      </c>
      <c r="C4151" s="1" t="n">
        <v>45182</v>
      </c>
      <c r="D4151" t="inlineStr">
        <is>
          <t>SÖDERMANLANDS LÄN</t>
        </is>
      </c>
      <c r="E4151" t="inlineStr">
        <is>
          <t>NYKÖPING</t>
        </is>
      </c>
      <c r="G4151" t="n">
        <v>0.6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5546-2023</t>
        </is>
      </c>
      <c r="B4152" s="1" t="n">
        <v>44960</v>
      </c>
      <c r="C4152" s="1" t="n">
        <v>45182</v>
      </c>
      <c r="D4152" t="inlineStr">
        <is>
          <t>SÖDERMANLANDS LÄN</t>
        </is>
      </c>
      <c r="E4152" t="inlineStr">
        <is>
          <t>NYKÖPING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5582-2023</t>
        </is>
      </c>
      <c r="B4153" s="1" t="n">
        <v>44960</v>
      </c>
      <c r="C4153" s="1" t="n">
        <v>45182</v>
      </c>
      <c r="D4153" t="inlineStr">
        <is>
          <t>SÖDERMANLANDS LÄN</t>
        </is>
      </c>
      <c r="E4153" t="inlineStr">
        <is>
          <t>FLEN</t>
        </is>
      </c>
      <c r="G4153" t="n">
        <v>1.7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5509-2023</t>
        </is>
      </c>
      <c r="B4154" s="1" t="n">
        <v>44960</v>
      </c>
      <c r="C4154" s="1" t="n">
        <v>45182</v>
      </c>
      <c r="D4154" t="inlineStr">
        <is>
          <t>SÖDERMANLANDS LÄN</t>
        </is>
      </c>
      <c r="E4154" t="inlineStr">
        <is>
          <t>NYKÖPING</t>
        </is>
      </c>
      <c r="G4154" t="n">
        <v>1.2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5568-2023</t>
        </is>
      </c>
      <c r="B4155" s="1" t="n">
        <v>44960</v>
      </c>
      <c r="C4155" s="1" t="n">
        <v>45182</v>
      </c>
      <c r="D4155" t="inlineStr">
        <is>
          <t>SÖDERMANLANDS LÄN</t>
        </is>
      </c>
      <c r="E4155" t="inlineStr">
        <is>
          <t>FLEN</t>
        </is>
      </c>
      <c r="G4155" t="n">
        <v>1.6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5521-2023</t>
        </is>
      </c>
      <c r="B4156" s="1" t="n">
        <v>44960</v>
      </c>
      <c r="C4156" s="1" t="n">
        <v>45182</v>
      </c>
      <c r="D4156" t="inlineStr">
        <is>
          <t>SÖDERMANLANDS LÄN</t>
        </is>
      </c>
      <c r="E4156" t="inlineStr">
        <is>
          <t>NYKÖPING</t>
        </is>
      </c>
      <c r="G4156" t="n">
        <v>2.2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5661-2023</t>
        </is>
      </c>
      <c r="B4157" s="1" t="n">
        <v>44960</v>
      </c>
      <c r="C4157" s="1" t="n">
        <v>45182</v>
      </c>
      <c r="D4157" t="inlineStr">
        <is>
          <t>SÖDERMANLANDS LÄN</t>
        </is>
      </c>
      <c r="E4157" t="inlineStr">
        <is>
          <t>KATRINEHOLM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5494-2023</t>
        </is>
      </c>
      <c r="B4158" s="1" t="n">
        <v>44960</v>
      </c>
      <c r="C4158" s="1" t="n">
        <v>45182</v>
      </c>
      <c r="D4158" t="inlineStr">
        <is>
          <t>SÖDERMANLANDS LÄN</t>
        </is>
      </c>
      <c r="E4158" t="inlineStr">
        <is>
          <t>NYKÖPING</t>
        </is>
      </c>
      <c r="G4158" t="n">
        <v>2.9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5538-2023</t>
        </is>
      </c>
      <c r="B4159" s="1" t="n">
        <v>44960</v>
      </c>
      <c r="C4159" s="1" t="n">
        <v>45182</v>
      </c>
      <c r="D4159" t="inlineStr">
        <is>
          <t>SÖDERMANLANDS LÄN</t>
        </is>
      </c>
      <c r="E4159" t="inlineStr">
        <is>
          <t>NYKÖPING</t>
        </is>
      </c>
      <c r="G4159" t="n">
        <v>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5642-2023</t>
        </is>
      </c>
      <c r="B4160" s="1" t="n">
        <v>44960</v>
      </c>
      <c r="C4160" s="1" t="n">
        <v>45182</v>
      </c>
      <c r="D4160" t="inlineStr">
        <is>
          <t>SÖDERMANLANDS LÄN</t>
        </is>
      </c>
      <c r="E4160" t="inlineStr">
        <is>
          <t>NYKÖPING</t>
        </is>
      </c>
      <c r="F4160" t="inlineStr">
        <is>
          <t>Holmen skog AB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6553-2023</t>
        </is>
      </c>
      <c r="B4161" s="1" t="n">
        <v>44961</v>
      </c>
      <c r="C4161" s="1" t="n">
        <v>45182</v>
      </c>
      <c r="D4161" t="inlineStr">
        <is>
          <t>SÖDERMANLANDS LÄN</t>
        </is>
      </c>
      <c r="E4161" t="inlineStr">
        <is>
          <t>VINGÅKER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6622-2023</t>
        </is>
      </c>
      <c r="B4162" s="1" t="n">
        <v>44963</v>
      </c>
      <c r="C4162" s="1" t="n">
        <v>45182</v>
      </c>
      <c r="D4162" t="inlineStr">
        <is>
          <t>SÖDERMANLANDS LÄN</t>
        </is>
      </c>
      <c r="E4162" t="inlineStr">
        <is>
          <t>KATRINEHOLM</t>
        </is>
      </c>
      <c r="G4162" t="n">
        <v>11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5928-2023</t>
        </is>
      </c>
      <c r="B4163" s="1" t="n">
        <v>44963</v>
      </c>
      <c r="C4163" s="1" t="n">
        <v>45182</v>
      </c>
      <c r="D4163" t="inlineStr">
        <is>
          <t>SÖDERMANLANDS LÄN</t>
        </is>
      </c>
      <c r="E4163" t="inlineStr">
        <is>
          <t>GNESTA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6611-2023</t>
        </is>
      </c>
      <c r="B4164" s="1" t="n">
        <v>44963</v>
      </c>
      <c r="C4164" s="1" t="n">
        <v>45182</v>
      </c>
      <c r="D4164" t="inlineStr">
        <is>
          <t>SÖDERMANLANDS LÄN</t>
        </is>
      </c>
      <c r="E4164" t="inlineStr">
        <is>
          <t>KATRINEHOLM</t>
        </is>
      </c>
      <c r="G4164" t="n">
        <v>9.800000000000001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6570-2023</t>
        </is>
      </c>
      <c r="B4165" s="1" t="n">
        <v>44963</v>
      </c>
      <c r="C4165" s="1" t="n">
        <v>45182</v>
      </c>
      <c r="D4165" t="inlineStr">
        <is>
          <t>SÖDERMANLANDS LÄN</t>
        </is>
      </c>
      <c r="E4165" t="inlineStr">
        <is>
          <t>STRÄNGNÄS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6608-2023</t>
        </is>
      </c>
      <c r="B4166" s="1" t="n">
        <v>44963</v>
      </c>
      <c r="C4166" s="1" t="n">
        <v>45182</v>
      </c>
      <c r="D4166" t="inlineStr">
        <is>
          <t>SÖDERMANLANDS LÄN</t>
        </is>
      </c>
      <c r="E4166" t="inlineStr">
        <is>
          <t>KATRINEHOLM</t>
        </is>
      </c>
      <c r="F4166" t="inlineStr">
        <is>
          <t>Övriga Aktiebolag</t>
        </is>
      </c>
      <c r="G4166" t="n">
        <v>5.8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5935-2023</t>
        </is>
      </c>
      <c r="B4167" s="1" t="n">
        <v>44963</v>
      </c>
      <c r="C4167" s="1" t="n">
        <v>45182</v>
      </c>
      <c r="D4167" t="inlineStr">
        <is>
          <t>SÖDERMANLANDS LÄN</t>
        </is>
      </c>
      <c r="E4167" t="inlineStr">
        <is>
          <t>KATRINEHOLM</t>
        </is>
      </c>
      <c r="G4167" t="n">
        <v>1.5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5970-2023</t>
        </is>
      </c>
      <c r="B4168" s="1" t="n">
        <v>44964</v>
      </c>
      <c r="C4168" s="1" t="n">
        <v>45182</v>
      </c>
      <c r="D4168" t="inlineStr">
        <is>
          <t>SÖDERMANLANDS LÄN</t>
        </is>
      </c>
      <c r="E4168" t="inlineStr">
        <is>
          <t>KATRINEHOLM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6175-2023</t>
        </is>
      </c>
      <c r="B4169" s="1" t="n">
        <v>44964</v>
      </c>
      <c r="C4169" s="1" t="n">
        <v>45182</v>
      </c>
      <c r="D4169" t="inlineStr">
        <is>
          <t>SÖDERMANLANDS LÄN</t>
        </is>
      </c>
      <c r="E4169" t="inlineStr">
        <is>
          <t>KATRINEHOLM</t>
        </is>
      </c>
      <c r="G4169" t="n">
        <v>11.2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6807-2023</t>
        </is>
      </c>
      <c r="B4170" s="1" t="n">
        <v>44964</v>
      </c>
      <c r="C4170" s="1" t="n">
        <v>45182</v>
      </c>
      <c r="D4170" t="inlineStr">
        <is>
          <t>SÖDERMANLANDS LÄN</t>
        </is>
      </c>
      <c r="E4170" t="inlineStr">
        <is>
          <t>KATRINEHOLM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6141-2023</t>
        </is>
      </c>
      <c r="B4171" s="1" t="n">
        <v>44964</v>
      </c>
      <c r="C4171" s="1" t="n">
        <v>45182</v>
      </c>
      <c r="D4171" t="inlineStr">
        <is>
          <t>SÖDERMANLANDS LÄN</t>
        </is>
      </c>
      <c r="E4171" t="inlineStr">
        <is>
          <t>NYKÖPING</t>
        </is>
      </c>
      <c r="G4171" t="n">
        <v>5.4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6810-2023</t>
        </is>
      </c>
      <c r="B4172" s="1" t="n">
        <v>44964</v>
      </c>
      <c r="C4172" s="1" t="n">
        <v>45182</v>
      </c>
      <c r="D4172" t="inlineStr">
        <is>
          <t>SÖDERMANLANDS LÄN</t>
        </is>
      </c>
      <c r="E4172" t="inlineStr">
        <is>
          <t>KATRINEHOLM</t>
        </is>
      </c>
      <c r="G4172" t="n">
        <v>0.6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6956-2023</t>
        </is>
      </c>
      <c r="B4173" s="1" t="n">
        <v>44964</v>
      </c>
      <c r="C4173" s="1" t="n">
        <v>45182</v>
      </c>
      <c r="D4173" t="inlineStr">
        <is>
          <t>SÖDERMANLANDS LÄN</t>
        </is>
      </c>
      <c r="E4173" t="inlineStr">
        <is>
          <t>ESKILSTUNA</t>
        </is>
      </c>
      <c r="G4173" t="n">
        <v>3.4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6121-2023</t>
        </is>
      </c>
      <c r="B4174" s="1" t="n">
        <v>44964</v>
      </c>
      <c r="C4174" s="1" t="n">
        <v>45182</v>
      </c>
      <c r="D4174" t="inlineStr">
        <is>
          <t>SÖDERMANLANDS LÄN</t>
        </is>
      </c>
      <c r="E4174" t="inlineStr">
        <is>
          <t>NYKÖPING</t>
        </is>
      </c>
      <c r="G4174" t="n">
        <v>10.1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6177-2023</t>
        </is>
      </c>
      <c r="B4175" s="1" t="n">
        <v>44964</v>
      </c>
      <c r="C4175" s="1" t="n">
        <v>45182</v>
      </c>
      <c r="D4175" t="inlineStr">
        <is>
          <t>SÖDERMANLANDS LÄN</t>
        </is>
      </c>
      <c r="E4175" t="inlineStr">
        <is>
          <t>ESKILSTUNA</t>
        </is>
      </c>
      <c r="G4175" t="n">
        <v>2.8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6216-2023</t>
        </is>
      </c>
      <c r="B4176" s="1" t="n">
        <v>44964</v>
      </c>
      <c r="C4176" s="1" t="n">
        <v>45182</v>
      </c>
      <c r="D4176" t="inlineStr">
        <is>
          <t>SÖDERMANLANDS LÄN</t>
        </is>
      </c>
      <c r="E4176" t="inlineStr">
        <is>
          <t>GNESTA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6808-2023</t>
        </is>
      </c>
      <c r="B4177" s="1" t="n">
        <v>44964</v>
      </c>
      <c r="C4177" s="1" t="n">
        <v>45182</v>
      </c>
      <c r="D4177" t="inlineStr">
        <is>
          <t>SÖDERMANLANDS LÄN</t>
        </is>
      </c>
      <c r="E4177" t="inlineStr">
        <is>
          <t>KATRINEHOLM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6303-2023</t>
        </is>
      </c>
      <c r="B4178" s="1" t="n">
        <v>44965</v>
      </c>
      <c r="C4178" s="1" t="n">
        <v>45182</v>
      </c>
      <c r="D4178" t="inlineStr">
        <is>
          <t>SÖDERMANLANDS LÄN</t>
        </is>
      </c>
      <c r="E4178" t="inlineStr">
        <is>
          <t>KATRINEHOLM</t>
        </is>
      </c>
      <c r="F4178" t="inlineStr">
        <is>
          <t>Allmännings- och besparingsskogar</t>
        </is>
      </c>
      <c r="G4178" t="n">
        <v>53.1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6405-2023</t>
        </is>
      </c>
      <c r="B4179" s="1" t="n">
        <v>44965</v>
      </c>
      <c r="C4179" s="1" t="n">
        <v>45182</v>
      </c>
      <c r="D4179" t="inlineStr">
        <is>
          <t>SÖDERMANLANDS LÄN</t>
        </is>
      </c>
      <c r="E4179" t="inlineStr">
        <is>
          <t>ESKILSTUNA</t>
        </is>
      </c>
      <c r="G4179" t="n">
        <v>1.5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6519-2023</t>
        </is>
      </c>
      <c r="B4180" s="1" t="n">
        <v>44965</v>
      </c>
      <c r="C4180" s="1" t="n">
        <v>45182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6348-2023</t>
        </is>
      </c>
      <c r="B4181" s="1" t="n">
        <v>44965</v>
      </c>
      <c r="C4181" s="1" t="n">
        <v>45182</v>
      </c>
      <c r="D4181" t="inlineStr">
        <is>
          <t>SÖDERMANLANDS LÄN</t>
        </is>
      </c>
      <c r="E4181" t="inlineStr">
        <is>
          <t>NYKÖPING</t>
        </is>
      </c>
      <c r="F4181" t="inlineStr">
        <is>
          <t>Kyrkan</t>
        </is>
      </c>
      <c r="G4181" t="n">
        <v>3.8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6413-2023</t>
        </is>
      </c>
      <c r="B4182" s="1" t="n">
        <v>44965</v>
      </c>
      <c r="C4182" s="1" t="n">
        <v>45182</v>
      </c>
      <c r="D4182" t="inlineStr">
        <is>
          <t>SÖDERMANLANDS LÄN</t>
        </is>
      </c>
      <c r="E4182" t="inlineStr">
        <is>
          <t>ESKILSTUNA</t>
        </is>
      </c>
      <c r="G4182" t="n">
        <v>3.4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7191-2023</t>
        </is>
      </c>
      <c r="B4183" s="1" t="n">
        <v>44965</v>
      </c>
      <c r="C4183" s="1" t="n">
        <v>45182</v>
      </c>
      <c r="D4183" t="inlineStr">
        <is>
          <t>SÖDERMANLANDS LÄN</t>
        </is>
      </c>
      <c r="E4183" t="inlineStr">
        <is>
          <t>KATRINEHOLM</t>
        </is>
      </c>
      <c r="G4183" t="n">
        <v>14.1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6325-2023</t>
        </is>
      </c>
      <c r="B4184" s="1" t="n">
        <v>44965</v>
      </c>
      <c r="C4184" s="1" t="n">
        <v>45182</v>
      </c>
      <c r="D4184" t="inlineStr">
        <is>
          <t>SÖDERMANLANDS LÄN</t>
        </is>
      </c>
      <c r="E4184" t="inlineStr">
        <is>
          <t>ESKILSTUNA</t>
        </is>
      </c>
      <c r="F4184" t="inlineStr">
        <is>
          <t>Allmännings- och besparingsskogar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6392-2023</t>
        </is>
      </c>
      <c r="B4185" s="1" t="n">
        <v>44965</v>
      </c>
      <c r="C4185" s="1" t="n">
        <v>45182</v>
      </c>
      <c r="D4185" t="inlineStr">
        <is>
          <t>SÖDERMANLANDS LÄN</t>
        </is>
      </c>
      <c r="E4185" t="inlineStr">
        <is>
          <t>NYKÖPING</t>
        </is>
      </c>
      <c r="G4185" t="n">
        <v>0.2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7106-2023</t>
        </is>
      </c>
      <c r="B4186" s="1" t="n">
        <v>44965</v>
      </c>
      <c r="C4186" s="1" t="n">
        <v>45182</v>
      </c>
      <c r="D4186" t="inlineStr">
        <is>
          <t>SÖDERMANLANDS LÄN</t>
        </is>
      </c>
      <c r="E4186" t="inlineStr">
        <is>
          <t>KATRINEHOLM</t>
        </is>
      </c>
      <c r="G4186" t="n">
        <v>9.699999999999999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7197-2023</t>
        </is>
      </c>
      <c r="B4187" s="1" t="n">
        <v>44965</v>
      </c>
      <c r="C4187" s="1" t="n">
        <v>45182</v>
      </c>
      <c r="D4187" t="inlineStr">
        <is>
          <t>SÖDERMANLANDS LÄN</t>
        </is>
      </c>
      <c r="E4187" t="inlineStr">
        <is>
          <t>KATRINEHOLM</t>
        </is>
      </c>
      <c r="G4187" t="n">
        <v>5.3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6491-2023</t>
        </is>
      </c>
      <c r="B4188" s="1" t="n">
        <v>44966</v>
      </c>
      <c r="C4188" s="1" t="n">
        <v>45182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Övriga Aktiebolag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6732-2023</t>
        </is>
      </c>
      <c r="B4189" s="1" t="n">
        <v>44966</v>
      </c>
      <c r="C4189" s="1" t="n">
        <v>45182</v>
      </c>
      <c r="D4189" t="inlineStr">
        <is>
          <t>SÖDERMANLANDS LÄN</t>
        </is>
      </c>
      <c r="E4189" t="inlineStr">
        <is>
          <t>ESKILSTUNA</t>
        </is>
      </c>
      <c r="G4189" t="n">
        <v>2.6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7399-2023</t>
        </is>
      </c>
      <c r="B4190" s="1" t="n">
        <v>44966</v>
      </c>
      <c r="C4190" s="1" t="n">
        <v>45182</v>
      </c>
      <c r="D4190" t="inlineStr">
        <is>
          <t>SÖDERMANLANDS LÄN</t>
        </is>
      </c>
      <c r="E4190" t="inlineStr">
        <is>
          <t>FLEN</t>
        </is>
      </c>
      <c r="G4190" t="n">
        <v>5.5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6725-2023</t>
        </is>
      </c>
      <c r="B4191" s="1" t="n">
        <v>44966</v>
      </c>
      <c r="C4191" s="1" t="n">
        <v>45182</v>
      </c>
      <c r="D4191" t="inlineStr">
        <is>
          <t>SÖDERMANLANDS LÄN</t>
        </is>
      </c>
      <c r="E4191" t="inlineStr">
        <is>
          <t>ESKILSTUNA</t>
        </is>
      </c>
      <c r="G4191" t="n">
        <v>2.4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6734-2023</t>
        </is>
      </c>
      <c r="B4192" s="1" t="n">
        <v>44966</v>
      </c>
      <c r="C4192" s="1" t="n">
        <v>45182</v>
      </c>
      <c r="D4192" t="inlineStr">
        <is>
          <t>SÖDERMANLANDS LÄN</t>
        </is>
      </c>
      <c r="E4192" t="inlineStr">
        <is>
          <t>ESKILSTUNA</t>
        </is>
      </c>
      <c r="G4192" t="n">
        <v>3.7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6730-2023</t>
        </is>
      </c>
      <c r="B4193" s="1" t="n">
        <v>44966</v>
      </c>
      <c r="C4193" s="1" t="n">
        <v>45182</v>
      </c>
      <c r="D4193" t="inlineStr">
        <is>
          <t>SÖDERMANLANDS LÄN</t>
        </is>
      </c>
      <c r="E4193" t="inlineStr">
        <is>
          <t>ESKILSTUNA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6739-2023</t>
        </is>
      </c>
      <c r="B4194" s="1" t="n">
        <v>44966</v>
      </c>
      <c r="C4194" s="1" t="n">
        <v>45182</v>
      </c>
      <c r="D4194" t="inlineStr">
        <is>
          <t>SÖDERMANLANDS LÄN</t>
        </is>
      </c>
      <c r="E4194" t="inlineStr">
        <is>
          <t>ESKILSTUNA</t>
        </is>
      </c>
      <c r="G4194" t="n">
        <v>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6976-2023</t>
        </is>
      </c>
      <c r="B4195" s="1" t="n">
        <v>44967</v>
      </c>
      <c r="C4195" s="1" t="n">
        <v>45182</v>
      </c>
      <c r="D4195" t="inlineStr">
        <is>
          <t>SÖDERMANLANDS LÄN</t>
        </is>
      </c>
      <c r="E4195" t="inlineStr">
        <is>
          <t>NYKÖPING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6817-2023</t>
        </is>
      </c>
      <c r="B4196" s="1" t="n">
        <v>44967</v>
      </c>
      <c r="C4196" s="1" t="n">
        <v>45182</v>
      </c>
      <c r="D4196" t="inlineStr">
        <is>
          <t>SÖDERMANLANDS LÄN</t>
        </is>
      </c>
      <c r="E4196" t="inlineStr">
        <is>
          <t>NYKÖPING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7036-2023</t>
        </is>
      </c>
      <c r="B4197" s="1" t="n">
        <v>44968</v>
      </c>
      <c r="C4197" s="1" t="n">
        <v>45182</v>
      </c>
      <c r="D4197" t="inlineStr">
        <is>
          <t>SÖDERMANLANDS LÄN</t>
        </is>
      </c>
      <c r="E4197" t="inlineStr">
        <is>
          <t>NYKÖPING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7704-2023</t>
        </is>
      </c>
      <c r="B4198" s="1" t="n">
        <v>44968</v>
      </c>
      <c r="C4198" s="1" t="n">
        <v>45182</v>
      </c>
      <c r="D4198" t="inlineStr">
        <is>
          <t>SÖDERMANLANDS LÄN</t>
        </is>
      </c>
      <c r="E4198" t="inlineStr">
        <is>
          <t>KATRINEHOLM</t>
        </is>
      </c>
      <c r="G4198" t="n">
        <v>7.3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7154-2023</t>
        </is>
      </c>
      <c r="B4199" s="1" t="n">
        <v>44970</v>
      </c>
      <c r="C4199" s="1" t="n">
        <v>45182</v>
      </c>
      <c r="D4199" t="inlineStr">
        <is>
          <t>SÖDERMANLANDS LÄN</t>
        </is>
      </c>
      <c r="E4199" t="inlineStr">
        <is>
          <t>VINGÅKER</t>
        </is>
      </c>
      <c r="G4199" t="n">
        <v>2.9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7194-2023</t>
        </is>
      </c>
      <c r="B4200" s="1" t="n">
        <v>44970</v>
      </c>
      <c r="C4200" s="1" t="n">
        <v>45182</v>
      </c>
      <c r="D4200" t="inlineStr">
        <is>
          <t>SÖDERMANLANDS LÄN</t>
        </is>
      </c>
      <c r="E4200" t="inlineStr">
        <is>
          <t>FLEN</t>
        </is>
      </c>
      <c r="G4200" t="n">
        <v>2.1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7292-2023</t>
        </is>
      </c>
      <c r="B4201" s="1" t="n">
        <v>44970</v>
      </c>
      <c r="C4201" s="1" t="n">
        <v>45182</v>
      </c>
      <c r="D4201" t="inlineStr">
        <is>
          <t>SÖDERMANLANDS LÄN</t>
        </is>
      </c>
      <c r="E4201" t="inlineStr">
        <is>
          <t>GNESTA</t>
        </is>
      </c>
      <c r="G4201" t="n">
        <v>3.1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7163-2023</t>
        </is>
      </c>
      <c r="B4202" s="1" t="n">
        <v>44970</v>
      </c>
      <c r="C4202" s="1" t="n">
        <v>45182</v>
      </c>
      <c r="D4202" t="inlineStr">
        <is>
          <t>SÖDERMANLANDS LÄN</t>
        </is>
      </c>
      <c r="E4202" t="inlineStr">
        <is>
          <t>FLEN</t>
        </is>
      </c>
      <c r="F4202" t="inlineStr">
        <is>
          <t>Kommuner</t>
        </is>
      </c>
      <c r="G4202" t="n">
        <v>11.2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7223-2023</t>
        </is>
      </c>
      <c r="B4203" s="1" t="n">
        <v>44970</v>
      </c>
      <c r="C4203" s="1" t="n">
        <v>45182</v>
      </c>
      <c r="D4203" t="inlineStr">
        <is>
          <t>SÖDERMANLANDS LÄN</t>
        </is>
      </c>
      <c r="E4203" t="inlineStr">
        <is>
          <t>NYKÖPING</t>
        </is>
      </c>
      <c r="F4203" t="inlineStr">
        <is>
          <t>Holmen skog AB</t>
        </is>
      </c>
      <c r="G4203" t="n">
        <v>3.2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7861-2023</t>
        </is>
      </c>
      <c r="B4204" s="1" t="n">
        <v>44970</v>
      </c>
      <c r="C4204" s="1" t="n">
        <v>45182</v>
      </c>
      <c r="D4204" t="inlineStr">
        <is>
          <t>SÖDERMANLANDS LÄN</t>
        </is>
      </c>
      <c r="E4204" t="inlineStr">
        <is>
          <t>NYKÖPING</t>
        </is>
      </c>
      <c r="G4204" t="n">
        <v>2.3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7156-2023</t>
        </is>
      </c>
      <c r="B4205" s="1" t="n">
        <v>44970</v>
      </c>
      <c r="C4205" s="1" t="n">
        <v>45182</v>
      </c>
      <c r="D4205" t="inlineStr">
        <is>
          <t>SÖDERMANLANDS LÄN</t>
        </is>
      </c>
      <c r="E4205" t="inlineStr">
        <is>
          <t>KATRINEHOLM</t>
        </is>
      </c>
      <c r="F4205" t="inlineStr">
        <is>
          <t>Övriga Aktiebolag</t>
        </is>
      </c>
      <c r="G4205" t="n">
        <v>2.4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7322-2023</t>
        </is>
      </c>
      <c r="B4206" s="1" t="n">
        <v>44970</v>
      </c>
      <c r="C4206" s="1" t="n">
        <v>45182</v>
      </c>
      <c r="D4206" t="inlineStr">
        <is>
          <t>SÖDERMANLANDS LÄN</t>
        </is>
      </c>
      <c r="E4206" t="inlineStr">
        <is>
          <t>KATRINEHOLM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7374-2023</t>
        </is>
      </c>
      <c r="B4207" s="1" t="n">
        <v>44971</v>
      </c>
      <c r="C4207" s="1" t="n">
        <v>45182</v>
      </c>
      <c r="D4207" t="inlineStr">
        <is>
          <t>SÖDERMANLANDS LÄN</t>
        </is>
      </c>
      <c r="E4207" t="inlineStr">
        <is>
          <t>FLEN</t>
        </is>
      </c>
      <c r="G4207" t="n">
        <v>6.2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7644-2023</t>
        </is>
      </c>
      <c r="B4208" s="1" t="n">
        <v>44972</v>
      </c>
      <c r="C4208" s="1" t="n">
        <v>45182</v>
      </c>
      <c r="D4208" t="inlineStr">
        <is>
          <t>SÖDERMANLANDS LÄN</t>
        </is>
      </c>
      <c r="E4208" t="inlineStr">
        <is>
          <t>GNESTA</t>
        </is>
      </c>
      <c r="G4208" t="n">
        <v>2.3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7653-2023</t>
        </is>
      </c>
      <c r="B4209" s="1" t="n">
        <v>44972</v>
      </c>
      <c r="C4209" s="1" t="n">
        <v>45182</v>
      </c>
      <c r="D4209" t="inlineStr">
        <is>
          <t>SÖDERMANLANDS LÄN</t>
        </is>
      </c>
      <c r="E4209" t="inlineStr">
        <is>
          <t>GNESTA</t>
        </is>
      </c>
      <c r="G4209" t="n">
        <v>1.5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7669-2023</t>
        </is>
      </c>
      <c r="B4210" s="1" t="n">
        <v>44972</v>
      </c>
      <c r="C4210" s="1" t="n">
        <v>45182</v>
      </c>
      <c r="D4210" t="inlineStr">
        <is>
          <t>SÖDERMANLANDS LÄN</t>
        </is>
      </c>
      <c r="E4210" t="inlineStr">
        <is>
          <t>GNESTA</t>
        </is>
      </c>
      <c r="G4210" t="n">
        <v>5.2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7681-2023</t>
        </is>
      </c>
      <c r="B4211" s="1" t="n">
        <v>44972</v>
      </c>
      <c r="C4211" s="1" t="n">
        <v>45182</v>
      </c>
      <c r="D4211" t="inlineStr">
        <is>
          <t>SÖDERMANLANDS LÄN</t>
        </is>
      </c>
      <c r="E4211" t="inlineStr">
        <is>
          <t>GNESTA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7735-2023</t>
        </is>
      </c>
      <c r="B4212" s="1" t="n">
        <v>44973</v>
      </c>
      <c r="C4212" s="1" t="n">
        <v>45182</v>
      </c>
      <c r="D4212" t="inlineStr">
        <is>
          <t>SÖDERMANLANDS LÄN</t>
        </is>
      </c>
      <c r="E4212" t="inlineStr">
        <is>
          <t>GNESTA</t>
        </is>
      </c>
      <c r="G4212" t="n">
        <v>1.9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7794-2023</t>
        </is>
      </c>
      <c r="B4213" s="1" t="n">
        <v>44973</v>
      </c>
      <c r="C4213" s="1" t="n">
        <v>45182</v>
      </c>
      <c r="D4213" t="inlineStr">
        <is>
          <t>SÖDERMANLANDS LÄN</t>
        </is>
      </c>
      <c r="E4213" t="inlineStr">
        <is>
          <t>GNESTA</t>
        </is>
      </c>
      <c r="G4213" t="n">
        <v>10.2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7803-2023</t>
        </is>
      </c>
      <c r="B4214" s="1" t="n">
        <v>44973</v>
      </c>
      <c r="C4214" s="1" t="n">
        <v>45182</v>
      </c>
      <c r="D4214" t="inlineStr">
        <is>
          <t>SÖDERMANLANDS LÄN</t>
        </is>
      </c>
      <c r="E4214" t="inlineStr">
        <is>
          <t>GNESTA</t>
        </is>
      </c>
      <c r="G4214" t="n">
        <v>7.3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8013-2023</t>
        </is>
      </c>
      <c r="B4215" s="1" t="n">
        <v>44973</v>
      </c>
      <c r="C4215" s="1" t="n">
        <v>45182</v>
      </c>
      <c r="D4215" t="inlineStr">
        <is>
          <t>SÖDERMANLANDS LÄN</t>
        </is>
      </c>
      <c r="E4215" t="inlineStr">
        <is>
          <t>GNESTA</t>
        </is>
      </c>
      <c r="G4215" t="n">
        <v>10.6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8018-2023</t>
        </is>
      </c>
      <c r="B4216" s="1" t="n">
        <v>44973</v>
      </c>
      <c r="C4216" s="1" t="n">
        <v>45182</v>
      </c>
      <c r="D4216" t="inlineStr">
        <is>
          <t>SÖDERMANLANDS LÄN</t>
        </is>
      </c>
      <c r="E4216" t="inlineStr">
        <is>
          <t>GNESTA</t>
        </is>
      </c>
      <c r="G4216" t="n">
        <v>3.6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7777-2023</t>
        </is>
      </c>
      <c r="B4217" s="1" t="n">
        <v>44973</v>
      </c>
      <c r="C4217" s="1" t="n">
        <v>45182</v>
      </c>
      <c r="D4217" t="inlineStr">
        <is>
          <t>SÖDERMANLANDS LÄN</t>
        </is>
      </c>
      <c r="E4217" t="inlineStr">
        <is>
          <t>GNESTA</t>
        </is>
      </c>
      <c r="G4217" t="n">
        <v>5.4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7729-2023</t>
        </is>
      </c>
      <c r="B4218" s="1" t="n">
        <v>44973</v>
      </c>
      <c r="C4218" s="1" t="n">
        <v>45182</v>
      </c>
      <c r="D4218" t="inlineStr">
        <is>
          <t>SÖDERMANLANDS LÄN</t>
        </is>
      </c>
      <c r="E4218" t="inlineStr">
        <is>
          <t>NYKÖPING</t>
        </is>
      </c>
      <c r="F4218" t="inlineStr">
        <is>
          <t>Holmen skog AB</t>
        </is>
      </c>
      <c r="G4218" t="n">
        <v>6.5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7748-2023</t>
        </is>
      </c>
      <c r="B4219" s="1" t="n">
        <v>44973</v>
      </c>
      <c r="C4219" s="1" t="n">
        <v>45182</v>
      </c>
      <c r="D4219" t="inlineStr">
        <is>
          <t>SÖDERMANLANDS LÄN</t>
        </is>
      </c>
      <c r="E4219" t="inlineStr">
        <is>
          <t>GNESTA</t>
        </is>
      </c>
      <c r="G4219" t="n">
        <v>3.3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7785-2023</t>
        </is>
      </c>
      <c r="B4220" s="1" t="n">
        <v>44973</v>
      </c>
      <c r="C4220" s="1" t="n">
        <v>45182</v>
      </c>
      <c r="D4220" t="inlineStr">
        <is>
          <t>SÖDERMANLANDS LÄN</t>
        </is>
      </c>
      <c r="E4220" t="inlineStr">
        <is>
          <t>GNESTA</t>
        </is>
      </c>
      <c r="G4220" t="n">
        <v>2.6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8106-2023</t>
        </is>
      </c>
      <c r="B4221" s="1" t="n">
        <v>44974</v>
      </c>
      <c r="C4221" s="1" t="n">
        <v>45182</v>
      </c>
      <c r="D4221" t="inlineStr">
        <is>
          <t>SÖDERMANLANDS LÄN</t>
        </is>
      </c>
      <c r="E4221" t="inlineStr">
        <is>
          <t>KATRINEHOLM</t>
        </is>
      </c>
      <c r="G4221" t="n">
        <v>4.4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8288-2023</t>
        </is>
      </c>
      <c r="B4222" s="1" t="n">
        <v>44974</v>
      </c>
      <c r="C4222" s="1" t="n">
        <v>45182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5.6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8298-2023</t>
        </is>
      </c>
      <c r="B4223" s="1" t="n">
        <v>44974</v>
      </c>
      <c r="C4223" s="1" t="n">
        <v>45182</v>
      </c>
      <c r="D4223" t="inlineStr">
        <is>
          <t>SÖDERMANLANDS LÄN</t>
        </is>
      </c>
      <c r="E4223" t="inlineStr">
        <is>
          <t>KATRINEHOLM</t>
        </is>
      </c>
      <c r="F4223" t="inlineStr">
        <is>
          <t>Allmännings- och besparingsskogar</t>
        </is>
      </c>
      <c r="G4223" t="n">
        <v>33.4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8340-2023</t>
        </is>
      </c>
      <c r="B4224" s="1" t="n">
        <v>44976</v>
      </c>
      <c r="C4224" s="1" t="n">
        <v>45182</v>
      </c>
      <c r="D4224" t="inlineStr">
        <is>
          <t>SÖDERMANLANDS LÄN</t>
        </is>
      </c>
      <c r="E4224" t="inlineStr">
        <is>
          <t>NYKÖPING</t>
        </is>
      </c>
      <c r="G4224" t="n">
        <v>0.4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9200-2023</t>
        </is>
      </c>
      <c r="B4225" s="1" t="n">
        <v>44976</v>
      </c>
      <c r="C4225" s="1" t="n">
        <v>45182</v>
      </c>
      <c r="D4225" t="inlineStr">
        <is>
          <t>SÖDERMANLANDS LÄN</t>
        </is>
      </c>
      <c r="E4225" t="inlineStr">
        <is>
          <t>NYKÖPING</t>
        </is>
      </c>
      <c r="G4225" t="n">
        <v>11.1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8407-2023</t>
        </is>
      </c>
      <c r="B4226" s="1" t="n">
        <v>44977</v>
      </c>
      <c r="C4226" s="1" t="n">
        <v>45182</v>
      </c>
      <c r="D4226" t="inlineStr">
        <is>
          <t>SÖDERMANLANDS LÄN</t>
        </is>
      </c>
      <c r="E4226" t="inlineStr">
        <is>
          <t>NYKÖPING</t>
        </is>
      </c>
      <c r="F4226" t="inlineStr">
        <is>
          <t>Övriga Aktiebolag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8457-2023</t>
        </is>
      </c>
      <c r="B4227" s="1" t="n">
        <v>44977</v>
      </c>
      <c r="C4227" s="1" t="n">
        <v>45182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16.1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8573-2023</t>
        </is>
      </c>
      <c r="B4228" s="1" t="n">
        <v>44977</v>
      </c>
      <c r="C4228" s="1" t="n">
        <v>45182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0.6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8421-2023</t>
        </is>
      </c>
      <c r="B4229" s="1" t="n">
        <v>44977</v>
      </c>
      <c r="C4229" s="1" t="n">
        <v>45182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1.3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8466-2023</t>
        </is>
      </c>
      <c r="B4230" s="1" t="n">
        <v>44977</v>
      </c>
      <c r="C4230" s="1" t="n">
        <v>45182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3.7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8497-2023</t>
        </is>
      </c>
      <c r="B4231" s="1" t="n">
        <v>44977</v>
      </c>
      <c r="C4231" s="1" t="n">
        <v>45182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2.2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8503-2023</t>
        </is>
      </c>
      <c r="B4232" s="1" t="n">
        <v>44977</v>
      </c>
      <c r="C4232" s="1" t="n">
        <v>45182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8511-2023</t>
        </is>
      </c>
      <c r="B4233" s="1" t="n">
        <v>44977</v>
      </c>
      <c r="C4233" s="1" t="n">
        <v>45182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8518-2023</t>
        </is>
      </c>
      <c r="B4234" s="1" t="n">
        <v>44977</v>
      </c>
      <c r="C4234" s="1" t="n">
        <v>45182</v>
      </c>
      <c r="D4234" t="inlineStr">
        <is>
          <t>SÖDERMANLANDS LÄN</t>
        </is>
      </c>
      <c r="E4234" t="inlineStr">
        <is>
          <t>KATRINEHOLM</t>
        </is>
      </c>
      <c r="F4234" t="inlineStr">
        <is>
          <t>Allmännings- och besparingsskogar</t>
        </is>
      </c>
      <c r="G4234" t="n">
        <v>35.3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8533-2023</t>
        </is>
      </c>
      <c r="B4235" s="1" t="n">
        <v>44977</v>
      </c>
      <c r="C4235" s="1" t="n">
        <v>45182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8585-2023</t>
        </is>
      </c>
      <c r="B4236" s="1" t="n">
        <v>44977</v>
      </c>
      <c r="C4236" s="1" t="n">
        <v>45182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8607-2023</t>
        </is>
      </c>
      <c r="B4237" s="1" t="n">
        <v>44977</v>
      </c>
      <c r="C4237" s="1" t="n">
        <v>45182</v>
      </c>
      <c r="D4237" t="inlineStr">
        <is>
          <t>SÖDERMANLANDS LÄN</t>
        </is>
      </c>
      <c r="E4237" t="inlineStr">
        <is>
          <t>FLEN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8458-2023</t>
        </is>
      </c>
      <c r="B4238" s="1" t="n">
        <v>44977</v>
      </c>
      <c r="C4238" s="1" t="n">
        <v>45182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8475-2023</t>
        </is>
      </c>
      <c r="B4239" s="1" t="n">
        <v>44977</v>
      </c>
      <c r="C4239" s="1" t="n">
        <v>45182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8.1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8428-2023</t>
        </is>
      </c>
      <c r="B4240" s="1" t="n">
        <v>44977</v>
      </c>
      <c r="C4240" s="1" t="n">
        <v>45182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8439-2023</t>
        </is>
      </c>
      <c r="B4241" s="1" t="n">
        <v>44977</v>
      </c>
      <c r="C4241" s="1" t="n">
        <v>45182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0.7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8522-2023</t>
        </is>
      </c>
      <c r="B4242" s="1" t="n">
        <v>44977</v>
      </c>
      <c r="C4242" s="1" t="n">
        <v>45182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8566-2023</t>
        </is>
      </c>
      <c r="B4243" s="1" t="n">
        <v>44977</v>
      </c>
      <c r="C4243" s="1" t="n">
        <v>45182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9221-2023</t>
        </is>
      </c>
      <c r="B4244" s="1" t="n">
        <v>44977</v>
      </c>
      <c r="C4244" s="1" t="n">
        <v>45182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Allmännings- och besparingsskogar</t>
        </is>
      </c>
      <c r="G4244" t="n">
        <v>20.4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8740-2023</t>
        </is>
      </c>
      <c r="B4245" s="1" t="n">
        <v>44978</v>
      </c>
      <c r="C4245" s="1" t="n">
        <v>45182</v>
      </c>
      <c r="D4245" t="inlineStr">
        <is>
          <t>SÖDERMANLANDS LÄN</t>
        </is>
      </c>
      <c r="E4245" t="inlineStr">
        <is>
          <t>ESKILSTUNA</t>
        </is>
      </c>
      <c r="F4245" t="inlineStr">
        <is>
          <t>Övriga Aktiebolag</t>
        </is>
      </c>
      <c r="G4245" t="n">
        <v>1.1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8791-2023</t>
        </is>
      </c>
      <c r="B4246" s="1" t="n">
        <v>44978</v>
      </c>
      <c r="C4246" s="1" t="n">
        <v>45182</v>
      </c>
      <c r="D4246" t="inlineStr">
        <is>
          <t>SÖDERMANLANDS LÄN</t>
        </is>
      </c>
      <c r="E4246" t="inlineStr">
        <is>
          <t>KATRINEHOLM</t>
        </is>
      </c>
      <c r="G4246" t="n">
        <v>1.4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8717-2023</t>
        </is>
      </c>
      <c r="B4247" s="1" t="n">
        <v>44978</v>
      </c>
      <c r="C4247" s="1" t="n">
        <v>45182</v>
      </c>
      <c r="D4247" t="inlineStr">
        <is>
          <t>SÖDERMANLANDS LÄN</t>
        </is>
      </c>
      <c r="E4247" t="inlineStr">
        <is>
          <t>KATRINEHOLM</t>
        </is>
      </c>
      <c r="G4247" t="n">
        <v>17.5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8751-2023</t>
        </is>
      </c>
      <c r="B4248" s="1" t="n">
        <v>44978</v>
      </c>
      <c r="C4248" s="1" t="n">
        <v>45182</v>
      </c>
      <c r="D4248" t="inlineStr">
        <is>
          <t>SÖDERMANLANDS LÄN</t>
        </is>
      </c>
      <c r="E4248" t="inlineStr">
        <is>
          <t>NYKÖPING</t>
        </is>
      </c>
      <c r="G4248" t="n">
        <v>6.5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8763-2023</t>
        </is>
      </c>
      <c r="B4249" s="1" t="n">
        <v>44978</v>
      </c>
      <c r="C4249" s="1" t="n">
        <v>45182</v>
      </c>
      <c r="D4249" t="inlineStr">
        <is>
          <t>SÖDERMANLANDS LÄN</t>
        </is>
      </c>
      <c r="E4249" t="inlineStr">
        <is>
          <t>NYKÖPING</t>
        </is>
      </c>
      <c r="G4249" t="n">
        <v>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9491-2023</t>
        </is>
      </c>
      <c r="B4250" s="1" t="n">
        <v>44978</v>
      </c>
      <c r="C4250" s="1" t="n">
        <v>45182</v>
      </c>
      <c r="D4250" t="inlineStr">
        <is>
          <t>SÖDERMANLANDS LÄN</t>
        </is>
      </c>
      <c r="E4250" t="inlineStr">
        <is>
          <t>NYKÖPING</t>
        </is>
      </c>
      <c r="G4250" t="n">
        <v>2.6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8996-2023</t>
        </is>
      </c>
      <c r="B4251" s="1" t="n">
        <v>44979</v>
      </c>
      <c r="C4251" s="1" t="n">
        <v>45182</v>
      </c>
      <c r="D4251" t="inlineStr">
        <is>
          <t>SÖDERMANLANDS LÄN</t>
        </is>
      </c>
      <c r="E4251" t="inlineStr">
        <is>
          <t>ESKILSTUNA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9034-2023</t>
        </is>
      </c>
      <c r="B4252" s="1" t="n">
        <v>44979</v>
      </c>
      <c r="C4252" s="1" t="n">
        <v>45182</v>
      </c>
      <c r="D4252" t="inlineStr">
        <is>
          <t>SÖDERMANLANDS LÄN</t>
        </is>
      </c>
      <c r="E4252" t="inlineStr">
        <is>
          <t>STRÄNGNÄS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9894-2023</t>
        </is>
      </c>
      <c r="B4253" s="1" t="n">
        <v>44979</v>
      </c>
      <c r="C4253" s="1" t="n">
        <v>45182</v>
      </c>
      <c r="D4253" t="inlineStr">
        <is>
          <t>SÖDERMANLANDS LÄN</t>
        </is>
      </c>
      <c r="E4253" t="inlineStr">
        <is>
          <t>FLEN</t>
        </is>
      </c>
      <c r="G4253" t="n">
        <v>0.6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9889-2023</t>
        </is>
      </c>
      <c r="B4254" s="1" t="n">
        <v>44979</v>
      </c>
      <c r="C4254" s="1" t="n">
        <v>45182</v>
      </c>
      <c r="D4254" t="inlineStr">
        <is>
          <t>SÖDERMANLANDS LÄN</t>
        </is>
      </c>
      <c r="E4254" t="inlineStr">
        <is>
          <t>FLEN</t>
        </is>
      </c>
      <c r="G4254" t="n">
        <v>3.4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9066-2023</t>
        </is>
      </c>
      <c r="B4255" s="1" t="n">
        <v>44979</v>
      </c>
      <c r="C4255" s="1" t="n">
        <v>45182</v>
      </c>
      <c r="D4255" t="inlineStr">
        <is>
          <t>SÖDERMANLANDS LÄN</t>
        </is>
      </c>
      <c r="E4255" t="inlineStr">
        <is>
          <t>NYKÖPING</t>
        </is>
      </c>
      <c r="G4255" t="n">
        <v>26.7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9019-2023</t>
        </is>
      </c>
      <c r="B4256" s="1" t="n">
        <v>44979</v>
      </c>
      <c r="C4256" s="1" t="n">
        <v>45182</v>
      </c>
      <c r="D4256" t="inlineStr">
        <is>
          <t>SÖDERMANLANDS LÄN</t>
        </is>
      </c>
      <c r="E4256" t="inlineStr">
        <is>
          <t>NYKÖPING</t>
        </is>
      </c>
      <c r="F4256" t="inlineStr">
        <is>
          <t>Övriga Aktiebolag</t>
        </is>
      </c>
      <c r="G4256" t="n">
        <v>2.1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10154-2023</t>
        </is>
      </c>
      <c r="B4257" s="1" t="n">
        <v>44979</v>
      </c>
      <c r="C4257" s="1" t="n">
        <v>45182</v>
      </c>
      <c r="D4257" t="inlineStr">
        <is>
          <t>SÖDERMANLANDS LÄN</t>
        </is>
      </c>
      <c r="E4257" t="inlineStr">
        <is>
          <t>VINGÅKER</t>
        </is>
      </c>
      <c r="G4257" t="n">
        <v>8.5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9167-2023</t>
        </is>
      </c>
      <c r="B4258" s="1" t="n">
        <v>44980</v>
      </c>
      <c r="C4258" s="1" t="n">
        <v>45182</v>
      </c>
      <c r="D4258" t="inlineStr">
        <is>
          <t>SÖDERMANLANDS LÄN</t>
        </is>
      </c>
      <c r="E4258" t="inlineStr">
        <is>
          <t>NYKÖPING</t>
        </is>
      </c>
      <c r="G4258" t="n">
        <v>6.9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9178-2023</t>
        </is>
      </c>
      <c r="B4259" s="1" t="n">
        <v>44980</v>
      </c>
      <c r="C4259" s="1" t="n">
        <v>45182</v>
      </c>
      <c r="D4259" t="inlineStr">
        <is>
          <t>SÖDERMANLANDS LÄN</t>
        </is>
      </c>
      <c r="E4259" t="inlineStr">
        <is>
          <t>GNESTA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9207-2023</t>
        </is>
      </c>
      <c r="B4260" s="1" t="n">
        <v>44980</v>
      </c>
      <c r="C4260" s="1" t="n">
        <v>45182</v>
      </c>
      <c r="D4260" t="inlineStr">
        <is>
          <t>SÖDERMANLANDS LÄN</t>
        </is>
      </c>
      <c r="E4260" t="inlineStr">
        <is>
          <t>KATRINEHOLM</t>
        </is>
      </c>
      <c r="F4260" t="inlineStr">
        <is>
          <t>Övriga Aktiebolag</t>
        </is>
      </c>
      <c r="G4260" t="n">
        <v>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9232-2023</t>
        </is>
      </c>
      <c r="B4261" s="1" t="n">
        <v>44980</v>
      </c>
      <c r="C4261" s="1" t="n">
        <v>45182</v>
      </c>
      <c r="D4261" t="inlineStr">
        <is>
          <t>SÖDERMANLANDS LÄN</t>
        </is>
      </c>
      <c r="E4261" t="inlineStr">
        <is>
          <t>STRÄNGNÄS</t>
        </is>
      </c>
      <c r="G4261" t="n">
        <v>2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9237-2023</t>
        </is>
      </c>
      <c r="B4262" s="1" t="n">
        <v>44980</v>
      </c>
      <c r="C4262" s="1" t="n">
        <v>45182</v>
      </c>
      <c r="D4262" t="inlineStr">
        <is>
          <t>SÖDERMANLANDS LÄN</t>
        </is>
      </c>
      <c r="E4262" t="inlineStr">
        <is>
          <t>STRÄNGNÄS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9325-2023</t>
        </is>
      </c>
      <c r="B4263" s="1" t="n">
        <v>44980</v>
      </c>
      <c r="C4263" s="1" t="n">
        <v>45182</v>
      </c>
      <c r="D4263" t="inlineStr">
        <is>
          <t>SÖDERMANLANDS LÄN</t>
        </is>
      </c>
      <c r="E4263" t="inlineStr">
        <is>
          <t>GNESTA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9257-2023</t>
        </is>
      </c>
      <c r="B4264" s="1" t="n">
        <v>44980</v>
      </c>
      <c r="C4264" s="1" t="n">
        <v>45182</v>
      </c>
      <c r="D4264" t="inlineStr">
        <is>
          <t>SÖDERMANLANDS LÄN</t>
        </is>
      </c>
      <c r="E4264" t="inlineStr">
        <is>
          <t>FLEN</t>
        </is>
      </c>
      <c r="G4264" t="n">
        <v>3.5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9303-2023</t>
        </is>
      </c>
      <c r="B4265" s="1" t="n">
        <v>44980</v>
      </c>
      <c r="C4265" s="1" t="n">
        <v>45182</v>
      </c>
      <c r="D4265" t="inlineStr">
        <is>
          <t>SÖDERMANLANDS LÄN</t>
        </is>
      </c>
      <c r="E4265" t="inlineStr">
        <is>
          <t>GNESTA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9192-2023</t>
        </is>
      </c>
      <c r="B4266" s="1" t="n">
        <v>44980</v>
      </c>
      <c r="C4266" s="1" t="n">
        <v>45182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9234-2023</t>
        </is>
      </c>
      <c r="B4267" s="1" t="n">
        <v>44980</v>
      </c>
      <c r="C4267" s="1" t="n">
        <v>45182</v>
      </c>
      <c r="D4267" t="inlineStr">
        <is>
          <t>SÖDERMANLANDS LÄN</t>
        </is>
      </c>
      <c r="E4267" t="inlineStr">
        <is>
          <t>STRÄNGNÄS</t>
        </is>
      </c>
      <c r="G4267" t="n">
        <v>3.7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9598-2023</t>
        </is>
      </c>
      <c r="B4268" s="1" t="n">
        <v>44983</v>
      </c>
      <c r="C4268" s="1" t="n">
        <v>45182</v>
      </c>
      <c r="D4268" t="inlineStr">
        <is>
          <t>SÖDERMANLANDS LÄN</t>
        </is>
      </c>
      <c r="E4268" t="inlineStr">
        <is>
          <t>ESKILSTUNA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9899-2023</t>
        </is>
      </c>
      <c r="B4269" s="1" t="n">
        <v>44985</v>
      </c>
      <c r="C4269" s="1" t="n">
        <v>45182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Allmännings- och besparingsskogar</t>
        </is>
      </c>
      <c r="G4269" t="n">
        <v>8.300000000000001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10932-2023</t>
        </is>
      </c>
      <c r="B4270" s="1" t="n">
        <v>44985</v>
      </c>
      <c r="C4270" s="1" t="n">
        <v>45182</v>
      </c>
      <c r="D4270" t="inlineStr">
        <is>
          <t>SÖDERMANLANDS LÄN</t>
        </is>
      </c>
      <c r="E4270" t="inlineStr">
        <is>
          <t>KATRINEHOLM</t>
        </is>
      </c>
      <c r="G4270" t="n">
        <v>1.8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9941-2023</t>
        </is>
      </c>
      <c r="B4271" s="1" t="n">
        <v>44985</v>
      </c>
      <c r="C4271" s="1" t="n">
        <v>45182</v>
      </c>
      <c r="D4271" t="inlineStr">
        <is>
          <t>SÖDERMANLANDS LÄN</t>
        </is>
      </c>
      <c r="E4271" t="inlineStr">
        <is>
          <t>FLEN</t>
        </is>
      </c>
      <c r="F4271" t="inlineStr">
        <is>
          <t>Holmen skog AB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10754-2023</t>
        </is>
      </c>
      <c r="B4272" s="1" t="n">
        <v>44985</v>
      </c>
      <c r="C4272" s="1" t="n">
        <v>45182</v>
      </c>
      <c r="D4272" t="inlineStr">
        <is>
          <t>SÖDERMANLANDS LÄN</t>
        </is>
      </c>
      <c r="E4272" t="inlineStr">
        <is>
          <t>ESKILSTUNA</t>
        </is>
      </c>
      <c r="G4272" t="n">
        <v>2.5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10908-2023</t>
        </is>
      </c>
      <c r="B4273" s="1" t="n">
        <v>44985</v>
      </c>
      <c r="C4273" s="1" t="n">
        <v>45182</v>
      </c>
      <c r="D4273" t="inlineStr">
        <is>
          <t>SÖDERMANLANDS LÄN</t>
        </is>
      </c>
      <c r="E4273" t="inlineStr">
        <is>
          <t>ESKILSTUNA</t>
        </is>
      </c>
      <c r="G4273" t="n">
        <v>5.3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10938-2023</t>
        </is>
      </c>
      <c r="B4274" s="1" t="n">
        <v>44985</v>
      </c>
      <c r="C4274" s="1" t="n">
        <v>45182</v>
      </c>
      <c r="D4274" t="inlineStr">
        <is>
          <t>SÖDERMANLANDS LÄN</t>
        </is>
      </c>
      <c r="E4274" t="inlineStr">
        <is>
          <t>FLEN</t>
        </is>
      </c>
      <c r="G4274" t="n">
        <v>4.5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10110-2023</t>
        </is>
      </c>
      <c r="B4275" s="1" t="n">
        <v>44986</v>
      </c>
      <c r="C4275" s="1" t="n">
        <v>45182</v>
      </c>
      <c r="D4275" t="inlineStr">
        <is>
          <t>SÖDERMANLANDS LÄN</t>
        </is>
      </c>
      <c r="E4275" t="inlineStr">
        <is>
          <t>FLEN</t>
        </is>
      </c>
      <c r="G4275" t="n">
        <v>1.1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11123-2023</t>
        </is>
      </c>
      <c r="B4276" s="1" t="n">
        <v>44986</v>
      </c>
      <c r="C4276" s="1" t="n">
        <v>45182</v>
      </c>
      <c r="D4276" t="inlineStr">
        <is>
          <t>SÖDERMANLANDS LÄN</t>
        </is>
      </c>
      <c r="E4276" t="inlineStr">
        <is>
          <t>TROSA</t>
        </is>
      </c>
      <c r="F4276" t="inlineStr">
        <is>
          <t>Övriga statliga verk och myndigheter</t>
        </is>
      </c>
      <c r="G4276" t="n">
        <v>9.4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10350-2023</t>
        </is>
      </c>
      <c r="B4277" s="1" t="n">
        <v>44987</v>
      </c>
      <c r="C4277" s="1" t="n">
        <v>45182</v>
      </c>
      <c r="D4277" t="inlineStr">
        <is>
          <t>SÖDERMANLANDS LÄN</t>
        </is>
      </c>
      <c r="E4277" t="inlineStr">
        <is>
          <t>STRÄNGNÄS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10429-2023</t>
        </is>
      </c>
      <c r="B4278" s="1" t="n">
        <v>44987</v>
      </c>
      <c r="C4278" s="1" t="n">
        <v>45182</v>
      </c>
      <c r="D4278" t="inlineStr">
        <is>
          <t>SÖDERMANLANDS LÄN</t>
        </is>
      </c>
      <c r="E4278" t="inlineStr">
        <is>
          <t>NYKÖPING</t>
        </is>
      </c>
      <c r="G4278" t="n">
        <v>1.8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11127-2023</t>
        </is>
      </c>
      <c r="B4279" s="1" t="n">
        <v>44987</v>
      </c>
      <c r="C4279" s="1" t="n">
        <v>45182</v>
      </c>
      <c r="D4279" t="inlineStr">
        <is>
          <t>SÖDERMANLANDS LÄN</t>
        </is>
      </c>
      <c r="E4279" t="inlineStr">
        <is>
          <t>KATRINEHOLM</t>
        </is>
      </c>
      <c r="G4279" t="n">
        <v>4.3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10352-2023</t>
        </is>
      </c>
      <c r="B4280" s="1" t="n">
        <v>44987</v>
      </c>
      <c r="C4280" s="1" t="n">
        <v>45182</v>
      </c>
      <c r="D4280" t="inlineStr">
        <is>
          <t>SÖDERMANLANDS LÄN</t>
        </is>
      </c>
      <c r="E4280" t="inlineStr">
        <is>
          <t>STRÄNGNÄS</t>
        </is>
      </c>
      <c r="G4280" t="n">
        <v>0.4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10346-2023</t>
        </is>
      </c>
      <c r="B4281" s="1" t="n">
        <v>44987</v>
      </c>
      <c r="C4281" s="1" t="n">
        <v>45182</v>
      </c>
      <c r="D4281" t="inlineStr">
        <is>
          <t>SÖDERMANLANDS LÄN</t>
        </is>
      </c>
      <c r="E4281" t="inlineStr">
        <is>
          <t>STRÄNGNÄS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10565-2023</t>
        </is>
      </c>
      <c r="B4282" s="1" t="n">
        <v>44988</v>
      </c>
      <c r="C4282" s="1" t="n">
        <v>45182</v>
      </c>
      <c r="D4282" t="inlineStr">
        <is>
          <t>SÖDERMANLANDS LÄN</t>
        </is>
      </c>
      <c r="E4282" t="inlineStr">
        <is>
          <t>FLEN</t>
        </is>
      </c>
      <c r="F4282" t="inlineStr">
        <is>
          <t>Holmen skog AB</t>
        </is>
      </c>
      <c r="G4282" t="n">
        <v>1.3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10689-2023</t>
        </is>
      </c>
      <c r="B4283" s="1" t="n">
        <v>44988</v>
      </c>
      <c r="C4283" s="1" t="n">
        <v>45182</v>
      </c>
      <c r="D4283" t="inlineStr">
        <is>
          <t>SÖDERMANLANDS LÄN</t>
        </is>
      </c>
      <c r="E4283" t="inlineStr">
        <is>
          <t>NYKÖPING</t>
        </is>
      </c>
      <c r="G4283" t="n">
        <v>1.9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10612-2023</t>
        </is>
      </c>
      <c r="B4284" s="1" t="n">
        <v>44988</v>
      </c>
      <c r="C4284" s="1" t="n">
        <v>45182</v>
      </c>
      <c r="D4284" t="inlineStr">
        <is>
          <t>SÖDERMANLANDS LÄN</t>
        </is>
      </c>
      <c r="E4284" t="inlineStr">
        <is>
          <t>KATRINEHOLM</t>
        </is>
      </c>
      <c r="F4284" t="inlineStr">
        <is>
          <t>Övriga Aktiebolag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10687-2023</t>
        </is>
      </c>
      <c r="B4285" s="1" t="n">
        <v>44988</v>
      </c>
      <c r="C4285" s="1" t="n">
        <v>45182</v>
      </c>
      <c r="D4285" t="inlineStr">
        <is>
          <t>SÖDERMANLANDS LÄN</t>
        </is>
      </c>
      <c r="E4285" t="inlineStr">
        <is>
          <t>NYKÖPING</t>
        </is>
      </c>
      <c r="G4285" t="n">
        <v>2.4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11371-2023</t>
        </is>
      </c>
      <c r="B4286" s="1" t="n">
        <v>44990</v>
      </c>
      <c r="C4286" s="1" t="n">
        <v>45182</v>
      </c>
      <c r="D4286" t="inlineStr">
        <is>
          <t>SÖDERMANLANDS LÄN</t>
        </is>
      </c>
      <c r="E4286" t="inlineStr">
        <is>
          <t>VINGÅKER</t>
        </is>
      </c>
      <c r="G4286" t="n">
        <v>3.6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11376-2023</t>
        </is>
      </c>
      <c r="B4287" s="1" t="n">
        <v>44990</v>
      </c>
      <c r="C4287" s="1" t="n">
        <v>45182</v>
      </c>
      <c r="D4287" t="inlineStr">
        <is>
          <t>SÖDERMANLANDS LÄN</t>
        </is>
      </c>
      <c r="E4287" t="inlineStr">
        <is>
          <t>VINGÅKER</t>
        </is>
      </c>
      <c r="G4287" t="n">
        <v>1.1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11363-2023</t>
        </is>
      </c>
      <c r="B4288" s="1" t="n">
        <v>44990</v>
      </c>
      <c r="C4288" s="1" t="n">
        <v>45182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11357-2023</t>
        </is>
      </c>
      <c r="B4289" s="1" t="n">
        <v>44990</v>
      </c>
      <c r="C4289" s="1" t="n">
        <v>45182</v>
      </c>
      <c r="D4289" t="inlineStr">
        <is>
          <t>SÖDERMANLANDS LÄN</t>
        </is>
      </c>
      <c r="E4289" t="inlineStr">
        <is>
          <t>NYKÖPING</t>
        </is>
      </c>
      <c r="F4289" t="inlineStr">
        <is>
          <t>Allmännings- och besparingsskogar</t>
        </is>
      </c>
      <c r="G4289" t="n">
        <v>27.1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10884-2023</t>
        </is>
      </c>
      <c r="B4290" s="1" t="n">
        <v>44991</v>
      </c>
      <c r="C4290" s="1" t="n">
        <v>45182</v>
      </c>
      <c r="D4290" t="inlineStr">
        <is>
          <t>SÖDERMANLANDS LÄN</t>
        </is>
      </c>
      <c r="E4290" t="inlineStr">
        <is>
          <t>NYKÖPING</t>
        </is>
      </c>
      <c r="G4290" t="n">
        <v>5.3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10886-2023</t>
        </is>
      </c>
      <c r="B4291" s="1" t="n">
        <v>44991</v>
      </c>
      <c r="C4291" s="1" t="n">
        <v>45182</v>
      </c>
      <c r="D4291" t="inlineStr">
        <is>
          <t>SÖDERMANLANDS LÄN</t>
        </is>
      </c>
      <c r="E4291" t="inlineStr">
        <is>
          <t>FLEN</t>
        </is>
      </c>
      <c r="G4291" t="n">
        <v>0.3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11506-2023</t>
        </is>
      </c>
      <c r="B4292" s="1" t="n">
        <v>44991</v>
      </c>
      <c r="C4292" s="1" t="n">
        <v>45182</v>
      </c>
      <c r="D4292" t="inlineStr">
        <is>
          <t>SÖDERMANLANDS LÄN</t>
        </is>
      </c>
      <c r="E4292" t="inlineStr">
        <is>
          <t>FLEN</t>
        </is>
      </c>
      <c r="G4292" t="n">
        <v>3.6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10867-2023</t>
        </is>
      </c>
      <c r="B4293" s="1" t="n">
        <v>44991</v>
      </c>
      <c r="C4293" s="1" t="n">
        <v>45182</v>
      </c>
      <c r="D4293" t="inlineStr">
        <is>
          <t>SÖDERMANLANDS LÄN</t>
        </is>
      </c>
      <c r="E4293" t="inlineStr">
        <is>
          <t>STRÄNGNÄS</t>
        </is>
      </c>
      <c r="G4293" t="n">
        <v>1.3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11001-2023</t>
        </is>
      </c>
      <c r="B4294" s="1" t="n">
        <v>44991</v>
      </c>
      <c r="C4294" s="1" t="n">
        <v>45182</v>
      </c>
      <c r="D4294" t="inlineStr">
        <is>
          <t>SÖDERMANLANDS LÄN</t>
        </is>
      </c>
      <c r="E4294" t="inlineStr">
        <is>
          <t>NYKÖPING</t>
        </is>
      </c>
      <c r="G4294" t="n">
        <v>0.8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11718-2023</t>
        </is>
      </c>
      <c r="B4295" s="1" t="n">
        <v>44992</v>
      </c>
      <c r="C4295" s="1" t="n">
        <v>45182</v>
      </c>
      <c r="D4295" t="inlineStr">
        <is>
          <t>SÖDERMANLANDS LÄN</t>
        </is>
      </c>
      <c r="E4295" t="inlineStr">
        <is>
          <t>NYKÖPING</t>
        </is>
      </c>
      <c r="G4295" t="n">
        <v>1.6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11104-2023</t>
        </is>
      </c>
      <c r="B4296" s="1" t="n">
        <v>44992</v>
      </c>
      <c r="C4296" s="1" t="n">
        <v>45182</v>
      </c>
      <c r="D4296" t="inlineStr">
        <is>
          <t>SÖDERMANLANDS LÄN</t>
        </is>
      </c>
      <c r="E4296" t="inlineStr">
        <is>
          <t>KATRINEHOLM</t>
        </is>
      </c>
      <c r="F4296" t="inlineStr">
        <is>
          <t>Allmännings- och besparingsskogar</t>
        </is>
      </c>
      <c r="G4296" t="n">
        <v>7.8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11243-2023</t>
        </is>
      </c>
      <c r="B4297" s="1" t="n">
        <v>44992</v>
      </c>
      <c r="C4297" s="1" t="n">
        <v>45182</v>
      </c>
      <c r="D4297" t="inlineStr">
        <is>
          <t>SÖDERMANLANDS LÄN</t>
        </is>
      </c>
      <c r="E4297" t="inlineStr">
        <is>
          <t>STRÄNGNÄS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11690-2023</t>
        </is>
      </c>
      <c r="B4298" s="1" t="n">
        <v>44992</v>
      </c>
      <c r="C4298" s="1" t="n">
        <v>45182</v>
      </c>
      <c r="D4298" t="inlineStr">
        <is>
          <t>SÖDERMANLANDS LÄN</t>
        </is>
      </c>
      <c r="E4298" t="inlineStr">
        <is>
          <t>STRÄNGNÄS</t>
        </is>
      </c>
      <c r="G4298" t="n">
        <v>3.8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11753-2023</t>
        </is>
      </c>
      <c r="B4299" s="1" t="n">
        <v>44992</v>
      </c>
      <c r="C4299" s="1" t="n">
        <v>45182</v>
      </c>
      <c r="D4299" t="inlineStr">
        <is>
          <t>SÖDERMANLANDS LÄN</t>
        </is>
      </c>
      <c r="E4299" t="inlineStr">
        <is>
          <t>NYKÖPING</t>
        </is>
      </c>
      <c r="G4299" t="n">
        <v>1.7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11400-2023</t>
        </is>
      </c>
      <c r="B4300" s="1" t="n">
        <v>44993</v>
      </c>
      <c r="C4300" s="1" t="n">
        <v>45182</v>
      </c>
      <c r="D4300" t="inlineStr">
        <is>
          <t>SÖDERMANLANDS LÄN</t>
        </is>
      </c>
      <c r="E4300" t="inlineStr">
        <is>
          <t>VINGÅKER</t>
        </is>
      </c>
      <c r="F4300" t="inlineStr">
        <is>
          <t>Kyrkan</t>
        </is>
      </c>
      <c r="G4300" t="n">
        <v>18.6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11761-2023</t>
        </is>
      </c>
      <c r="B4301" s="1" t="n">
        <v>44993</v>
      </c>
      <c r="C4301" s="1" t="n">
        <v>45182</v>
      </c>
      <c r="D4301" t="inlineStr">
        <is>
          <t>SÖDERMANLANDS LÄN</t>
        </is>
      </c>
      <c r="E4301" t="inlineStr">
        <is>
          <t>STRÄNGNÄS</t>
        </is>
      </c>
      <c r="G4301" t="n">
        <v>3.1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11405-2023</t>
        </is>
      </c>
      <c r="B4302" s="1" t="n">
        <v>44993</v>
      </c>
      <c r="C4302" s="1" t="n">
        <v>45182</v>
      </c>
      <c r="D4302" t="inlineStr">
        <is>
          <t>SÖDERMANLANDS LÄN</t>
        </is>
      </c>
      <c r="E4302" t="inlineStr">
        <is>
          <t>VINGÅKER</t>
        </is>
      </c>
      <c r="F4302" t="inlineStr">
        <is>
          <t>Kyrkan</t>
        </is>
      </c>
      <c r="G4302" t="n">
        <v>1.8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11635-2023</t>
        </is>
      </c>
      <c r="B4303" s="1" t="n">
        <v>44994</v>
      </c>
      <c r="C4303" s="1" t="n">
        <v>45182</v>
      </c>
      <c r="D4303" t="inlineStr">
        <is>
          <t>SÖDERMANLANDS LÄN</t>
        </is>
      </c>
      <c r="E4303" t="inlineStr">
        <is>
          <t>KATRINEHOLM</t>
        </is>
      </c>
      <c r="G4303" t="n">
        <v>4.3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11726-2023</t>
        </is>
      </c>
      <c r="B4304" s="1" t="n">
        <v>44994</v>
      </c>
      <c r="C4304" s="1" t="n">
        <v>45182</v>
      </c>
      <c r="D4304" t="inlineStr">
        <is>
          <t>SÖDERMANLANDS LÄN</t>
        </is>
      </c>
      <c r="E4304" t="inlineStr">
        <is>
          <t>GNESTA</t>
        </is>
      </c>
      <c r="G4304" t="n">
        <v>13.4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11731-2023</t>
        </is>
      </c>
      <c r="B4305" s="1" t="n">
        <v>44994</v>
      </c>
      <c r="C4305" s="1" t="n">
        <v>45182</v>
      </c>
      <c r="D4305" t="inlineStr">
        <is>
          <t>SÖDERMANLANDS LÄN</t>
        </is>
      </c>
      <c r="E4305" t="inlineStr">
        <is>
          <t>STRÄNGNÄS</t>
        </is>
      </c>
      <c r="G4305" t="n">
        <v>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11641-2023</t>
        </is>
      </c>
      <c r="B4306" s="1" t="n">
        <v>44994</v>
      </c>
      <c r="C4306" s="1" t="n">
        <v>45182</v>
      </c>
      <c r="D4306" t="inlineStr">
        <is>
          <t>SÖDERMANLANDS LÄN</t>
        </is>
      </c>
      <c r="E4306" t="inlineStr">
        <is>
          <t>KATRINEHOLM</t>
        </is>
      </c>
      <c r="G4306" t="n">
        <v>2.5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11746-2023</t>
        </is>
      </c>
      <c r="B4307" s="1" t="n">
        <v>44994</v>
      </c>
      <c r="C4307" s="1" t="n">
        <v>45182</v>
      </c>
      <c r="D4307" t="inlineStr">
        <is>
          <t>SÖDERMANLANDS LÄN</t>
        </is>
      </c>
      <c r="E4307" t="inlineStr">
        <is>
          <t>GNESTA</t>
        </is>
      </c>
      <c r="G4307" t="n">
        <v>7.9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11872-2023</t>
        </is>
      </c>
      <c r="B4308" s="1" t="n">
        <v>44995</v>
      </c>
      <c r="C4308" s="1" t="n">
        <v>45182</v>
      </c>
      <c r="D4308" t="inlineStr">
        <is>
          <t>SÖDERMANLANDS LÄN</t>
        </is>
      </c>
      <c r="E4308" t="inlineStr">
        <is>
          <t>KATRINEHOLM</t>
        </is>
      </c>
      <c r="F4308" t="inlineStr">
        <is>
          <t>Kommuner</t>
        </is>
      </c>
      <c r="G4308" t="n">
        <v>0.9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11908-2023</t>
        </is>
      </c>
      <c r="B4309" s="1" t="n">
        <v>44995</v>
      </c>
      <c r="C4309" s="1" t="n">
        <v>45182</v>
      </c>
      <c r="D4309" t="inlineStr">
        <is>
          <t>SÖDERMANLANDS LÄN</t>
        </is>
      </c>
      <c r="E4309" t="inlineStr">
        <is>
          <t>NYKÖPING</t>
        </is>
      </c>
      <c r="G4309" t="n">
        <v>1.9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11875-2023</t>
        </is>
      </c>
      <c r="B4310" s="1" t="n">
        <v>44995</v>
      </c>
      <c r="C4310" s="1" t="n">
        <v>45182</v>
      </c>
      <c r="D4310" t="inlineStr">
        <is>
          <t>SÖDERMANLANDS LÄN</t>
        </is>
      </c>
      <c r="E4310" t="inlineStr">
        <is>
          <t>KATRINEHOLM</t>
        </is>
      </c>
      <c r="F4310" t="inlineStr">
        <is>
          <t>Kommuner</t>
        </is>
      </c>
      <c r="G4310" t="n">
        <v>1.1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11918-2023</t>
        </is>
      </c>
      <c r="B4311" s="1" t="n">
        <v>44995</v>
      </c>
      <c r="C4311" s="1" t="n">
        <v>45182</v>
      </c>
      <c r="D4311" t="inlineStr">
        <is>
          <t>SÖDERMANLANDS LÄN</t>
        </is>
      </c>
      <c r="E4311" t="inlineStr">
        <is>
          <t>NYKÖPING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12114-2023</t>
        </is>
      </c>
      <c r="B4312" s="1" t="n">
        <v>44998</v>
      </c>
      <c r="C4312" s="1" t="n">
        <v>45182</v>
      </c>
      <c r="D4312" t="inlineStr">
        <is>
          <t>SÖDERMANLANDS LÄN</t>
        </is>
      </c>
      <c r="E4312" t="inlineStr">
        <is>
          <t>STRÄNGNÄS</t>
        </is>
      </c>
      <c r="G4312" t="n">
        <v>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12419-2023</t>
        </is>
      </c>
      <c r="B4313" s="1" t="n">
        <v>44998</v>
      </c>
      <c r="C4313" s="1" t="n">
        <v>45182</v>
      </c>
      <c r="D4313" t="inlineStr">
        <is>
          <t>SÖDERMANLANDS LÄN</t>
        </is>
      </c>
      <c r="E4313" t="inlineStr">
        <is>
          <t>FLEN</t>
        </is>
      </c>
      <c r="G4313" t="n">
        <v>6.3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12449-2023</t>
        </is>
      </c>
      <c r="B4314" s="1" t="n">
        <v>44998</v>
      </c>
      <c r="C4314" s="1" t="n">
        <v>45182</v>
      </c>
      <c r="D4314" t="inlineStr">
        <is>
          <t>SÖDERMANLANDS LÄN</t>
        </is>
      </c>
      <c r="E4314" t="inlineStr">
        <is>
          <t>KATRINEHOLM</t>
        </is>
      </c>
      <c r="G4314" t="n">
        <v>6.1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12297-2023</t>
        </is>
      </c>
      <c r="B4315" s="1" t="n">
        <v>44998</v>
      </c>
      <c r="C4315" s="1" t="n">
        <v>45182</v>
      </c>
      <c r="D4315" t="inlineStr">
        <is>
          <t>SÖDERMANLANDS LÄN</t>
        </is>
      </c>
      <c r="E4315" t="inlineStr">
        <is>
          <t>ESKILSTUNA</t>
        </is>
      </c>
      <c r="F4315" t="inlineStr">
        <is>
          <t>Kommuner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12438-2023</t>
        </is>
      </c>
      <c r="B4316" s="1" t="n">
        <v>44998</v>
      </c>
      <c r="C4316" s="1" t="n">
        <v>45182</v>
      </c>
      <c r="D4316" t="inlineStr">
        <is>
          <t>SÖDERMANLANDS LÄN</t>
        </is>
      </c>
      <c r="E4316" t="inlineStr">
        <is>
          <t>ESKILSTUNA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12296-2023</t>
        </is>
      </c>
      <c r="B4317" s="1" t="n">
        <v>44998</v>
      </c>
      <c r="C4317" s="1" t="n">
        <v>45182</v>
      </c>
      <c r="D4317" t="inlineStr">
        <is>
          <t>SÖDERMANLANDS LÄN</t>
        </is>
      </c>
      <c r="E4317" t="inlineStr">
        <is>
          <t>ESKILSTUNA</t>
        </is>
      </c>
      <c r="F4317" t="inlineStr">
        <is>
          <t>Kommuner</t>
        </is>
      </c>
      <c r="G4317" t="n">
        <v>16.7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12355-2023</t>
        </is>
      </c>
      <c r="B4318" s="1" t="n">
        <v>44999</v>
      </c>
      <c r="C4318" s="1" t="n">
        <v>45182</v>
      </c>
      <c r="D4318" t="inlineStr">
        <is>
          <t>SÖDERMANLANDS LÄN</t>
        </is>
      </c>
      <c r="E4318" t="inlineStr">
        <is>
          <t>FLEN</t>
        </is>
      </c>
      <c r="F4318" t="inlineStr">
        <is>
          <t>Övriga statliga verk och myndigheter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12599-2023</t>
        </is>
      </c>
      <c r="B4319" s="1" t="n">
        <v>44999</v>
      </c>
      <c r="C4319" s="1" t="n">
        <v>45182</v>
      </c>
      <c r="D4319" t="inlineStr">
        <is>
          <t>SÖDERMANLANDS LÄN</t>
        </is>
      </c>
      <c r="E4319" t="inlineStr">
        <is>
          <t>FLEN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12494-2023</t>
        </is>
      </c>
      <c r="B4320" s="1" t="n">
        <v>44999</v>
      </c>
      <c r="C4320" s="1" t="n">
        <v>45182</v>
      </c>
      <c r="D4320" t="inlineStr">
        <is>
          <t>SÖDERMANLANDS LÄN</t>
        </is>
      </c>
      <c r="E4320" t="inlineStr">
        <is>
          <t>KATRINEHOLM</t>
        </is>
      </c>
      <c r="G4320" t="n">
        <v>0.8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12716-2023</t>
        </is>
      </c>
      <c r="B4321" s="1" t="n">
        <v>44999</v>
      </c>
      <c r="C4321" s="1" t="n">
        <v>45182</v>
      </c>
      <c r="D4321" t="inlineStr">
        <is>
          <t>SÖDERMANLANDS LÄN</t>
        </is>
      </c>
      <c r="E4321" t="inlineStr">
        <is>
          <t>VINGÅKER</t>
        </is>
      </c>
      <c r="F4321" t="inlineStr">
        <is>
          <t>Kommuner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12572-2023</t>
        </is>
      </c>
      <c r="B4322" s="1" t="n">
        <v>45000</v>
      </c>
      <c r="C4322" s="1" t="n">
        <v>45182</v>
      </c>
      <c r="D4322" t="inlineStr">
        <is>
          <t>SÖDERMANLANDS LÄN</t>
        </is>
      </c>
      <c r="E4322" t="inlineStr">
        <is>
          <t>NYKÖPING</t>
        </is>
      </c>
      <c r="G4322" t="n">
        <v>4.6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12579-2023</t>
        </is>
      </c>
      <c r="B4323" s="1" t="n">
        <v>45000</v>
      </c>
      <c r="C4323" s="1" t="n">
        <v>45182</v>
      </c>
      <c r="D4323" t="inlineStr">
        <is>
          <t>SÖDERMANLANDS LÄN</t>
        </is>
      </c>
      <c r="E4323" t="inlineStr">
        <is>
          <t>NYKÖPING</t>
        </is>
      </c>
      <c r="G4323" t="n">
        <v>2.8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12624-2023</t>
        </is>
      </c>
      <c r="B4324" s="1" t="n">
        <v>45000</v>
      </c>
      <c r="C4324" s="1" t="n">
        <v>45182</v>
      </c>
      <c r="D4324" t="inlineStr">
        <is>
          <t>SÖDERMANLANDS LÄN</t>
        </is>
      </c>
      <c r="E4324" t="inlineStr">
        <is>
          <t>GNESTA</t>
        </is>
      </c>
      <c r="F4324" t="inlineStr">
        <is>
          <t>Allmännings- och besparingsskogar</t>
        </is>
      </c>
      <c r="G4324" t="n">
        <v>19.1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12805-2023</t>
        </is>
      </c>
      <c r="B4325" s="1" t="n">
        <v>45001</v>
      </c>
      <c r="C4325" s="1" t="n">
        <v>45182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Kyrkan</t>
        </is>
      </c>
      <c r="G4325" t="n">
        <v>5.2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12898-2023</t>
        </is>
      </c>
      <c r="B4326" s="1" t="n">
        <v>45001</v>
      </c>
      <c r="C4326" s="1" t="n">
        <v>45182</v>
      </c>
      <c r="D4326" t="inlineStr">
        <is>
          <t>SÖDERMANLANDS LÄN</t>
        </is>
      </c>
      <c r="E4326" t="inlineStr">
        <is>
          <t>NYKÖPING</t>
        </is>
      </c>
      <c r="F4326" t="inlineStr">
        <is>
          <t>Holmen skog AB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12929-2023</t>
        </is>
      </c>
      <c r="B4327" s="1" t="n">
        <v>45001</v>
      </c>
      <c r="C4327" s="1" t="n">
        <v>45182</v>
      </c>
      <c r="D4327" t="inlineStr">
        <is>
          <t>SÖDERMANLANDS LÄN</t>
        </is>
      </c>
      <c r="E4327" t="inlineStr">
        <is>
          <t>KATRINEHOLM</t>
        </is>
      </c>
      <c r="G4327" t="n">
        <v>3.1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12937-2023</t>
        </is>
      </c>
      <c r="B4328" s="1" t="n">
        <v>45001</v>
      </c>
      <c r="C4328" s="1" t="n">
        <v>45182</v>
      </c>
      <c r="D4328" t="inlineStr">
        <is>
          <t>SÖDERMANLANDS LÄN</t>
        </is>
      </c>
      <c r="E4328" t="inlineStr">
        <is>
          <t>KATRINEHOLM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13073-2023</t>
        </is>
      </c>
      <c r="B4329" s="1" t="n">
        <v>45001</v>
      </c>
      <c r="C4329" s="1" t="n">
        <v>45182</v>
      </c>
      <c r="D4329" t="inlineStr">
        <is>
          <t>SÖDERMANLANDS LÄN</t>
        </is>
      </c>
      <c r="E4329" t="inlineStr">
        <is>
          <t>VINGÅKER</t>
        </is>
      </c>
      <c r="G4329" t="n">
        <v>5.4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12800-2023</t>
        </is>
      </c>
      <c r="B4330" s="1" t="n">
        <v>45001</v>
      </c>
      <c r="C4330" s="1" t="n">
        <v>45182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12935-2023</t>
        </is>
      </c>
      <c r="B4331" s="1" t="n">
        <v>45001</v>
      </c>
      <c r="C4331" s="1" t="n">
        <v>45182</v>
      </c>
      <c r="D4331" t="inlineStr">
        <is>
          <t>SÖDERMANLANDS LÄN</t>
        </is>
      </c>
      <c r="E4331" t="inlineStr">
        <is>
          <t>KATRINEHOLM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12908-2023</t>
        </is>
      </c>
      <c r="B4332" s="1" t="n">
        <v>45001</v>
      </c>
      <c r="C4332" s="1" t="n">
        <v>45182</v>
      </c>
      <c r="D4332" t="inlineStr">
        <is>
          <t>SÖDERMANLANDS LÄN</t>
        </is>
      </c>
      <c r="E4332" t="inlineStr">
        <is>
          <t>FLEN</t>
        </is>
      </c>
      <c r="F4332" t="inlineStr">
        <is>
          <t>Holmen skog AB</t>
        </is>
      </c>
      <c r="G4332" t="n">
        <v>2.8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12930-2023</t>
        </is>
      </c>
      <c r="B4333" s="1" t="n">
        <v>45001</v>
      </c>
      <c r="C4333" s="1" t="n">
        <v>45182</v>
      </c>
      <c r="D4333" t="inlineStr">
        <is>
          <t>SÖDERMANLANDS LÄN</t>
        </is>
      </c>
      <c r="E4333" t="inlineStr">
        <is>
          <t>KATRINEHOLM</t>
        </is>
      </c>
      <c r="G4333" t="n">
        <v>0.7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12934-2023</t>
        </is>
      </c>
      <c r="B4334" s="1" t="n">
        <v>45001</v>
      </c>
      <c r="C4334" s="1" t="n">
        <v>45182</v>
      </c>
      <c r="D4334" t="inlineStr">
        <is>
          <t>SÖDERMANLANDS LÄN</t>
        </is>
      </c>
      <c r="E4334" t="inlineStr">
        <is>
          <t>KATRINEHOLM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12938-2023</t>
        </is>
      </c>
      <c r="B4335" s="1" t="n">
        <v>45001</v>
      </c>
      <c r="C4335" s="1" t="n">
        <v>45182</v>
      </c>
      <c r="D4335" t="inlineStr">
        <is>
          <t>SÖDERMANLANDS LÄN</t>
        </is>
      </c>
      <c r="E4335" t="inlineStr">
        <is>
          <t>KATRINEHOLM</t>
        </is>
      </c>
      <c r="G4335" t="n">
        <v>0.4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12818-2023</t>
        </is>
      </c>
      <c r="B4336" s="1" t="n">
        <v>45001</v>
      </c>
      <c r="C4336" s="1" t="n">
        <v>45182</v>
      </c>
      <c r="D4336" t="inlineStr">
        <is>
          <t>SÖDERMANLANDS LÄN</t>
        </is>
      </c>
      <c r="E4336" t="inlineStr">
        <is>
          <t>STRÄNGNÄS</t>
        </is>
      </c>
      <c r="G4336" t="n">
        <v>3.3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12912-2023</t>
        </is>
      </c>
      <c r="B4337" s="1" t="n">
        <v>45001</v>
      </c>
      <c r="C4337" s="1" t="n">
        <v>45182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4.4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12932-2023</t>
        </is>
      </c>
      <c r="B4338" s="1" t="n">
        <v>45001</v>
      </c>
      <c r="C4338" s="1" t="n">
        <v>45182</v>
      </c>
      <c r="D4338" t="inlineStr">
        <is>
          <t>SÖDERMANLANDS LÄN</t>
        </is>
      </c>
      <c r="E4338" t="inlineStr">
        <is>
          <t>KATRINEHOLM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12936-2023</t>
        </is>
      </c>
      <c r="B4339" s="1" t="n">
        <v>45001</v>
      </c>
      <c r="C4339" s="1" t="n">
        <v>45182</v>
      </c>
      <c r="D4339" t="inlineStr">
        <is>
          <t>SÖDERMANLANDS LÄN</t>
        </is>
      </c>
      <c r="E4339" t="inlineStr">
        <is>
          <t>FLEN</t>
        </is>
      </c>
      <c r="F4339" t="inlineStr">
        <is>
          <t>Holmen skog AB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12940-2023</t>
        </is>
      </c>
      <c r="B4340" s="1" t="n">
        <v>45001</v>
      </c>
      <c r="C4340" s="1" t="n">
        <v>45182</v>
      </c>
      <c r="D4340" t="inlineStr">
        <is>
          <t>SÖDERMANLANDS LÄN</t>
        </is>
      </c>
      <c r="E4340" t="inlineStr">
        <is>
          <t>STRÄNGNÄS</t>
        </is>
      </c>
      <c r="G4340" t="n">
        <v>12.6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13089-2023</t>
        </is>
      </c>
      <c r="B4341" s="1" t="n">
        <v>45002</v>
      </c>
      <c r="C4341" s="1" t="n">
        <v>45182</v>
      </c>
      <c r="D4341" t="inlineStr">
        <is>
          <t>SÖDERMANLANDS LÄN</t>
        </is>
      </c>
      <c r="E4341" t="inlineStr">
        <is>
          <t>ESKILSTUNA</t>
        </is>
      </c>
      <c r="F4341" t="inlineStr">
        <is>
          <t>Kyrkan</t>
        </is>
      </c>
      <c r="G4341" t="n">
        <v>10.2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13113-2023</t>
        </is>
      </c>
      <c r="B4342" s="1" t="n">
        <v>45002</v>
      </c>
      <c r="C4342" s="1" t="n">
        <v>45182</v>
      </c>
      <c r="D4342" t="inlineStr">
        <is>
          <t>SÖDERMANLANDS LÄN</t>
        </is>
      </c>
      <c r="E4342" t="inlineStr">
        <is>
          <t>KATRINEHOLM</t>
        </is>
      </c>
      <c r="F4342" t="inlineStr">
        <is>
          <t>Allmännings- och besparingsskogar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13046-2023</t>
        </is>
      </c>
      <c r="B4343" s="1" t="n">
        <v>45002</v>
      </c>
      <c r="C4343" s="1" t="n">
        <v>45182</v>
      </c>
      <c r="D4343" t="inlineStr">
        <is>
          <t>SÖDERMANLANDS LÄN</t>
        </is>
      </c>
      <c r="E4343" t="inlineStr">
        <is>
          <t>GNESTA</t>
        </is>
      </c>
      <c r="G4343" t="n">
        <v>2.5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13280-2023</t>
        </is>
      </c>
      <c r="B4344" s="1" t="n">
        <v>45004</v>
      </c>
      <c r="C4344" s="1" t="n">
        <v>45182</v>
      </c>
      <c r="D4344" t="inlineStr">
        <is>
          <t>SÖDERMANLANDS LÄN</t>
        </is>
      </c>
      <c r="E4344" t="inlineStr">
        <is>
          <t>ESKILSTUNA</t>
        </is>
      </c>
      <c r="G4344" t="n">
        <v>0.8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13346-2023</t>
        </is>
      </c>
      <c r="B4345" s="1" t="n">
        <v>45005</v>
      </c>
      <c r="C4345" s="1" t="n">
        <v>45182</v>
      </c>
      <c r="D4345" t="inlineStr">
        <is>
          <t>SÖDERMANLANDS LÄN</t>
        </is>
      </c>
      <c r="E4345" t="inlineStr">
        <is>
          <t>GNESTA</t>
        </is>
      </c>
      <c r="G4345" t="n">
        <v>2.8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13471-2023</t>
        </is>
      </c>
      <c r="B4346" s="1" t="n">
        <v>45005</v>
      </c>
      <c r="C4346" s="1" t="n">
        <v>45182</v>
      </c>
      <c r="D4346" t="inlineStr">
        <is>
          <t>SÖDERMANLANDS LÄN</t>
        </is>
      </c>
      <c r="E4346" t="inlineStr">
        <is>
          <t>TROSA</t>
        </is>
      </c>
      <c r="F4346" t="inlineStr">
        <is>
          <t>Holmen skog AB</t>
        </is>
      </c>
      <c r="G4346" t="n">
        <v>2.2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13531-2023</t>
        </is>
      </c>
      <c r="B4347" s="1" t="n">
        <v>45005</v>
      </c>
      <c r="C4347" s="1" t="n">
        <v>45182</v>
      </c>
      <c r="D4347" t="inlineStr">
        <is>
          <t>SÖDERMANLANDS LÄN</t>
        </is>
      </c>
      <c r="E4347" t="inlineStr">
        <is>
          <t>NYKÖPING</t>
        </is>
      </c>
      <c r="G4347" t="n">
        <v>2.1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13351-2023</t>
        </is>
      </c>
      <c r="B4348" s="1" t="n">
        <v>45005</v>
      </c>
      <c r="C4348" s="1" t="n">
        <v>45182</v>
      </c>
      <c r="D4348" t="inlineStr">
        <is>
          <t>SÖDERMANLANDS LÄN</t>
        </is>
      </c>
      <c r="E4348" t="inlineStr">
        <is>
          <t>GNESTA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13295-2023</t>
        </is>
      </c>
      <c r="B4349" s="1" t="n">
        <v>45005</v>
      </c>
      <c r="C4349" s="1" t="n">
        <v>45182</v>
      </c>
      <c r="D4349" t="inlineStr">
        <is>
          <t>SÖDERMANLANDS LÄN</t>
        </is>
      </c>
      <c r="E4349" t="inlineStr">
        <is>
          <t>ESKILSTUNA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13463-2023</t>
        </is>
      </c>
      <c r="B4350" s="1" t="n">
        <v>45005</v>
      </c>
      <c r="C4350" s="1" t="n">
        <v>45182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13385-2023</t>
        </is>
      </c>
      <c r="B4351" s="1" t="n">
        <v>45005</v>
      </c>
      <c r="C4351" s="1" t="n">
        <v>45182</v>
      </c>
      <c r="D4351" t="inlineStr">
        <is>
          <t>SÖDERMANLANDS LÄN</t>
        </is>
      </c>
      <c r="E4351" t="inlineStr">
        <is>
          <t>ESKILSTUNA</t>
        </is>
      </c>
      <c r="G4351" t="n">
        <v>7.1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13658-2023</t>
        </is>
      </c>
      <c r="B4352" s="1" t="n">
        <v>45006</v>
      </c>
      <c r="C4352" s="1" t="n">
        <v>45182</v>
      </c>
      <c r="D4352" t="inlineStr">
        <is>
          <t>SÖDERMANLANDS LÄN</t>
        </is>
      </c>
      <c r="E4352" t="inlineStr">
        <is>
          <t>KATRINEHOLM</t>
        </is>
      </c>
      <c r="F4352" t="inlineStr">
        <is>
          <t>Kyrkan</t>
        </is>
      </c>
      <c r="G4352" t="n">
        <v>24.3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13558-2023</t>
        </is>
      </c>
      <c r="B4353" s="1" t="n">
        <v>45006</v>
      </c>
      <c r="C4353" s="1" t="n">
        <v>45182</v>
      </c>
      <c r="D4353" t="inlineStr">
        <is>
          <t>SÖDERMANLANDS LÄN</t>
        </is>
      </c>
      <c r="E4353" t="inlineStr">
        <is>
          <t>STRÄNGNÄS</t>
        </is>
      </c>
      <c r="G4353" t="n">
        <v>4.7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13612-2023</t>
        </is>
      </c>
      <c r="B4354" s="1" t="n">
        <v>45006</v>
      </c>
      <c r="C4354" s="1" t="n">
        <v>45182</v>
      </c>
      <c r="D4354" t="inlineStr">
        <is>
          <t>SÖDERMANLANDS LÄN</t>
        </is>
      </c>
      <c r="E4354" t="inlineStr">
        <is>
          <t>KATRINEHOLM</t>
        </is>
      </c>
      <c r="G4354" t="n">
        <v>2.3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13613-2023</t>
        </is>
      </c>
      <c r="B4355" s="1" t="n">
        <v>45006</v>
      </c>
      <c r="C4355" s="1" t="n">
        <v>45182</v>
      </c>
      <c r="D4355" t="inlineStr">
        <is>
          <t>SÖDERMANLANDS LÄN</t>
        </is>
      </c>
      <c r="E4355" t="inlineStr">
        <is>
          <t>STRÄNGNÄS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13626-2023</t>
        </is>
      </c>
      <c r="B4356" s="1" t="n">
        <v>45006</v>
      </c>
      <c r="C4356" s="1" t="n">
        <v>45182</v>
      </c>
      <c r="D4356" t="inlineStr">
        <is>
          <t>SÖDERMANLANDS LÄN</t>
        </is>
      </c>
      <c r="E4356" t="inlineStr">
        <is>
          <t>ESKILSTUNA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13632-2023</t>
        </is>
      </c>
      <c r="B4357" s="1" t="n">
        <v>45006</v>
      </c>
      <c r="C4357" s="1" t="n">
        <v>45182</v>
      </c>
      <c r="D4357" t="inlineStr">
        <is>
          <t>SÖDERMANLANDS LÄN</t>
        </is>
      </c>
      <c r="E4357" t="inlineStr">
        <is>
          <t>ESKILSTUNA</t>
        </is>
      </c>
      <c r="G4357" t="n">
        <v>16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13810-2023</t>
        </is>
      </c>
      <c r="B4358" s="1" t="n">
        <v>45007</v>
      </c>
      <c r="C4358" s="1" t="n">
        <v>45182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13817-2023</t>
        </is>
      </c>
      <c r="B4359" s="1" t="n">
        <v>45007</v>
      </c>
      <c r="C4359" s="1" t="n">
        <v>45182</v>
      </c>
      <c r="D4359" t="inlineStr">
        <is>
          <t>SÖDERMANLANDS LÄN</t>
        </is>
      </c>
      <c r="E4359" t="inlineStr">
        <is>
          <t>TROSA</t>
        </is>
      </c>
      <c r="F4359" t="inlineStr">
        <is>
          <t>Holmen skog AB</t>
        </is>
      </c>
      <c r="G4359" t="n">
        <v>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13824-2023</t>
        </is>
      </c>
      <c r="B4360" s="1" t="n">
        <v>45007</v>
      </c>
      <c r="C4360" s="1" t="n">
        <v>45182</v>
      </c>
      <c r="D4360" t="inlineStr">
        <is>
          <t>SÖDERMANLANDS LÄN</t>
        </is>
      </c>
      <c r="E4360" t="inlineStr">
        <is>
          <t>FLEN</t>
        </is>
      </c>
      <c r="G4360" t="n">
        <v>0.7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13848-2023</t>
        </is>
      </c>
      <c r="B4361" s="1" t="n">
        <v>45007</v>
      </c>
      <c r="C4361" s="1" t="n">
        <v>45182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1.6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13807-2023</t>
        </is>
      </c>
      <c r="B4362" s="1" t="n">
        <v>45007</v>
      </c>
      <c r="C4362" s="1" t="n">
        <v>45182</v>
      </c>
      <c r="D4362" t="inlineStr">
        <is>
          <t>SÖDERMANLANDS LÄN</t>
        </is>
      </c>
      <c r="E4362" t="inlineStr">
        <is>
          <t>STRÄNGNÄS</t>
        </is>
      </c>
      <c r="F4362" t="inlineStr">
        <is>
          <t>Allmännings- och besparingsskogar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13829-2023</t>
        </is>
      </c>
      <c r="B4363" s="1" t="n">
        <v>45007</v>
      </c>
      <c r="C4363" s="1" t="n">
        <v>45182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13839-2023</t>
        </is>
      </c>
      <c r="B4364" s="1" t="n">
        <v>45007</v>
      </c>
      <c r="C4364" s="1" t="n">
        <v>45182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2.5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13845-2023</t>
        </is>
      </c>
      <c r="B4365" s="1" t="n">
        <v>45007</v>
      </c>
      <c r="C4365" s="1" t="n">
        <v>45182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13806-2023</t>
        </is>
      </c>
      <c r="B4366" s="1" t="n">
        <v>45007</v>
      </c>
      <c r="C4366" s="1" t="n">
        <v>45182</v>
      </c>
      <c r="D4366" t="inlineStr">
        <is>
          <t>SÖDERMANLANDS LÄN</t>
        </is>
      </c>
      <c r="E4366" t="inlineStr">
        <is>
          <t>NYKÖPING</t>
        </is>
      </c>
      <c r="F4366" t="inlineStr">
        <is>
          <t>Övriga Aktiebolag</t>
        </is>
      </c>
      <c r="G4366" t="n">
        <v>8.199999999999999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13858-2023</t>
        </is>
      </c>
      <c r="B4367" s="1" t="n">
        <v>45007</v>
      </c>
      <c r="C4367" s="1" t="n">
        <v>45182</v>
      </c>
      <c r="D4367" t="inlineStr">
        <is>
          <t>SÖDERMANLANDS LÄN</t>
        </is>
      </c>
      <c r="E4367" t="inlineStr">
        <is>
          <t>FLEN</t>
        </is>
      </c>
      <c r="F4367" t="inlineStr">
        <is>
          <t>Holmen skog AB</t>
        </is>
      </c>
      <c r="G4367" t="n">
        <v>0.8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14055-2023</t>
        </is>
      </c>
      <c r="B4368" s="1" t="n">
        <v>45008</v>
      </c>
      <c r="C4368" s="1" t="n">
        <v>45182</v>
      </c>
      <c r="D4368" t="inlineStr">
        <is>
          <t>SÖDERMANLANDS LÄN</t>
        </is>
      </c>
      <c r="E4368" t="inlineStr">
        <is>
          <t>GNESTA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14053-2023</t>
        </is>
      </c>
      <c r="B4369" s="1" t="n">
        <v>45008</v>
      </c>
      <c r="C4369" s="1" t="n">
        <v>45182</v>
      </c>
      <c r="D4369" t="inlineStr">
        <is>
          <t>SÖDERMANLANDS LÄN</t>
        </is>
      </c>
      <c r="E4369" t="inlineStr">
        <is>
          <t>ESKILSTUNA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14144-2023</t>
        </is>
      </c>
      <c r="B4370" s="1" t="n">
        <v>45009</v>
      </c>
      <c r="C4370" s="1" t="n">
        <v>45182</v>
      </c>
      <c r="D4370" t="inlineStr">
        <is>
          <t>SÖDERMANLANDS LÄN</t>
        </is>
      </c>
      <c r="E4370" t="inlineStr">
        <is>
          <t>NYKÖPING</t>
        </is>
      </c>
      <c r="G4370" t="n">
        <v>6.8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14412-2023</t>
        </is>
      </c>
      <c r="B4371" s="1" t="n">
        <v>45012</v>
      </c>
      <c r="C4371" s="1" t="n">
        <v>45182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1.2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14471-2023</t>
        </is>
      </c>
      <c r="B4372" s="1" t="n">
        <v>45012</v>
      </c>
      <c r="C4372" s="1" t="n">
        <v>45182</v>
      </c>
      <c r="D4372" t="inlineStr">
        <is>
          <t>SÖDERMANLANDS LÄN</t>
        </is>
      </c>
      <c r="E4372" t="inlineStr">
        <is>
          <t>STRÄNGNÄS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14629-2023</t>
        </is>
      </c>
      <c r="B4373" s="1" t="n">
        <v>45013</v>
      </c>
      <c r="C4373" s="1" t="n">
        <v>45182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14563-2023</t>
        </is>
      </c>
      <c r="B4374" s="1" t="n">
        <v>45013</v>
      </c>
      <c r="C4374" s="1" t="n">
        <v>45182</v>
      </c>
      <c r="D4374" t="inlineStr">
        <is>
          <t>SÖDERMANLANDS LÄN</t>
        </is>
      </c>
      <c r="E4374" t="inlineStr">
        <is>
          <t>KATRINEHOLM</t>
        </is>
      </c>
      <c r="F4374" t="inlineStr">
        <is>
          <t>Holmen skog AB</t>
        </is>
      </c>
      <c r="G4374" t="n">
        <v>2.5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14599-2023</t>
        </is>
      </c>
      <c r="B4375" s="1" t="n">
        <v>45013</v>
      </c>
      <c r="C4375" s="1" t="n">
        <v>45182</v>
      </c>
      <c r="D4375" t="inlineStr">
        <is>
          <t>SÖDERMANLANDS LÄN</t>
        </is>
      </c>
      <c r="E4375" t="inlineStr">
        <is>
          <t>FLEN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14655-2023</t>
        </is>
      </c>
      <c r="B4376" s="1" t="n">
        <v>45013</v>
      </c>
      <c r="C4376" s="1" t="n">
        <v>45182</v>
      </c>
      <c r="D4376" t="inlineStr">
        <is>
          <t>SÖDERMANLANDS LÄN</t>
        </is>
      </c>
      <c r="E4376" t="inlineStr">
        <is>
          <t>KATRINEHOLM</t>
        </is>
      </c>
      <c r="G4376" t="n">
        <v>4.4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14687-2023</t>
        </is>
      </c>
      <c r="B4377" s="1" t="n">
        <v>45014</v>
      </c>
      <c r="C4377" s="1" t="n">
        <v>45182</v>
      </c>
      <c r="D4377" t="inlineStr">
        <is>
          <t>SÖDERMANLANDS LÄN</t>
        </is>
      </c>
      <c r="E4377" t="inlineStr">
        <is>
          <t>NYKÖPING</t>
        </is>
      </c>
      <c r="G4377" t="n">
        <v>3.6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14714-2023</t>
        </is>
      </c>
      <c r="B4378" s="1" t="n">
        <v>45014</v>
      </c>
      <c r="C4378" s="1" t="n">
        <v>45182</v>
      </c>
      <c r="D4378" t="inlineStr">
        <is>
          <t>SÖDERMANLANDS LÄN</t>
        </is>
      </c>
      <c r="E4378" t="inlineStr">
        <is>
          <t>NYKÖPING</t>
        </is>
      </c>
      <c r="G4378" t="n">
        <v>0.5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14749-2023</t>
        </is>
      </c>
      <c r="B4379" s="1" t="n">
        <v>45014</v>
      </c>
      <c r="C4379" s="1" t="n">
        <v>45182</v>
      </c>
      <c r="D4379" t="inlineStr">
        <is>
          <t>SÖDERMANLANDS LÄN</t>
        </is>
      </c>
      <c r="E4379" t="inlineStr">
        <is>
          <t>FLEN</t>
        </is>
      </c>
      <c r="F4379" t="inlineStr">
        <is>
          <t>Holmen skog AB</t>
        </is>
      </c>
      <c r="G4379" t="n">
        <v>1.3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14846-2023</t>
        </is>
      </c>
      <c r="B4380" s="1" t="n">
        <v>45014</v>
      </c>
      <c r="C4380" s="1" t="n">
        <v>45182</v>
      </c>
      <c r="D4380" t="inlineStr">
        <is>
          <t>SÖDERMANLANDS LÄN</t>
        </is>
      </c>
      <c r="E4380" t="inlineStr">
        <is>
          <t>ESKILSTUNA</t>
        </is>
      </c>
      <c r="G4380" t="n">
        <v>0.8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14858-2023</t>
        </is>
      </c>
      <c r="B4381" s="1" t="n">
        <v>45014</v>
      </c>
      <c r="C4381" s="1" t="n">
        <v>45182</v>
      </c>
      <c r="D4381" t="inlineStr">
        <is>
          <t>SÖDERMANLANDS LÄN</t>
        </is>
      </c>
      <c r="E4381" t="inlineStr">
        <is>
          <t>KATRINEHOLM</t>
        </is>
      </c>
      <c r="G4381" t="n">
        <v>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14826-2023</t>
        </is>
      </c>
      <c r="B4382" s="1" t="n">
        <v>45014</v>
      </c>
      <c r="C4382" s="1" t="n">
        <v>45182</v>
      </c>
      <c r="D4382" t="inlineStr">
        <is>
          <t>SÖDERMANLANDS LÄN</t>
        </is>
      </c>
      <c r="E4382" t="inlineStr">
        <is>
          <t>FLEN</t>
        </is>
      </c>
      <c r="G4382" t="n">
        <v>15.8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14690-2023</t>
        </is>
      </c>
      <c r="B4383" s="1" t="n">
        <v>45014</v>
      </c>
      <c r="C4383" s="1" t="n">
        <v>45182</v>
      </c>
      <c r="D4383" t="inlineStr">
        <is>
          <t>SÖDERMANLANDS LÄN</t>
        </is>
      </c>
      <c r="E4383" t="inlineStr">
        <is>
          <t>NYKÖPING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14755-2023</t>
        </is>
      </c>
      <c r="B4384" s="1" t="n">
        <v>45014</v>
      </c>
      <c r="C4384" s="1" t="n">
        <v>45182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14847-2023</t>
        </is>
      </c>
      <c r="B4385" s="1" t="n">
        <v>45014</v>
      </c>
      <c r="C4385" s="1" t="n">
        <v>45182</v>
      </c>
      <c r="D4385" t="inlineStr">
        <is>
          <t>SÖDERMANLANDS LÄN</t>
        </is>
      </c>
      <c r="E4385" t="inlineStr">
        <is>
          <t>STRÄNGNÄS</t>
        </is>
      </c>
      <c r="F4385" t="inlineStr">
        <is>
          <t>Allmännings- och besparingsskogar</t>
        </is>
      </c>
      <c r="G4385" t="n">
        <v>0.9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15119-2023</t>
        </is>
      </c>
      <c r="B4386" s="1" t="n">
        <v>45016</v>
      </c>
      <c r="C4386" s="1" t="n">
        <v>45182</v>
      </c>
      <c r="D4386" t="inlineStr">
        <is>
          <t>SÖDERMANLANDS LÄN</t>
        </is>
      </c>
      <c r="E4386" t="inlineStr">
        <is>
          <t>FLEN</t>
        </is>
      </c>
      <c r="F4386" t="inlineStr">
        <is>
          <t>Holmen skog AB</t>
        </is>
      </c>
      <c r="G4386" t="n">
        <v>1.6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15153-2023</t>
        </is>
      </c>
      <c r="B4387" s="1" t="n">
        <v>45016</v>
      </c>
      <c r="C4387" s="1" t="n">
        <v>45182</v>
      </c>
      <c r="D4387" t="inlineStr">
        <is>
          <t>SÖDERMANLANDS LÄN</t>
        </is>
      </c>
      <c r="E4387" t="inlineStr">
        <is>
          <t>TROSA</t>
        </is>
      </c>
      <c r="F4387" t="inlineStr">
        <is>
          <t>Holmen skog AB</t>
        </is>
      </c>
      <c r="G4387" t="n">
        <v>0.6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15193-2023</t>
        </is>
      </c>
      <c r="B4388" s="1" t="n">
        <v>45016</v>
      </c>
      <c r="C4388" s="1" t="n">
        <v>45182</v>
      </c>
      <c r="D4388" t="inlineStr">
        <is>
          <t>SÖDERMANLANDS LÄN</t>
        </is>
      </c>
      <c r="E4388" t="inlineStr">
        <is>
          <t>STRÄNGNÄS</t>
        </is>
      </c>
      <c r="G4388" t="n">
        <v>7.6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15392-2023</t>
        </is>
      </c>
      <c r="B4389" s="1" t="n">
        <v>45016</v>
      </c>
      <c r="C4389" s="1" t="n">
        <v>45182</v>
      </c>
      <c r="D4389" t="inlineStr">
        <is>
          <t>SÖDERMANLANDS LÄN</t>
        </is>
      </c>
      <c r="E4389" t="inlineStr">
        <is>
          <t>KATRINEHOLM</t>
        </is>
      </c>
      <c r="F4389" t="inlineStr">
        <is>
          <t>Övriga Aktiebolag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15110-2023</t>
        </is>
      </c>
      <c r="B4390" s="1" t="n">
        <v>45016</v>
      </c>
      <c r="C4390" s="1" t="n">
        <v>45182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15396-2023</t>
        </is>
      </c>
      <c r="B4391" s="1" t="n">
        <v>45016</v>
      </c>
      <c r="C4391" s="1" t="n">
        <v>45182</v>
      </c>
      <c r="D4391" t="inlineStr">
        <is>
          <t>SÖDERMANLANDS LÄN</t>
        </is>
      </c>
      <c r="E4391" t="inlineStr">
        <is>
          <t>KATRINEHOLM</t>
        </is>
      </c>
      <c r="F4391" t="inlineStr">
        <is>
          <t>Övriga Aktiebolag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15151-2023</t>
        </is>
      </c>
      <c r="B4392" s="1" t="n">
        <v>45016</v>
      </c>
      <c r="C4392" s="1" t="n">
        <v>45182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15156-2023</t>
        </is>
      </c>
      <c r="B4393" s="1" t="n">
        <v>45016</v>
      </c>
      <c r="C4393" s="1" t="n">
        <v>45182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15169-2023</t>
        </is>
      </c>
      <c r="B4394" s="1" t="n">
        <v>45016</v>
      </c>
      <c r="C4394" s="1" t="n">
        <v>45182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0.6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15184-2023</t>
        </is>
      </c>
      <c r="B4395" s="1" t="n">
        <v>45016</v>
      </c>
      <c r="C4395" s="1" t="n">
        <v>45182</v>
      </c>
      <c r="D4395" t="inlineStr">
        <is>
          <t>SÖDERMANLANDS LÄN</t>
        </is>
      </c>
      <c r="E4395" t="inlineStr">
        <is>
          <t>KATRINEHOLM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15284-2023</t>
        </is>
      </c>
      <c r="B4396" s="1" t="n">
        <v>45019</v>
      </c>
      <c r="C4396" s="1" t="n">
        <v>45182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Allmännings- och besparingsskogar</t>
        </is>
      </c>
      <c r="G4396" t="n">
        <v>17.4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15224-2023</t>
        </is>
      </c>
      <c r="B4397" s="1" t="n">
        <v>45019</v>
      </c>
      <c r="C4397" s="1" t="n">
        <v>45182</v>
      </c>
      <c r="D4397" t="inlineStr">
        <is>
          <t>SÖDERMANLANDS LÄN</t>
        </is>
      </c>
      <c r="E4397" t="inlineStr">
        <is>
          <t>NYKÖPING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15235-2023</t>
        </is>
      </c>
      <c r="B4398" s="1" t="n">
        <v>45019</v>
      </c>
      <c r="C4398" s="1" t="n">
        <v>45182</v>
      </c>
      <c r="D4398" t="inlineStr">
        <is>
          <t>SÖDERMANLANDS LÄN</t>
        </is>
      </c>
      <c r="E4398" t="inlineStr">
        <is>
          <t>KATRINEHOLM</t>
        </is>
      </c>
      <c r="F4398" t="inlineStr">
        <is>
          <t>Holmen skog AB</t>
        </is>
      </c>
      <c r="G4398" t="n">
        <v>0.7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15293-2023</t>
        </is>
      </c>
      <c r="B4399" s="1" t="n">
        <v>45019</v>
      </c>
      <c r="C4399" s="1" t="n">
        <v>45182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15775-2023</t>
        </is>
      </c>
      <c r="B4400" s="1" t="n">
        <v>45020</v>
      </c>
      <c r="C4400" s="1" t="n">
        <v>45182</v>
      </c>
      <c r="D4400" t="inlineStr">
        <is>
          <t>SÖDERMANLANDS LÄN</t>
        </is>
      </c>
      <c r="E4400" t="inlineStr">
        <is>
          <t>KATRINEHOLM</t>
        </is>
      </c>
      <c r="G4400" t="n">
        <v>39.4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15592-2023</t>
        </is>
      </c>
      <c r="B4401" s="1" t="n">
        <v>45020</v>
      </c>
      <c r="C4401" s="1" t="n">
        <v>45182</v>
      </c>
      <c r="D4401" t="inlineStr">
        <is>
          <t>SÖDERMANLANDS LÄN</t>
        </is>
      </c>
      <c r="E4401" t="inlineStr">
        <is>
          <t>ESKILSTUNA</t>
        </is>
      </c>
      <c r="G4401" t="n">
        <v>7.9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16071-2023</t>
        </is>
      </c>
      <c r="B4402" s="1" t="n">
        <v>45021</v>
      </c>
      <c r="C4402" s="1" t="n">
        <v>45182</v>
      </c>
      <c r="D4402" t="inlineStr">
        <is>
          <t>SÖDERMANLANDS LÄN</t>
        </is>
      </c>
      <c r="E4402" t="inlineStr">
        <is>
          <t>VINGÅKER</t>
        </is>
      </c>
      <c r="G4402" t="n">
        <v>0.3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15779-2023</t>
        </is>
      </c>
      <c r="B4403" s="1" t="n">
        <v>45021</v>
      </c>
      <c r="C4403" s="1" t="n">
        <v>45182</v>
      </c>
      <c r="D4403" t="inlineStr">
        <is>
          <t>SÖDERMANLANDS LÄN</t>
        </is>
      </c>
      <c r="E4403" t="inlineStr">
        <is>
          <t>ESKILSTUNA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16147-2023</t>
        </is>
      </c>
      <c r="B4404" s="1" t="n">
        <v>45022</v>
      </c>
      <c r="C4404" s="1" t="n">
        <v>45182</v>
      </c>
      <c r="D4404" t="inlineStr">
        <is>
          <t>SÖDERMANLANDS LÄN</t>
        </is>
      </c>
      <c r="E4404" t="inlineStr">
        <is>
          <t>NYKÖPING</t>
        </is>
      </c>
      <c r="G4404" t="n">
        <v>1.9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16151-2023</t>
        </is>
      </c>
      <c r="B4405" s="1" t="n">
        <v>45022</v>
      </c>
      <c r="C4405" s="1" t="n">
        <v>45182</v>
      </c>
      <c r="D4405" t="inlineStr">
        <is>
          <t>SÖDERMANLANDS LÄN</t>
        </is>
      </c>
      <c r="E4405" t="inlineStr">
        <is>
          <t>NYKÖPING</t>
        </is>
      </c>
      <c r="G4405" t="n">
        <v>4.1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15900-2023</t>
        </is>
      </c>
      <c r="B4406" s="1" t="n">
        <v>45022</v>
      </c>
      <c r="C4406" s="1" t="n">
        <v>45182</v>
      </c>
      <c r="D4406" t="inlineStr">
        <is>
          <t>SÖDERMANLANDS LÄN</t>
        </is>
      </c>
      <c r="E4406" t="inlineStr">
        <is>
          <t>FLEN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16045-2023</t>
        </is>
      </c>
      <c r="B4407" s="1" t="n">
        <v>45022</v>
      </c>
      <c r="C4407" s="1" t="n">
        <v>45182</v>
      </c>
      <c r="D4407" t="inlineStr">
        <is>
          <t>SÖDERMANLANDS LÄN</t>
        </is>
      </c>
      <c r="E4407" t="inlineStr">
        <is>
          <t>FLEN</t>
        </is>
      </c>
      <c r="G4407" t="n">
        <v>0.7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16145-2023</t>
        </is>
      </c>
      <c r="B4408" s="1" t="n">
        <v>45022</v>
      </c>
      <c r="C4408" s="1" t="n">
        <v>45182</v>
      </c>
      <c r="D4408" t="inlineStr">
        <is>
          <t>SÖDERMANLANDS LÄN</t>
        </is>
      </c>
      <c r="E4408" t="inlineStr">
        <is>
          <t>NYKÖPING</t>
        </is>
      </c>
      <c r="G4408" t="n">
        <v>1.1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15897-2023</t>
        </is>
      </c>
      <c r="B4409" s="1" t="n">
        <v>45022</v>
      </c>
      <c r="C4409" s="1" t="n">
        <v>45182</v>
      </c>
      <c r="D4409" t="inlineStr">
        <is>
          <t>SÖDERMANLANDS LÄN</t>
        </is>
      </c>
      <c r="E4409" t="inlineStr">
        <is>
          <t>FLEN</t>
        </is>
      </c>
      <c r="G4409" t="n">
        <v>2.6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15904-2023</t>
        </is>
      </c>
      <c r="B4410" s="1" t="n">
        <v>45022</v>
      </c>
      <c r="C4410" s="1" t="n">
        <v>45182</v>
      </c>
      <c r="D4410" t="inlineStr">
        <is>
          <t>SÖDERMANLANDS LÄN</t>
        </is>
      </c>
      <c r="E4410" t="inlineStr">
        <is>
          <t>FLEN</t>
        </is>
      </c>
      <c r="G4410" t="n">
        <v>2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16136-2023</t>
        </is>
      </c>
      <c r="B4411" s="1" t="n">
        <v>45022</v>
      </c>
      <c r="C4411" s="1" t="n">
        <v>45182</v>
      </c>
      <c r="D4411" t="inlineStr">
        <is>
          <t>SÖDERMANLANDS LÄN</t>
        </is>
      </c>
      <c r="E4411" t="inlineStr">
        <is>
          <t>NYKÖPING</t>
        </is>
      </c>
      <c r="G4411" t="n">
        <v>8.9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16155-2023</t>
        </is>
      </c>
      <c r="B4412" s="1" t="n">
        <v>45022</v>
      </c>
      <c r="C4412" s="1" t="n">
        <v>45182</v>
      </c>
      <c r="D4412" t="inlineStr">
        <is>
          <t>SÖDERMANLANDS LÄN</t>
        </is>
      </c>
      <c r="E4412" t="inlineStr">
        <is>
          <t>NYKÖPING</t>
        </is>
      </c>
      <c r="G4412" t="n">
        <v>1.3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16453-2023</t>
        </is>
      </c>
      <c r="B4413" s="1" t="n">
        <v>45025</v>
      </c>
      <c r="C4413" s="1" t="n">
        <v>45182</v>
      </c>
      <c r="D4413" t="inlineStr">
        <is>
          <t>SÖDERMANLANDS LÄN</t>
        </is>
      </c>
      <c r="E4413" t="inlineStr">
        <is>
          <t>VINGÅKER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16087-2023</t>
        </is>
      </c>
      <c r="B4414" s="1" t="n">
        <v>45026</v>
      </c>
      <c r="C4414" s="1" t="n">
        <v>45182</v>
      </c>
      <c r="D4414" t="inlineStr">
        <is>
          <t>SÖDERMANLANDS LÄN</t>
        </is>
      </c>
      <c r="E4414" t="inlineStr">
        <is>
          <t>KATRINEHOLM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16075-2023</t>
        </is>
      </c>
      <c r="B4415" s="1" t="n">
        <v>45027</v>
      </c>
      <c r="C4415" s="1" t="n">
        <v>45182</v>
      </c>
      <c r="D4415" t="inlineStr">
        <is>
          <t>SÖDERMANLANDS LÄN</t>
        </is>
      </c>
      <c r="E4415" t="inlineStr">
        <is>
          <t>TROSA</t>
        </is>
      </c>
      <c r="F4415" t="inlineStr">
        <is>
          <t>Holmen skog AB</t>
        </is>
      </c>
      <c r="G4415" t="n">
        <v>0.6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16078-2023</t>
        </is>
      </c>
      <c r="B4416" s="1" t="n">
        <v>45027</v>
      </c>
      <c r="C4416" s="1" t="n">
        <v>45182</v>
      </c>
      <c r="D4416" t="inlineStr">
        <is>
          <t>SÖDERMANLANDS LÄN</t>
        </is>
      </c>
      <c r="E4416" t="inlineStr">
        <is>
          <t>NYKÖPING</t>
        </is>
      </c>
      <c r="G4416" t="n">
        <v>0.9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16029-2023</t>
        </is>
      </c>
      <c r="B4417" s="1" t="n">
        <v>45027</v>
      </c>
      <c r="C4417" s="1" t="n">
        <v>45182</v>
      </c>
      <c r="D4417" t="inlineStr">
        <is>
          <t>SÖDERMANLANDS LÄN</t>
        </is>
      </c>
      <c r="E4417" t="inlineStr">
        <is>
          <t>TROSA</t>
        </is>
      </c>
      <c r="F4417" t="inlineStr">
        <is>
          <t>Holmen skog AB</t>
        </is>
      </c>
      <c r="G4417" t="n">
        <v>4.6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16072-2023</t>
        </is>
      </c>
      <c r="B4418" s="1" t="n">
        <v>45027</v>
      </c>
      <c r="C4418" s="1" t="n">
        <v>45182</v>
      </c>
      <c r="D4418" t="inlineStr">
        <is>
          <t>SÖDERMANLANDS LÄN</t>
        </is>
      </c>
      <c r="E4418" t="inlineStr">
        <is>
          <t>NYKÖPING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16354-2023</t>
        </is>
      </c>
      <c r="B4419" s="1" t="n">
        <v>45028</v>
      </c>
      <c r="C4419" s="1" t="n">
        <v>45182</v>
      </c>
      <c r="D4419" t="inlineStr">
        <is>
          <t>SÖDERMANLANDS LÄN</t>
        </is>
      </c>
      <c r="E4419" t="inlineStr">
        <is>
          <t>NYKÖPING</t>
        </is>
      </c>
      <c r="G4419" t="n">
        <v>1.6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16718-2023</t>
        </is>
      </c>
      <c r="B4420" s="1" t="n">
        <v>45028</v>
      </c>
      <c r="C4420" s="1" t="n">
        <v>45182</v>
      </c>
      <c r="D4420" t="inlineStr">
        <is>
          <t>SÖDERMANLANDS LÄN</t>
        </is>
      </c>
      <c r="E4420" t="inlineStr">
        <is>
          <t>ESKILSTUNA</t>
        </is>
      </c>
      <c r="G4420" t="n">
        <v>14.9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16457-2023</t>
        </is>
      </c>
      <c r="B4421" s="1" t="n">
        <v>45029</v>
      </c>
      <c r="C4421" s="1" t="n">
        <v>45182</v>
      </c>
      <c r="D4421" t="inlineStr">
        <is>
          <t>SÖDERMANLANDS LÄN</t>
        </is>
      </c>
      <c r="E4421" t="inlineStr">
        <is>
          <t>NYKÖPING</t>
        </is>
      </c>
      <c r="G4421" t="n">
        <v>0.1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16476-2023</t>
        </is>
      </c>
      <c r="B4422" s="1" t="n">
        <v>45029</v>
      </c>
      <c r="C4422" s="1" t="n">
        <v>45182</v>
      </c>
      <c r="D4422" t="inlineStr">
        <is>
          <t>SÖDERMANLANDS LÄN</t>
        </is>
      </c>
      <c r="E4422" t="inlineStr">
        <is>
          <t>NYKÖPING</t>
        </is>
      </c>
      <c r="F4422" t="inlineStr">
        <is>
          <t>Övriga Aktiebolag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16460-2023</t>
        </is>
      </c>
      <c r="B4423" s="1" t="n">
        <v>45029</v>
      </c>
      <c r="C4423" s="1" t="n">
        <v>45182</v>
      </c>
      <c r="D4423" t="inlineStr">
        <is>
          <t>SÖDERMANLANDS LÄN</t>
        </is>
      </c>
      <c r="E4423" t="inlineStr">
        <is>
          <t>NYKÖPING</t>
        </is>
      </c>
      <c r="G4423" t="n">
        <v>0.5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16399-2023</t>
        </is>
      </c>
      <c r="B4424" s="1" t="n">
        <v>45029</v>
      </c>
      <c r="C4424" s="1" t="n">
        <v>45182</v>
      </c>
      <c r="D4424" t="inlineStr">
        <is>
          <t>SÖDERMANLANDS LÄN</t>
        </is>
      </c>
      <c r="E4424" t="inlineStr">
        <is>
          <t>FLEN</t>
        </is>
      </c>
      <c r="G4424" t="n">
        <v>4.2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16408-2023</t>
        </is>
      </c>
      <c r="B4425" s="1" t="n">
        <v>45029</v>
      </c>
      <c r="C4425" s="1" t="n">
        <v>45182</v>
      </c>
      <c r="D4425" t="inlineStr">
        <is>
          <t>SÖDERMANLANDS LÄN</t>
        </is>
      </c>
      <c r="E4425" t="inlineStr">
        <is>
          <t>ESKILSTUNA</t>
        </is>
      </c>
      <c r="G4425" t="n">
        <v>2.8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16583-2023</t>
        </is>
      </c>
      <c r="B4426" s="1" t="n">
        <v>45030</v>
      </c>
      <c r="C4426" s="1" t="n">
        <v>45182</v>
      </c>
      <c r="D4426" t="inlineStr">
        <is>
          <t>SÖDERMANLANDS LÄN</t>
        </is>
      </c>
      <c r="E4426" t="inlineStr">
        <is>
          <t>FLEN</t>
        </is>
      </c>
      <c r="G4426" t="n">
        <v>4.1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16738-2023</t>
        </is>
      </c>
      <c r="B4427" s="1" t="n">
        <v>45030</v>
      </c>
      <c r="C4427" s="1" t="n">
        <v>45182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15.1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16732-2023</t>
        </is>
      </c>
      <c r="B4428" s="1" t="n">
        <v>45030</v>
      </c>
      <c r="C4428" s="1" t="n">
        <v>45182</v>
      </c>
      <c r="D4428" t="inlineStr">
        <is>
          <t>SÖDERMANLANDS LÄN</t>
        </is>
      </c>
      <c r="E4428" t="inlineStr">
        <is>
          <t>KATRINEHOLM</t>
        </is>
      </c>
      <c r="F4428" t="inlineStr">
        <is>
          <t>Holmen skog AB</t>
        </is>
      </c>
      <c r="G4428" t="n">
        <v>6.5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16810-2023</t>
        </is>
      </c>
      <c r="B4429" s="1" t="n">
        <v>45033</v>
      </c>
      <c r="C4429" s="1" t="n">
        <v>45182</v>
      </c>
      <c r="D4429" t="inlineStr">
        <is>
          <t>SÖDERMANLANDS LÄN</t>
        </is>
      </c>
      <c r="E4429" t="inlineStr">
        <is>
          <t>NYKÖPING</t>
        </is>
      </c>
      <c r="F4429" t="inlineStr">
        <is>
          <t>Övriga Aktiebolag</t>
        </is>
      </c>
      <c r="G4429" t="n">
        <v>1.8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17335-2023</t>
        </is>
      </c>
      <c r="B4430" s="1" t="n">
        <v>45033</v>
      </c>
      <c r="C4430" s="1" t="n">
        <v>45182</v>
      </c>
      <c r="D4430" t="inlineStr">
        <is>
          <t>SÖDERMANLANDS LÄN</t>
        </is>
      </c>
      <c r="E4430" t="inlineStr">
        <is>
          <t>KATRINEHOLM</t>
        </is>
      </c>
      <c r="G4430" t="n">
        <v>3.3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16981-2023</t>
        </is>
      </c>
      <c r="B4431" s="1" t="n">
        <v>45033</v>
      </c>
      <c r="C4431" s="1" t="n">
        <v>45182</v>
      </c>
      <c r="D4431" t="inlineStr">
        <is>
          <t>SÖDERMANLANDS LÄN</t>
        </is>
      </c>
      <c r="E4431" t="inlineStr">
        <is>
          <t>NYKÖPING</t>
        </is>
      </c>
      <c r="F4431" t="inlineStr">
        <is>
          <t>Holmen skog AB</t>
        </is>
      </c>
      <c r="G4431" t="n">
        <v>16.5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17362-2023</t>
        </is>
      </c>
      <c r="B4432" s="1" t="n">
        <v>45033</v>
      </c>
      <c r="C4432" s="1" t="n">
        <v>45182</v>
      </c>
      <c r="D4432" t="inlineStr">
        <is>
          <t>SÖDERMANLANDS LÄN</t>
        </is>
      </c>
      <c r="E4432" t="inlineStr">
        <is>
          <t>KATRINEHOLM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17185-2023</t>
        </is>
      </c>
      <c r="B4433" s="1" t="n">
        <v>45034</v>
      </c>
      <c r="C4433" s="1" t="n">
        <v>45182</v>
      </c>
      <c r="D4433" t="inlineStr">
        <is>
          <t>SÖDERMANLANDS LÄN</t>
        </is>
      </c>
      <c r="E4433" t="inlineStr">
        <is>
          <t>GNESTA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17155-2023</t>
        </is>
      </c>
      <c r="B4434" s="1" t="n">
        <v>45034</v>
      </c>
      <c r="C4434" s="1" t="n">
        <v>45182</v>
      </c>
      <c r="D4434" t="inlineStr">
        <is>
          <t>SÖDERMANLANDS LÄN</t>
        </is>
      </c>
      <c r="E4434" t="inlineStr">
        <is>
          <t>GNESTA</t>
        </is>
      </c>
      <c r="G4434" t="n">
        <v>1.3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17372-2023</t>
        </is>
      </c>
      <c r="B4435" s="1" t="n">
        <v>45034</v>
      </c>
      <c r="C4435" s="1" t="n">
        <v>45182</v>
      </c>
      <c r="D4435" t="inlineStr">
        <is>
          <t>SÖDERMANLANDS LÄN</t>
        </is>
      </c>
      <c r="E4435" t="inlineStr">
        <is>
          <t>NYKÖPING</t>
        </is>
      </c>
      <c r="G4435" t="n">
        <v>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17183-2023</t>
        </is>
      </c>
      <c r="B4436" s="1" t="n">
        <v>45034</v>
      </c>
      <c r="C4436" s="1" t="n">
        <v>45182</v>
      </c>
      <c r="D4436" t="inlineStr">
        <is>
          <t>SÖDERMANLANDS LÄN</t>
        </is>
      </c>
      <c r="E4436" t="inlineStr">
        <is>
          <t>GNESTA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17385-2023</t>
        </is>
      </c>
      <c r="B4437" s="1" t="n">
        <v>45034</v>
      </c>
      <c r="C4437" s="1" t="n">
        <v>45182</v>
      </c>
      <c r="D4437" t="inlineStr">
        <is>
          <t>SÖDERMANLANDS LÄN</t>
        </is>
      </c>
      <c r="E4437" t="inlineStr">
        <is>
          <t>NYKÖPING</t>
        </is>
      </c>
      <c r="G4437" t="n">
        <v>1.1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17520-2023</t>
        </is>
      </c>
      <c r="B4438" s="1" t="n">
        <v>45034</v>
      </c>
      <c r="C4438" s="1" t="n">
        <v>45182</v>
      </c>
      <c r="D4438" t="inlineStr">
        <is>
          <t>SÖDERMANLANDS LÄN</t>
        </is>
      </c>
      <c r="E4438" t="inlineStr">
        <is>
          <t>VINGÅKER</t>
        </is>
      </c>
      <c r="G4438" t="n">
        <v>2.1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17125-2023</t>
        </is>
      </c>
      <c r="B4439" s="1" t="n">
        <v>45034</v>
      </c>
      <c r="C4439" s="1" t="n">
        <v>45182</v>
      </c>
      <c r="D4439" t="inlineStr">
        <is>
          <t>SÖDERMANLANDS LÄN</t>
        </is>
      </c>
      <c r="E4439" t="inlineStr">
        <is>
          <t>FLEN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17531-2023</t>
        </is>
      </c>
      <c r="B4440" s="1" t="n">
        <v>45036</v>
      </c>
      <c r="C4440" s="1" t="n">
        <v>45182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7.2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17581-2023</t>
        </is>
      </c>
      <c r="B4441" s="1" t="n">
        <v>45036</v>
      </c>
      <c r="C4441" s="1" t="n">
        <v>45182</v>
      </c>
      <c r="D4441" t="inlineStr">
        <is>
          <t>SÖDERMANLANDS LÄN</t>
        </is>
      </c>
      <c r="E4441" t="inlineStr">
        <is>
          <t>KATRINEHOLM</t>
        </is>
      </c>
      <c r="F4441" t="inlineStr">
        <is>
          <t>Holmen skog AB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17653-2023</t>
        </is>
      </c>
      <c r="B4442" s="1" t="n">
        <v>45036</v>
      </c>
      <c r="C4442" s="1" t="n">
        <v>45182</v>
      </c>
      <c r="D4442" t="inlineStr">
        <is>
          <t>SÖDERMANLANDS LÄN</t>
        </is>
      </c>
      <c r="E4442" t="inlineStr">
        <is>
          <t>GNESTA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17457-2023</t>
        </is>
      </c>
      <c r="B4443" s="1" t="n">
        <v>45036</v>
      </c>
      <c r="C4443" s="1" t="n">
        <v>45182</v>
      </c>
      <c r="D4443" t="inlineStr">
        <is>
          <t>SÖDERMANLANDS LÄN</t>
        </is>
      </c>
      <c r="E4443" t="inlineStr">
        <is>
          <t>ESKILSTUNA</t>
        </is>
      </c>
      <c r="G4443" t="n">
        <v>4.1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17656-2023</t>
        </is>
      </c>
      <c r="B4444" s="1" t="n">
        <v>45036</v>
      </c>
      <c r="C4444" s="1" t="n">
        <v>45182</v>
      </c>
      <c r="D4444" t="inlineStr">
        <is>
          <t>SÖDERMANLANDS LÄN</t>
        </is>
      </c>
      <c r="E4444" t="inlineStr">
        <is>
          <t>VINGÅKER</t>
        </is>
      </c>
      <c r="G4444" t="n">
        <v>0.6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17793-2023</t>
        </is>
      </c>
      <c r="B4445" s="1" t="n">
        <v>45036</v>
      </c>
      <c r="C4445" s="1" t="n">
        <v>45182</v>
      </c>
      <c r="D4445" t="inlineStr">
        <is>
          <t>SÖDERMANLANDS LÄN</t>
        </is>
      </c>
      <c r="E4445" t="inlineStr">
        <is>
          <t>STRÄNGNÄS</t>
        </is>
      </c>
      <c r="G4445" t="n">
        <v>1.9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17655-2023</t>
        </is>
      </c>
      <c r="B4446" s="1" t="n">
        <v>45036</v>
      </c>
      <c r="C4446" s="1" t="n">
        <v>45182</v>
      </c>
      <c r="D4446" t="inlineStr">
        <is>
          <t>SÖDERMANLANDS LÄN</t>
        </is>
      </c>
      <c r="E4446" t="inlineStr">
        <is>
          <t>FLEN</t>
        </is>
      </c>
      <c r="G4446" t="n">
        <v>3.6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17459-2023</t>
        </is>
      </c>
      <c r="B4447" s="1" t="n">
        <v>45036</v>
      </c>
      <c r="C4447" s="1" t="n">
        <v>45182</v>
      </c>
      <c r="D4447" t="inlineStr">
        <is>
          <t>SÖDERMANLANDS LÄN</t>
        </is>
      </c>
      <c r="E4447" t="inlineStr">
        <is>
          <t>ESKILSTUNA</t>
        </is>
      </c>
      <c r="G4447" t="n">
        <v>2.4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17598-2023</t>
        </is>
      </c>
      <c r="B4448" s="1" t="n">
        <v>45036</v>
      </c>
      <c r="C4448" s="1" t="n">
        <v>45182</v>
      </c>
      <c r="D4448" t="inlineStr">
        <is>
          <t>SÖDERMANLANDS LÄN</t>
        </is>
      </c>
      <c r="E4448" t="inlineStr">
        <is>
          <t>KATRINEHOLM</t>
        </is>
      </c>
      <c r="F4448" t="inlineStr">
        <is>
          <t>Holmen skog AB</t>
        </is>
      </c>
      <c r="G4448" t="n">
        <v>3.6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17727-2023</t>
        </is>
      </c>
      <c r="B4449" s="1" t="n">
        <v>45036</v>
      </c>
      <c r="C4449" s="1" t="n">
        <v>45182</v>
      </c>
      <c r="D4449" t="inlineStr">
        <is>
          <t>SÖDERMANLANDS LÄN</t>
        </is>
      </c>
      <c r="E4449" t="inlineStr">
        <is>
          <t>ESKILSTUNA</t>
        </is>
      </c>
      <c r="G4449" t="n">
        <v>3.1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17687-2023</t>
        </is>
      </c>
      <c r="B4450" s="1" t="n">
        <v>45037</v>
      </c>
      <c r="C4450" s="1" t="n">
        <v>45182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2.2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17692-2023</t>
        </is>
      </c>
      <c r="B4451" s="1" t="n">
        <v>45037</v>
      </c>
      <c r="C4451" s="1" t="n">
        <v>45182</v>
      </c>
      <c r="D4451" t="inlineStr">
        <is>
          <t>SÖDERMANLANDS LÄN</t>
        </is>
      </c>
      <c r="E4451" t="inlineStr">
        <is>
          <t>NYKÖPING</t>
        </is>
      </c>
      <c r="F4451" t="inlineStr">
        <is>
          <t>Sveaskog</t>
        </is>
      </c>
      <c r="G4451" t="n">
        <v>1.8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17739-2023</t>
        </is>
      </c>
      <c r="B4452" s="1" t="n">
        <v>45037</v>
      </c>
      <c r="C4452" s="1" t="n">
        <v>45182</v>
      </c>
      <c r="D4452" t="inlineStr">
        <is>
          <t>SÖDERMANLANDS LÄN</t>
        </is>
      </c>
      <c r="E4452" t="inlineStr">
        <is>
          <t>VINGÅKER</t>
        </is>
      </c>
      <c r="G4452" t="n">
        <v>1.7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17689-2023</t>
        </is>
      </c>
      <c r="B4453" s="1" t="n">
        <v>45037</v>
      </c>
      <c r="C4453" s="1" t="n">
        <v>45182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17734-2023</t>
        </is>
      </c>
      <c r="B4454" s="1" t="n">
        <v>45037</v>
      </c>
      <c r="C4454" s="1" t="n">
        <v>45182</v>
      </c>
      <c r="D4454" t="inlineStr">
        <is>
          <t>SÖDERMANLANDS LÄN</t>
        </is>
      </c>
      <c r="E4454" t="inlineStr">
        <is>
          <t>NYKÖPING</t>
        </is>
      </c>
      <c r="G4454" t="n">
        <v>12.2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17688-2023</t>
        </is>
      </c>
      <c r="B4455" s="1" t="n">
        <v>45037</v>
      </c>
      <c r="C4455" s="1" t="n">
        <v>45182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17691-2023</t>
        </is>
      </c>
      <c r="B4456" s="1" t="n">
        <v>45037</v>
      </c>
      <c r="C4456" s="1" t="n">
        <v>45182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2.4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18093-2023</t>
        </is>
      </c>
      <c r="B4457" s="1" t="n">
        <v>45039</v>
      </c>
      <c r="C4457" s="1" t="n">
        <v>45182</v>
      </c>
      <c r="D4457" t="inlineStr">
        <is>
          <t>SÖDERMANLANDS LÄN</t>
        </is>
      </c>
      <c r="E4457" t="inlineStr">
        <is>
          <t>FLEN</t>
        </is>
      </c>
      <c r="G4457" t="n">
        <v>2.3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18083-2023</t>
        </is>
      </c>
      <c r="B4458" s="1" t="n">
        <v>45039</v>
      </c>
      <c r="C4458" s="1" t="n">
        <v>45182</v>
      </c>
      <c r="D4458" t="inlineStr">
        <is>
          <t>SÖDERMANLANDS LÄN</t>
        </is>
      </c>
      <c r="E4458" t="inlineStr">
        <is>
          <t>FLEN</t>
        </is>
      </c>
      <c r="G4458" t="n">
        <v>7.4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18073-2023</t>
        </is>
      </c>
      <c r="B4459" s="1" t="n">
        <v>45039</v>
      </c>
      <c r="C4459" s="1" t="n">
        <v>45182</v>
      </c>
      <c r="D4459" t="inlineStr">
        <is>
          <t>SÖDERMANLANDS LÄN</t>
        </is>
      </c>
      <c r="E4459" t="inlineStr">
        <is>
          <t>FLEN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18102-2023</t>
        </is>
      </c>
      <c r="B4460" s="1" t="n">
        <v>45039</v>
      </c>
      <c r="C4460" s="1" t="n">
        <v>45182</v>
      </c>
      <c r="D4460" t="inlineStr">
        <is>
          <t>SÖDERMANLANDS LÄN</t>
        </is>
      </c>
      <c r="E4460" t="inlineStr">
        <is>
          <t>FLEN</t>
        </is>
      </c>
      <c r="G4460" t="n">
        <v>7.7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18036-2023</t>
        </is>
      </c>
      <c r="B4461" s="1" t="n">
        <v>45040</v>
      </c>
      <c r="C4461" s="1" t="n">
        <v>45182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Holmen skog AB</t>
        </is>
      </c>
      <c r="G4461" t="n">
        <v>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18124-2023</t>
        </is>
      </c>
      <c r="B4462" s="1" t="n">
        <v>45040</v>
      </c>
      <c r="C4462" s="1" t="n">
        <v>45182</v>
      </c>
      <c r="D4462" t="inlineStr">
        <is>
          <t>SÖDERMANLANDS LÄN</t>
        </is>
      </c>
      <c r="E4462" t="inlineStr">
        <is>
          <t>NYKÖPING</t>
        </is>
      </c>
      <c r="G4462" t="n">
        <v>1.5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17988-2023</t>
        </is>
      </c>
      <c r="B4463" s="1" t="n">
        <v>45040</v>
      </c>
      <c r="C4463" s="1" t="n">
        <v>45182</v>
      </c>
      <c r="D4463" t="inlineStr">
        <is>
          <t>SÖDERMANLANDS LÄN</t>
        </is>
      </c>
      <c r="E4463" t="inlineStr">
        <is>
          <t>TROSA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18123-2023</t>
        </is>
      </c>
      <c r="B4464" s="1" t="n">
        <v>45040</v>
      </c>
      <c r="C4464" s="1" t="n">
        <v>45182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18343-2023</t>
        </is>
      </c>
      <c r="B4465" s="1" t="n">
        <v>45040</v>
      </c>
      <c r="C4465" s="1" t="n">
        <v>45182</v>
      </c>
      <c r="D4465" t="inlineStr">
        <is>
          <t>SÖDERMANLANDS LÄN</t>
        </is>
      </c>
      <c r="E4465" t="inlineStr">
        <is>
          <t>NYKÖPING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17986-2023</t>
        </is>
      </c>
      <c r="B4466" s="1" t="n">
        <v>45040</v>
      </c>
      <c r="C4466" s="1" t="n">
        <v>45182</v>
      </c>
      <c r="D4466" t="inlineStr">
        <is>
          <t>SÖDERMANLANDS LÄN</t>
        </is>
      </c>
      <c r="E4466" t="inlineStr">
        <is>
          <t>TROSA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18053-2023</t>
        </is>
      </c>
      <c r="B4467" s="1" t="n">
        <v>45040</v>
      </c>
      <c r="C4467" s="1" t="n">
        <v>45182</v>
      </c>
      <c r="D4467" t="inlineStr">
        <is>
          <t>SÖDERMANLANDS LÄN</t>
        </is>
      </c>
      <c r="E4467" t="inlineStr">
        <is>
          <t>NYKÖPING</t>
        </is>
      </c>
      <c r="F4467" t="inlineStr">
        <is>
          <t>Holmen skog AB</t>
        </is>
      </c>
      <c r="G4467" t="n">
        <v>1.7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18185-2023</t>
        </is>
      </c>
      <c r="B4468" s="1" t="n">
        <v>45041</v>
      </c>
      <c r="C4468" s="1" t="n">
        <v>45182</v>
      </c>
      <c r="D4468" t="inlineStr">
        <is>
          <t>SÖDERMANLANDS LÄN</t>
        </is>
      </c>
      <c r="E4468" t="inlineStr">
        <is>
          <t>ESKILSTUNA</t>
        </is>
      </c>
      <c r="G4468" t="n">
        <v>12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18182-2023</t>
        </is>
      </c>
      <c r="B4469" s="1" t="n">
        <v>45041</v>
      </c>
      <c r="C4469" s="1" t="n">
        <v>45182</v>
      </c>
      <c r="D4469" t="inlineStr">
        <is>
          <t>SÖDERMANLANDS LÄN</t>
        </is>
      </c>
      <c r="E4469" t="inlineStr">
        <is>
          <t>VINGÅKER</t>
        </is>
      </c>
      <c r="G4469" t="n">
        <v>1.3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18192-2023</t>
        </is>
      </c>
      <c r="B4470" s="1" t="n">
        <v>45041</v>
      </c>
      <c r="C4470" s="1" t="n">
        <v>45182</v>
      </c>
      <c r="D4470" t="inlineStr">
        <is>
          <t>SÖDERMANLANDS LÄN</t>
        </is>
      </c>
      <c r="E4470" t="inlineStr">
        <is>
          <t>ESKILSTUNA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18242-2023</t>
        </is>
      </c>
      <c r="B4471" s="1" t="n">
        <v>45041</v>
      </c>
      <c r="C4471" s="1" t="n">
        <v>45182</v>
      </c>
      <c r="D4471" t="inlineStr">
        <is>
          <t>SÖDERMANLANDS LÄN</t>
        </is>
      </c>
      <c r="E4471" t="inlineStr">
        <is>
          <t>STRÄNGNÄS</t>
        </is>
      </c>
      <c r="F4471" t="inlineStr">
        <is>
          <t>Allmännings- och besparingsskogar</t>
        </is>
      </c>
      <c r="G4471" t="n">
        <v>0.6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18339-2023</t>
        </is>
      </c>
      <c r="B4472" s="1" t="n">
        <v>45041</v>
      </c>
      <c r="C4472" s="1" t="n">
        <v>45182</v>
      </c>
      <c r="D4472" t="inlineStr">
        <is>
          <t>SÖDERMANLANDS LÄN</t>
        </is>
      </c>
      <c r="E4472" t="inlineStr">
        <is>
          <t>KATRINEHOLM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18511-2023</t>
        </is>
      </c>
      <c r="B4473" s="1" t="n">
        <v>45041</v>
      </c>
      <c r="C4473" s="1" t="n">
        <v>45182</v>
      </c>
      <c r="D4473" t="inlineStr">
        <is>
          <t>SÖDERMANLANDS LÄN</t>
        </is>
      </c>
      <c r="E4473" t="inlineStr">
        <is>
          <t>FLEN</t>
        </is>
      </c>
      <c r="G4473" t="n">
        <v>3.1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18406-2023</t>
        </is>
      </c>
      <c r="B4474" s="1" t="n">
        <v>45042</v>
      </c>
      <c r="C4474" s="1" t="n">
        <v>45182</v>
      </c>
      <c r="D4474" t="inlineStr">
        <is>
          <t>SÖDERMANLANDS LÄN</t>
        </is>
      </c>
      <c r="E4474" t="inlineStr">
        <is>
          <t>GNESTA</t>
        </is>
      </c>
      <c r="F4474" t="inlineStr">
        <is>
          <t>Holmen skog AB</t>
        </is>
      </c>
      <c r="G4474" t="n">
        <v>3.7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18604-2023</t>
        </is>
      </c>
      <c r="B4475" s="1" t="n">
        <v>45043</v>
      </c>
      <c r="C4475" s="1" t="n">
        <v>45182</v>
      </c>
      <c r="D4475" t="inlineStr">
        <is>
          <t>SÖDERMANLANDS LÄN</t>
        </is>
      </c>
      <c r="E4475" t="inlineStr">
        <is>
          <t>NYKÖPING</t>
        </is>
      </c>
      <c r="G4475" t="n">
        <v>2.9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18688-2023</t>
        </is>
      </c>
      <c r="B4476" s="1" t="n">
        <v>45043</v>
      </c>
      <c r="C4476" s="1" t="n">
        <v>45182</v>
      </c>
      <c r="D4476" t="inlineStr">
        <is>
          <t>SÖDERMANLANDS LÄN</t>
        </is>
      </c>
      <c r="E4476" t="inlineStr">
        <is>
          <t>NYKÖPING</t>
        </is>
      </c>
      <c r="G4476" t="n">
        <v>2.5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18654-2023</t>
        </is>
      </c>
      <c r="B4477" s="1" t="n">
        <v>45043</v>
      </c>
      <c r="C4477" s="1" t="n">
        <v>45182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10.7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18627-2023</t>
        </is>
      </c>
      <c r="B4478" s="1" t="n">
        <v>45043</v>
      </c>
      <c r="C4478" s="1" t="n">
        <v>45182</v>
      </c>
      <c r="D4478" t="inlineStr">
        <is>
          <t>SÖDERMANLANDS LÄN</t>
        </is>
      </c>
      <c r="E4478" t="inlineStr">
        <is>
          <t>VINGÅKER</t>
        </is>
      </c>
      <c r="F4478" t="inlineStr">
        <is>
          <t>Övriga Aktiebolag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18673-2023</t>
        </is>
      </c>
      <c r="B4479" s="1" t="n">
        <v>45043</v>
      </c>
      <c r="C4479" s="1" t="n">
        <v>45182</v>
      </c>
      <c r="D4479" t="inlineStr">
        <is>
          <t>SÖDERMANLANDS LÄN</t>
        </is>
      </c>
      <c r="E4479" t="inlineStr">
        <is>
          <t>ESKILSTUNA</t>
        </is>
      </c>
      <c r="G4479" t="n">
        <v>2.6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18689-2023</t>
        </is>
      </c>
      <c r="B4480" s="1" t="n">
        <v>45043</v>
      </c>
      <c r="C4480" s="1" t="n">
        <v>45182</v>
      </c>
      <c r="D4480" t="inlineStr">
        <is>
          <t>SÖDERMANLANDS LÄN</t>
        </is>
      </c>
      <c r="E4480" t="inlineStr">
        <is>
          <t>FLEN</t>
        </is>
      </c>
      <c r="G4480" t="n">
        <v>8.4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18763-2023</t>
        </is>
      </c>
      <c r="B4481" s="1" t="n">
        <v>45043</v>
      </c>
      <c r="C4481" s="1" t="n">
        <v>45182</v>
      </c>
      <c r="D4481" t="inlineStr">
        <is>
          <t>SÖDERMANLANDS LÄN</t>
        </is>
      </c>
      <c r="E4481" t="inlineStr">
        <is>
          <t>GNESTA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18873-2023</t>
        </is>
      </c>
      <c r="B4482" s="1" t="n">
        <v>45044</v>
      </c>
      <c r="C4482" s="1" t="n">
        <v>45182</v>
      </c>
      <c r="D4482" t="inlineStr">
        <is>
          <t>SÖDERMANLANDS LÄN</t>
        </is>
      </c>
      <c r="E4482" t="inlineStr">
        <is>
          <t>STRÄNGNÄS</t>
        </is>
      </c>
      <c r="G4482" t="n">
        <v>2.7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18898-2023</t>
        </is>
      </c>
      <c r="B4483" s="1" t="n">
        <v>45044</v>
      </c>
      <c r="C4483" s="1" t="n">
        <v>45182</v>
      </c>
      <c r="D4483" t="inlineStr">
        <is>
          <t>SÖDERMANLANDS LÄN</t>
        </is>
      </c>
      <c r="E4483" t="inlineStr">
        <is>
          <t>GNESTA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18912-2023</t>
        </is>
      </c>
      <c r="B4484" s="1" t="n">
        <v>45044</v>
      </c>
      <c r="C4484" s="1" t="n">
        <v>45182</v>
      </c>
      <c r="D4484" t="inlineStr">
        <is>
          <t>SÖDERMANLANDS LÄN</t>
        </is>
      </c>
      <c r="E4484" t="inlineStr">
        <is>
          <t>NYKÖPING</t>
        </is>
      </c>
      <c r="G4484" t="n">
        <v>0.8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18924-2023</t>
        </is>
      </c>
      <c r="B4485" s="1" t="n">
        <v>45044</v>
      </c>
      <c r="C4485" s="1" t="n">
        <v>45182</v>
      </c>
      <c r="D4485" t="inlineStr">
        <is>
          <t>SÖDERMANLANDS LÄN</t>
        </is>
      </c>
      <c r="E4485" t="inlineStr">
        <is>
          <t>NYKÖPING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18865-2023</t>
        </is>
      </c>
      <c r="B4486" s="1" t="n">
        <v>45044</v>
      </c>
      <c r="C4486" s="1" t="n">
        <v>45182</v>
      </c>
      <c r="D4486" t="inlineStr">
        <is>
          <t>SÖDERMANLANDS LÄN</t>
        </is>
      </c>
      <c r="E4486" t="inlineStr">
        <is>
          <t>STRÄNGNÄS</t>
        </is>
      </c>
      <c r="G4486" t="n">
        <v>1.1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18897-2023</t>
        </is>
      </c>
      <c r="B4487" s="1" t="n">
        <v>45044</v>
      </c>
      <c r="C4487" s="1" t="n">
        <v>45182</v>
      </c>
      <c r="D4487" t="inlineStr">
        <is>
          <t>SÖDERMANLANDS LÄN</t>
        </is>
      </c>
      <c r="E4487" t="inlineStr">
        <is>
          <t>ESKILSTUNA</t>
        </is>
      </c>
      <c r="G4487" t="n">
        <v>0.9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18918-2023</t>
        </is>
      </c>
      <c r="B4488" s="1" t="n">
        <v>45044</v>
      </c>
      <c r="C4488" s="1" t="n">
        <v>45182</v>
      </c>
      <c r="D4488" t="inlineStr">
        <is>
          <t>SÖDERMANLANDS LÄN</t>
        </is>
      </c>
      <c r="E4488" t="inlineStr">
        <is>
          <t>NYKÖPING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18965-2023</t>
        </is>
      </c>
      <c r="B4489" s="1" t="n">
        <v>45044</v>
      </c>
      <c r="C4489" s="1" t="n">
        <v>45182</v>
      </c>
      <c r="D4489" t="inlineStr">
        <is>
          <t>SÖDERMANLANDS LÄN</t>
        </is>
      </c>
      <c r="E4489" t="inlineStr">
        <is>
          <t>ESKILSTUNA</t>
        </is>
      </c>
      <c r="G4489" t="n">
        <v>1.3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18902-2023</t>
        </is>
      </c>
      <c r="B4490" s="1" t="n">
        <v>45044</v>
      </c>
      <c r="C4490" s="1" t="n">
        <v>45182</v>
      </c>
      <c r="D4490" t="inlineStr">
        <is>
          <t>SÖDERMANLANDS LÄN</t>
        </is>
      </c>
      <c r="E4490" t="inlineStr">
        <is>
          <t>GNESTA</t>
        </is>
      </c>
      <c r="G4490" t="n">
        <v>1.2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18860-2023</t>
        </is>
      </c>
      <c r="B4491" s="1" t="n">
        <v>45044</v>
      </c>
      <c r="C4491" s="1" t="n">
        <v>45182</v>
      </c>
      <c r="D4491" t="inlineStr">
        <is>
          <t>SÖDERMANLANDS LÄN</t>
        </is>
      </c>
      <c r="E4491" t="inlineStr">
        <is>
          <t>STRÄNGNÄS</t>
        </is>
      </c>
      <c r="G4491" t="n">
        <v>2.5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18879-2023</t>
        </is>
      </c>
      <c r="B4492" s="1" t="n">
        <v>45044</v>
      </c>
      <c r="C4492" s="1" t="n">
        <v>45182</v>
      </c>
      <c r="D4492" t="inlineStr">
        <is>
          <t>SÖDERMANLANDS LÄN</t>
        </is>
      </c>
      <c r="E4492" t="inlineStr">
        <is>
          <t>STRÄNGNÄS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18900-2023</t>
        </is>
      </c>
      <c r="B4493" s="1" t="n">
        <v>45044</v>
      </c>
      <c r="C4493" s="1" t="n">
        <v>45182</v>
      </c>
      <c r="D4493" t="inlineStr">
        <is>
          <t>SÖDERMANLANDS LÄN</t>
        </is>
      </c>
      <c r="E4493" t="inlineStr">
        <is>
          <t>GNESTA</t>
        </is>
      </c>
      <c r="G4493" t="n">
        <v>2.2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19136-2023</t>
        </is>
      </c>
      <c r="B4494" s="1" t="n">
        <v>45048</v>
      </c>
      <c r="C4494" s="1" t="n">
        <v>45182</v>
      </c>
      <c r="D4494" t="inlineStr">
        <is>
          <t>SÖDERMANLANDS LÄN</t>
        </is>
      </c>
      <c r="E4494" t="inlineStr">
        <is>
          <t>ESKILSTUNA</t>
        </is>
      </c>
      <c r="G4494" t="n">
        <v>11.6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19126-2023</t>
        </is>
      </c>
      <c r="B4495" s="1" t="n">
        <v>45048</v>
      </c>
      <c r="C4495" s="1" t="n">
        <v>45182</v>
      </c>
      <c r="D4495" t="inlineStr">
        <is>
          <t>SÖDERMANLANDS LÄN</t>
        </is>
      </c>
      <c r="E4495" t="inlineStr">
        <is>
          <t>GNESTA</t>
        </is>
      </c>
      <c r="G4495" t="n">
        <v>1.7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19149-2023</t>
        </is>
      </c>
      <c r="B4496" s="1" t="n">
        <v>45048</v>
      </c>
      <c r="C4496" s="1" t="n">
        <v>45182</v>
      </c>
      <c r="D4496" t="inlineStr">
        <is>
          <t>SÖDERMANLANDS LÄN</t>
        </is>
      </c>
      <c r="E4496" t="inlineStr">
        <is>
          <t>GNESTA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19054-2023</t>
        </is>
      </c>
      <c r="B4497" s="1" t="n">
        <v>45048</v>
      </c>
      <c r="C4497" s="1" t="n">
        <v>45182</v>
      </c>
      <c r="D4497" t="inlineStr">
        <is>
          <t>SÖDERMANLANDS LÄN</t>
        </is>
      </c>
      <c r="E4497" t="inlineStr">
        <is>
          <t>GNESTA</t>
        </is>
      </c>
      <c r="G4497" t="n">
        <v>4.3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19150-2023</t>
        </is>
      </c>
      <c r="B4498" s="1" t="n">
        <v>45048</v>
      </c>
      <c r="C4498" s="1" t="n">
        <v>45182</v>
      </c>
      <c r="D4498" t="inlineStr">
        <is>
          <t>SÖDERMANLANDS LÄN</t>
        </is>
      </c>
      <c r="E4498" t="inlineStr">
        <is>
          <t>FLEN</t>
        </is>
      </c>
      <c r="G4498" t="n">
        <v>1.1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19164-2023</t>
        </is>
      </c>
      <c r="B4499" s="1" t="n">
        <v>45048</v>
      </c>
      <c r="C4499" s="1" t="n">
        <v>45182</v>
      </c>
      <c r="D4499" t="inlineStr">
        <is>
          <t>SÖDERMANLANDS LÄN</t>
        </is>
      </c>
      <c r="E4499" t="inlineStr">
        <is>
          <t>FLEN</t>
        </is>
      </c>
      <c r="G4499" t="n">
        <v>3.5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19264-2023</t>
        </is>
      </c>
      <c r="B4500" s="1" t="n">
        <v>45049</v>
      </c>
      <c r="C4500" s="1" t="n">
        <v>45182</v>
      </c>
      <c r="D4500" t="inlineStr">
        <is>
          <t>SÖDERMANLANDS LÄN</t>
        </is>
      </c>
      <c r="E4500" t="inlineStr">
        <is>
          <t>STRÄNGNÄS</t>
        </is>
      </c>
      <c r="G4500" t="n">
        <v>3.8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19285-2023</t>
        </is>
      </c>
      <c r="B4501" s="1" t="n">
        <v>45049</v>
      </c>
      <c r="C4501" s="1" t="n">
        <v>45182</v>
      </c>
      <c r="D4501" t="inlineStr">
        <is>
          <t>SÖDERMANLANDS LÄN</t>
        </is>
      </c>
      <c r="E4501" t="inlineStr">
        <is>
          <t>ESKILSTUNA</t>
        </is>
      </c>
      <c r="G4501" t="n">
        <v>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19263-2023</t>
        </is>
      </c>
      <c r="B4502" s="1" t="n">
        <v>45049</v>
      </c>
      <c r="C4502" s="1" t="n">
        <v>45182</v>
      </c>
      <c r="D4502" t="inlineStr">
        <is>
          <t>SÖDERMANLANDS LÄN</t>
        </is>
      </c>
      <c r="E4502" t="inlineStr">
        <is>
          <t>STRÄNGNÄS</t>
        </is>
      </c>
      <c r="G4502" t="n">
        <v>3.3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19445-2023</t>
        </is>
      </c>
      <c r="B4503" s="1" t="n">
        <v>45050</v>
      </c>
      <c r="C4503" s="1" t="n">
        <v>45182</v>
      </c>
      <c r="D4503" t="inlineStr">
        <is>
          <t>SÖDERMANLANDS LÄN</t>
        </is>
      </c>
      <c r="E4503" t="inlineStr">
        <is>
          <t>KATRINEHOLM</t>
        </is>
      </c>
      <c r="F4503" t="inlineStr">
        <is>
          <t>Holmen skog AB</t>
        </is>
      </c>
      <c r="G4503" t="n">
        <v>2.1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19548-2023</t>
        </is>
      </c>
      <c r="B4504" s="1" t="n">
        <v>45050</v>
      </c>
      <c r="C4504" s="1" t="n">
        <v>45182</v>
      </c>
      <c r="D4504" t="inlineStr">
        <is>
          <t>SÖDERMANLANDS LÄN</t>
        </is>
      </c>
      <c r="E4504" t="inlineStr">
        <is>
          <t>STRÄNGNÄS</t>
        </is>
      </c>
      <c r="G4504" t="n">
        <v>14.6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19734-2023</t>
        </is>
      </c>
      <c r="B4505" s="1" t="n">
        <v>45050</v>
      </c>
      <c r="C4505" s="1" t="n">
        <v>45182</v>
      </c>
      <c r="D4505" t="inlineStr">
        <is>
          <t>SÖDERMANLANDS LÄN</t>
        </is>
      </c>
      <c r="E4505" t="inlineStr">
        <is>
          <t>ESKILSTUNA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19511-2023</t>
        </is>
      </c>
      <c r="B4506" s="1" t="n">
        <v>45050</v>
      </c>
      <c r="C4506" s="1" t="n">
        <v>45182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19603-2023</t>
        </is>
      </c>
      <c r="B4507" s="1" t="n">
        <v>45050</v>
      </c>
      <c r="C4507" s="1" t="n">
        <v>45182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Kyrkan</t>
        </is>
      </c>
      <c r="G4507" t="n">
        <v>4.4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19626-2023</t>
        </is>
      </c>
      <c r="B4508" s="1" t="n">
        <v>45050</v>
      </c>
      <c r="C4508" s="1" t="n">
        <v>45182</v>
      </c>
      <c r="D4508" t="inlineStr">
        <is>
          <t>SÖDERMANLANDS LÄN</t>
        </is>
      </c>
      <c r="E4508" t="inlineStr">
        <is>
          <t>ESKILSTUNA</t>
        </is>
      </c>
      <c r="G4508" t="n">
        <v>2.5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19442-2023</t>
        </is>
      </c>
      <c r="B4509" s="1" t="n">
        <v>45050</v>
      </c>
      <c r="C4509" s="1" t="n">
        <v>45182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0.7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19452-2023</t>
        </is>
      </c>
      <c r="B4510" s="1" t="n">
        <v>45050</v>
      </c>
      <c r="C4510" s="1" t="n">
        <v>45182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4.7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19755-2023</t>
        </is>
      </c>
      <c r="B4511" s="1" t="n">
        <v>45051</v>
      </c>
      <c r="C4511" s="1" t="n">
        <v>45182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2.3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19775-2023</t>
        </is>
      </c>
      <c r="B4512" s="1" t="n">
        <v>45051</v>
      </c>
      <c r="C4512" s="1" t="n">
        <v>45182</v>
      </c>
      <c r="D4512" t="inlineStr">
        <is>
          <t>SÖDERMANLANDS LÄN</t>
        </is>
      </c>
      <c r="E4512" t="inlineStr">
        <is>
          <t>NYKÖPING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20167-2023</t>
        </is>
      </c>
      <c r="B4513" s="1" t="n">
        <v>45051</v>
      </c>
      <c r="C4513" s="1" t="n">
        <v>45182</v>
      </c>
      <c r="D4513" t="inlineStr">
        <is>
          <t>SÖDERMANLANDS LÄN</t>
        </is>
      </c>
      <c r="E4513" t="inlineStr">
        <is>
          <t>STRÄNGNÄS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20182-2023</t>
        </is>
      </c>
      <c r="B4514" s="1" t="n">
        <v>45051</v>
      </c>
      <c r="C4514" s="1" t="n">
        <v>45182</v>
      </c>
      <c r="D4514" t="inlineStr">
        <is>
          <t>SÖDERMANLANDS LÄN</t>
        </is>
      </c>
      <c r="E4514" t="inlineStr">
        <is>
          <t>VINGÅKER</t>
        </is>
      </c>
      <c r="G4514" t="n">
        <v>1.3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19678-2023</t>
        </is>
      </c>
      <c r="B4515" s="1" t="n">
        <v>45051</v>
      </c>
      <c r="C4515" s="1" t="n">
        <v>45182</v>
      </c>
      <c r="D4515" t="inlineStr">
        <is>
          <t>SÖDERMANLANDS LÄN</t>
        </is>
      </c>
      <c r="E4515" t="inlineStr">
        <is>
          <t>FLEN</t>
        </is>
      </c>
      <c r="F4515" t="inlineStr">
        <is>
          <t>Holmen skog AB</t>
        </is>
      </c>
      <c r="G4515" t="n">
        <v>2.1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19696-2023</t>
        </is>
      </c>
      <c r="B4516" s="1" t="n">
        <v>45051</v>
      </c>
      <c r="C4516" s="1" t="n">
        <v>45182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1.7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19707-2023</t>
        </is>
      </c>
      <c r="B4517" s="1" t="n">
        <v>45051</v>
      </c>
      <c r="C4517" s="1" t="n">
        <v>45182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20160-2023</t>
        </is>
      </c>
      <c r="B4518" s="1" t="n">
        <v>45051</v>
      </c>
      <c r="C4518" s="1" t="n">
        <v>45182</v>
      </c>
      <c r="D4518" t="inlineStr">
        <is>
          <t>SÖDERMANLANDS LÄN</t>
        </is>
      </c>
      <c r="E4518" t="inlineStr">
        <is>
          <t>STRÄNGNÄS</t>
        </is>
      </c>
      <c r="G4518" t="n">
        <v>0.6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20174-2023</t>
        </is>
      </c>
      <c r="B4519" s="1" t="n">
        <v>45051</v>
      </c>
      <c r="C4519" s="1" t="n">
        <v>45182</v>
      </c>
      <c r="D4519" t="inlineStr">
        <is>
          <t>SÖDERMANLANDS LÄN</t>
        </is>
      </c>
      <c r="E4519" t="inlineStr">
        <is>
          <t>STRÄNGNÄS</t>
        </is>
      </c>
      <c r="G4519" t="n">
        <v>1.4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20195-2023</t>
        </is>
      </c>
      <c r="B4520" s="1" t="n">
        <v>45051</v>
      </c>
      <c r="C4520" s="1" t="n">
        <v>45182</v>
      </c>
      <c r="D4520" t="inlineStr">
        <is>
          <t>SÖDERMANLANDS LÄN</t>
        </is>
      </c>
      <c r="E4520" t="inlineStr">
        <is>
          <t>VINGÅKER</t>
        </is>
      </c>
      <c r="G4520" t="n">
        <v>0.7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19653-2023</t>
        </is>
      </c>
      <c r="B4521" s="1" t="n">
        <v>45051</v>
      </c>
      <c r="C4521" s="1" t="n">
        <v>45182</v>
      </c>
      <c r="D4521" t="inlineStr">
        <is>
          <t>SÖDERMANLANDS LÄN</t>
        </is>
      </c>
      <c r="E4521" t="inlineStr">
        <is>
          <t>KATRINEHOLM</t>
        </is>
      </c>
      <c r="F4521" t="inlineStr">
        <is>
          <t>Holmen skog AB</t>
        </is>
      </c>
      <c r="G4521" t="n">
        <v>2.7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19716-2023</t>
        </is>
      </c>
      <c r="B4522" s="1" t="n">
        <v>45051</v>
      </c>
      <c r="C4522" s="1" t="n">
        <v>45182</v>
      </c>
      <c r="D4522" t="inlineStr">
        <is>
          <t>SÖDERMANLANDS LÄN</t>
        </is>
      </c>
      <c r="E4522" t="inlineStr">
        <is>
          <t>KATRINEHOLM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19756-2023</t>
        </is>
      </c>
      <c r="B4523" s="1" t="n">
        <v>45051</v>
      </c>
      <c r="C4523" s="1" t="n">
        <v>45182</v>
      </c>
      <c r="D4523" t="inlineStr">
        <is>
          <t>SÖDERMANLANDS LÄN</t>
        </is>
      </c>
      <c r="E4523" t="inlineStr">
        <is>
          <t>NYKÖPING</t>
        </is>
      </c>
      <c r="F4523" t="inlineStr">
        <is>
          <t>Holmen skog AB</t>
        </is>
      </c>
      <c r="G4523" t="n">
        <v>1.7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20173-2023</t>
        </is>
      </c>
      <c r="B4524" s="1" t="n">
        <v>45051</v>
      </c>
      <c r="C4524" s="1" t="n">
        <v>45182</v>
      </c>
      <c r="D4524" t="inlineStr">
        <is>
          <t>SÖDERMANLANDS LÄN</t>
        </is>
      </c>
      <c r="E4524" t="inlineStr">
        <is>
          <t>STRÄNGNÄS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20192-2023</t>
        </is>
      </c>
      <c r="B4525" s="1" t="n">
        <v>45051</v>
      </c>
      <c r="C4525" s="1" t="n">
        <v>45182</v>
      </c>
      <c r="D4525" t="inlineStr">
        <is>
          <t>SÖDERMANLANDS LÄN</t>
        </is>
      </c>
      <c r="E4525" t="inlineStr">
        <is>
          <t>VINGÅKER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19763-2023</t>
        </is>
      </c>
      <c r="B4526" s="1" t="n">
        <v>45051</v>
      </c>
      <c r="C4526" s="1" t="n">
        <v>45182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19790-2023</t>
        </is>
      </c>
      <c r="B4527" s="1" t="n">
        <v>45051</v>
      </c>
      <c r="C4527" s="1" t="n">
        <v>45182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20165-2023</t>
        </is>
      </c>
      <c r="B4528" s="1" t="n">
        <v>45051</v>
      </c>
      <c r="C4528" s="1" t="n">
        <v>45182</v>
      </c>
      <c r="D4528" t="inlineStr">
        <is>
          <t>SÖDERMANLANDS LÄN</t>
        </is>
      </c>
      <c r="E4528" t="inlineStr">
        <is>
          <t>STRÄNGNÄS</t>
        </is>
      </c>
      <c r="G4528" t="n">
        <v>2.2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20176-2023</t>
        </is>
      </c>
      <c r="B4529" s="1" t="n">
        <v>45051</v>
      </c>
      <c r="C4529" s="1" t="n">
        <v>45182</v>
      </c>
      <c r="D4529" t="inlineStr">
        <is>
          <t>SÖDERMANLANDS LÄN</t>
        </is>
      </c>
      <c r="E4529" t="inlineStr">
        <is>
          <t>STRÄNGNÄS</t>
        </is>
      </c>
      <c r="G4529" t="n">
        <v>6.4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19855-2023</t>
        </is>
      </c>
      <c r="B4530" s="1" t="n">
        <v>45053</v>
      </c>
      <c r="C4530" s="1" t="n">
        <v>45182</v>
      </c>
      <c r="D4530" t="inlineStr">
        <is>
          <t>SÖDERMANLANDS LÄN</t>
        </is>
      </c>
      <c r="E4530" t="inlineStr">
        <is>
          <t>FLEN</t>
        </is>
      </c>
      <c r="F4530" t="inlineStr">
        <is>
          <t>Holmen skog AB</t>
        </is>
      </c>
      <c r="G4530" t="n">
        <v>4.5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19859-2023</t>
        </is>
      </c>
      <c r="B4531" s="1" t="n">
        <v>45053</v>
      </c>
      <c r="C4531" s="1" t="n">
        <v>45182</v>
      </c>
      <c r="D4531" t="inlineStr">
        <is>
          <t>SÖDERMANLANDS LÄN</t>
        </is>
      </c>
      <c r="E4531" t="inlineStr">
        <is>
          <t>VINGÅKER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19879-2023</t>
        </is>
      </c>
      <c r="B4532" s="1" t="n">
        <v>45054</v>
      </c>
      <c r="C4532" s="1" t="n">
        <v>45182</v>
      </c>
      <c r="D4532" t="inlineStr">
        <is>
          <t>SÖDERMANLANDS LÄN</t>
        </is>
      </c>
      <c r="E4532" t="inlineStr">
        <is>
          <t>ESKILSTUNA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19894-2023</t>
        </is>
      </c>
      <c r="B4533" s="1" t="n">
        <v>45054</v>
      </c>
      <c r="C4533" s="1" t="n">
        <v>45182</v>
      </c>
      <c r="D4533" t="inlineStr">
        <is>
          <t>SÖDERMANLANDS LÄN</t>
        </is>
      </c>
      <c r="E4533" t="inlineStr">
        <is>
          <t>NYKÖPING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20260-2023</t>
        </is>
      </c>
      <c r="B4534" s="1" t="n">
        <v>45055</v>
      </c>
      <c r="C4534" s="1" t="n">
        <v>45182</v>
      </c>
      <c r="D4534" t="inlineStr">
        <is>
          <t>SÖDERMANLANDS LÄN</t>
        </is>
      </c>
      <c r="E4534" t="inlineStr">
        <is>
          <t>NYKÖPING</t>
        </is>
      </c>
      <c r="G4534" t="n">
        <v>5.3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20295-2023</t>
        </is>
      </c>
      <c r="B4535" s="1" t="n">
        <v>45056</v>
      </c>
      <c r="C4535" s="1" t="n">
        <v>45182</v>
      </c>
      <c r="D4535" t="inlineStr">
        <is>
          <t>SÖDERMANLANDS LÄN</t>
        </is>
      </c>
      <c r="E4535" t="inlineStr">
        <is>
          <t>ESKILSTUNA</t>
        </is>
      </c>
      <c r="F4535" t="inlineStr">
        <is>
          <t>Allmännings- och besparingsskogar</t>
        </is>
      </c>
      <c r="G4535" t="n">
        <v>8.199999999999999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20305-2023</t>
        </is>
      </c>
      <c r="B4536" s="1" t="n">
        <v>45056</v>
      </c>
      <c r="C4536" s="1" t="n">
        <v>45182</v>
      </c>
      <c r="D4536" t="inlineStr">
        <is>
          <t>SÖDERMANLANDS LÄN</t>
        </is>
      </c>
      <c r="E4536" t="inlineStr">
        <is>
          <t>KATRINEHOLM</t>
        </is>
      </c>
      <c r="G4536" t="n">
        <v>10.4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21057-2023</t>
        </is>
      </c>
      <c r="B4537" s="1" t="n">
        <v>45056</v>
      </c>
      <c r="C4537" s="1" t="n">
        <v>45182</v>
      </c>
      <c r="D4537" t="inlineStr">
        <is>
          <t>SÖDERMANLANDS LÄN</t>
        </is>
      </c>
      <c r="E4537" t="inlineStr">
        <is>
          <t>FLEN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20327-2023</t>
        </is>
      </c>
      <c r="B4538" s="1" t="n">
        <v>45056</v>
      </c>
      <c r="C4538" s="1" t="n">
        <v>45182</v>
      </c>
      <c r="D4538" t="inlineStr">
        <is>
          <t>SÖDERMANLANDS LÄN</t>
        </is>
      </c>
      <c r="E4538" t="inlineStr">
        <is>
          <t>NYKÖPING</t>
        </is>
      </c>
      <c r="G4538" t="n">
        <v>0.3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20348-2023</t>
        </is>
      </c>
      <c r="B4539" s="1" t="n">
        <v>45056</v>
      </c>
      <c r="C4539" s="1" t="n">
        <v>45182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20462-2023</t>
        </is>
      </c>
      <c r="B4540" s="1" t="n">
        <v>45056</v>
      </c>
      <c r="C4540" s="1" t="n">
        <v>45182</v>
      </c>
      <c r="D4540" t="inlineStr">
        <is>
          <t>SÖDERMANLANDS LÄN</t>
        </is>
      </c>
      <c r="E4540" t="inlineStr">
        <is>
          <t>FLEN</t>
        </is>
      </c>
      <c r="G4540" t="n">
        <v>2.5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20980-2023</t>
        </is>
      </c>
      <c r="B4541" s="1" t="n">
        <v>45056</v>
      </c>
      <c r="C4541" s="1" t="n">
        <v>45182</v>
      </c>
      <c r="D4541" t="inlineStr">
        <is>
          <t>SÖDERMANLANDS LÄN</t>
        </is>
      </c>
      <c r="E4541" t="inlineStr">
        <is>
          <t>FLEN</t>
        </is>
      </c>
      <c r="G4541" t="n">
        <v>1.3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21036-2023</t>
        </is>
      </c>
      <c r="B4542" s="1" t="n">
        <v>45056</v>
      </c>
      <c r="C4542" s="1" t="n">
        <v>45182</v>
      </c>
      <c r="D4542" t="inlineStr">
        <is>
          <t>SÖDERMANLANDS LÄN</t>
        </is>
      </c>
      <c r="E4542" t="inlineStr">
        <is>
          <t>FLEN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20367-2023</t>
        </is>
      </c>
      <c r="B4543" s="1" t="n">
        <v>45056</v>
      </c>
      <c r="C4543" s="1" t="n">
        <v>45182</v>
      </c>
      <c r="D4543" t="inlineStr">
        <is>
          <t>SÖDERMANLANDS LÄN</t>
        </is>
      </c>
      <c r="E4543" t="inlineStr">
        <is>
          <t>KATRINEHOLM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21015-2023</t>
        </is>
      </c>
      <c r="B4544" s="1" t="n">
        <v>45056</v>
      </c>
      <c r="C4544" s="1" t="n">
        <v>45182</v>
      </c>
      <c r="D4544" t="inlineStr">
        <is>
          <t>SÖDERMANLANDS LÄN</t>
        </is>
      </c>
      <c r="E4544" t="inlineStr">
        <is>
          <t>STRÄNGNÄS</t>
        </is>
      </c>
      <c r="G4544" t="n">
        <v>5.2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21047-2023</t>
        </is>
      </c>
      <c r="B4545" s="1" t="n">
        <v>45056</v>
      </c>
      <c r="C4545" s="1" t="n">
        <v>45182</v>
      </c>
      <c r="D4545" t="inlineStr">
        <is>
          <t>SÖDERMANLANDS LÄN</t>
        </is>
      </c>
      <c r="E4545" t="inlineStr">
        <is>
          <t>FLEN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20312-2023</t>
        </is>
      </c>
      <c r="B4546" s="1" t="n">
        <v>45056</v>
      </c>
      <c r="C4546" s="1" t="n">
        <v>45182</v>
      </c>
      <c r="D4546" t="inlineStr">
        <is>
          <t>SÖDERMANLANDS LÄN</t>
        </is>
      </c>
      <c r="E4546" t="inlineStr">
        <is>
          <t>KATRINEHOLM</t>
        </is>
      </c>
      <c r="G4546" t="n">
        <v>10.6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20333-2023</t>
        </is>
      </c>
      <c r="B4547" s="1" t="n">
        <v>45056</v>
      </c>
      <c r="C4547" s="1" t="n">
        <v>45182</v>
      </c>
      <c r="D4547" t="inlineStr">
        <is>
          <t>SÖDERMANLANDS LÄN</t>
        </is>
      </c>
      <c r="E4547" t="inlineStr">
        <is>
          <t>STRÄNGNÄS</t>
        </is>
      </c>
      <c r="G4547" t="n">
        <v>0.9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20427-2023</t>
        </is>
      </c>
      <c r="B4548" s="1" t="n">
        <v>45056</v>
      </c>
      <c r="C4548" s="1" t="n">
        <v>45182</v>
      </c>
      <c r="D4548" t="inlineStr">
        <is>
          <t>SÖDERMANLANDS LÄN</t>
        </is>
      </c>
      <c r="E4548" t="inlineStr">
        <is>
          <t>VINGÅKER</t>
        </is>
      </c>
      <c r="G4548" t="n">
        <v>2.3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20463-2023</t>
        </is>
      </c>
      <c r="B4549" s="1" t="n">
        <v>45056</v>
      </c>
      <c r="C4549" s="1" t="n">
        <v>45182</v>
      </c>
      <c r="D4549" t="inlineStr">
        <is>
          <t>SÖDERMANLANDS LÄN</t>
        </is>
      </c>
      <c r="E4549" t="inlineStr">
        <is>
          <t>FLEN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21126-2023</t>
        </is>
      </c>
      <c r="B4550" s="1" t="n">
        <v>45057</v>
      </c>
      <c r="C4550" s="1" t="n">
        <v>45182</v>
      </c>
      <c r="D4550" t="inlineStr">
        <is>
          <t>SÖDERMANLANDS LÄN</t>
        </is>
      </c>
      <c r="E4550" t="inlineStr">
        <is>
          <t>STRÄNGNÄS</t>
        </is>
      </c>
      <c r="G4550" t="n">
        <v>2.4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20525-2023</t>
        </is>
      </c>
      <c r="B4551" s="1" t="n">
        <v>45057</v>
      </c>
      <c r="C4551" s="1" t="n">
        <v>45182</v>
      </c>
      <c r="D4551" t="inlineStr">
        <is>
          <t>SÖDERMANLANDS LÄN</t>
        </is>
      </c>
      <c r="E4551" t="inlineStr">
        <is>
          <t>ESKILSTUNA</t>
        </is>
      </c>
      <c r="F4551" t="inlineStr">
        <is>
          <t>Allmännings- och besparingsskogar</t>
        </is>
      </c>
      <c r="G4551" t="n">
        <v>4.3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21167-2023</t>
        </is>
      </c>
      <c r="B4552" s="1" t="n">
        <v>45057</v>
      </c>
      <c r="C4552" s="1" t="n">
        <v>45182</v>
      </c>
      <c r="D4552" t="inlineStr">
        <is>
          <t>SÖDERMANLANDS LÄN</t>
        </is>
      </c>
      <c r="E4552" t="inlineStr">
        <is>
          <t>FLEN</t>
        </is>
      </c>
      <c r="G4552" t="n">
        <v>1.1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20815-2023</t>
        </is>
      </c>
      <c r="B4553" s="1" t="n">
        <v>45058</v>
      </c>
      <c r="C4553" s="1" t="n">
        <v>45182</v>
      </c>
      <c r="D4553" t="inlineStr">
        <is>
          <t>SÖDERMANLANDS LÄN</t>
        </is>
      </c>
      <c r="E4553" t="inlineStr">
        <is>
          <t>STRÄNGNÄS</t>
        </is>
      </c>
      <c r="G4553" t="n">
        <v>2.1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20838-2023</t>
        </is>
      </c>
      <c r="B4554" s="1" t="n">
        <v>45058</v>
      </c>
      <c r="C4554" s="1" t="n">
        <v>45182</v>
      </c>
      <c r="D4554" t="inlineStr">
        <is>
          <t>SÖDERMANLANDS LÄN</t>
        </is>
      </c>
      <c r="E4554" t="inlineStr">
        <is>
          <t>ESKILSTUNA</t>
        </is>
      </c>
      <c r="G4554" t="n">
        <v>0.8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  <c r="U4554">
        <f>HYPERLINK("https://klasma.github.io/Logging_ESKILSTUNA/knärot/A 20838-2023.png")</f>
        <v/>
      </c>
      <c r="V4554">
        <f>HYPERLINK("https://klasma.github.io/Logging_ESKILSTUNA/klagomål/A 20838-2023.docx")</f>
        <v/>
      </c>
      <c r="W4554">
        <f>HYPERLINK("https://klasma.github.io/Logging_ESKILSTUNA/klagomålsmail/A 20838-2023.docx")</f>
        <v/>
      </c>
      <c r="X4554">
        <f>HYPERLINK("https://klasma.github.io/Logging_ESKILSTUNA/tillsyn/A 20838-2023.docx")</f>
        <v/>
      </c>
      <c r="Y4554">
        <f>HYPERLINK("https://klasma.github.io/Logging_ESKILSTUNA/tillsynsmail/A 20838-2023.docx")</f>
        <v/>
      </c>
    </row>
    <row r="4555" ht="15" customHeight="1">
      <c r="A4555" t="inlineStr">
        <is>
          <t>A 20842-2023</t>
        </is>
      </c>
      <c r="B4555" s="1" t="n">
        <v>45058</v>
      </c>
      <c r="C4555" s="1" t="n">
        <v>45182</v>
      </c>
      <c r="D4555" t="inlineStr">
        <is>
          <t>SÖDERMANLANDS LÄN</t>
        </is>
      </c>
      <c r="E4555" t="inlineStr">
        <is>
          <t>ESKILSTUNA</t>
        </is>
      </c>
      <c r="G4555" t="n">
        <v>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20906-2023</t>
        </is>
      </c>
      <c r="B4556" s="1" t="n">
        <v>45060</v>
      </c>
      <c r="C4556" s="1" t="n">
        <v>45182</v>
      </c>
      <c r="D4556" t="inlineStr">
        <is>
          <t>SÖDERMANLANDS LÄN</t>
        </is>
      </c>
      <c r="E4556" t="inlineStr">
        <is>
          <t>NYKÖPING</t>
        </is>
      </c>
      <c r="G4556" t="n">
        <v>0.4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20984-2023</t>
        </is>
      </c>
      <c r="B4557" s="1" t="n">
        <v>45061</v>
      </c>
      <c r="C4557" s="1" t="n">
        <v>45182</v>
      </c>
      <c r="D4557" t="inlineStr">
        <is>
          <t>SÖDERMANLANDS LÄN</t>
        </is>
      </c>
      <c r="E4557" t="inlineStr">
        <is>
          <t>ESKILSTUNA</t>
        </is>
      </c>
      <c r="F4557" t="inlineStr">
        <is>
          <t>Allmännings- och besparingsskogar</t>
        </is>
      </c>
      <c r="G4557" t="n">
        <v>6.9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21031-2023</t>
        </is>
      </c>
      <c r="B4558" s="1" t="n">
        <v>45061</v>
      </c>
      <c r="C4558" s="1" t="n">
        <v>45182</v>
      </c>
      <c r="D4558" t="inlineStr">
        <is>
          <t>SÖDERMANLANDS LÄN</t>
        </is>
      </c>
      <c r="E4558" t="inlineStr">
        <is>
          <t>NYKÖPING</t>
        </is>
      </c>
      <c r="G4558" t="n">
        <v>3.2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21059-2023</t>
        </is>
      </c>
      <c r="B4559" s="1" t="n">
        <v>45061</v>
      </c>
      <c r="C4559" s="1" t="n">
        <v>45182</v>
      </c>
      <c r="D4559" t="inlineStr">
        <is>
          <t>SÖDERMANLANDS LÄN</t>
        </is>
      </c>
      <c r="E4559" t="inlineStr">
        <is>
          <t>NYKÖPING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20921-2023</t>
        </is>
      </c>
      <c r="B4560" s="1" t="n">
        <v>45061</v>
      </c>
      <c r="C4560" s="1" t="n">
        <v>45182</v>
      </c>
      <c r="D4560" t="inlineStr">
        <is>
          <t>SÖDERMANLANDS LÄN</t>
        </is>
      </c>
      <c r="E4560" t="inlineStr">
        <is>
          <t>KATRINEHOLM</t>
        </is>
      </c>
      <c r="G4560" t="n">
        <v>8.9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20938-2023</t>
        </is>
      </c>
      <c r="B4561" s="1" t="n">
        <v>45061</v>
      </c>
      <c r="C4561" s="1" t="n">
        <v>45182</v>
      </c>
      <c r="D4561" t="inlineStr">
        <is>
          <t>SÖDERMANLANDS LÄN</t>
        </is>
      </c>
      <c r="E4561" t="inlineStr">
        <is>
          <t>STRÄNGNÄS</t>
        </is>
      </c>
      <c r="G4561" t="n">
        <v>3.8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20985-2023</t>
        </is>
      </c>
      <c r="B4562" s="1" t="n">
        <v>45061</v>
      </c>
      <c r="C4562" s="1" t="n">
        <v>45182</v>
      </c>
      <c r="D4562" t="inlineStr">
        <is>
          <t>SÖDERMANLANDS LÄN</t>
        </is>
      </c>
      <c r="E4562" t="inlineStr">
        <is>
          <t>NYKÖPING</t>
        </is>
      </c>
      <c r="F4562" t="inlineStr">
        <is>
          <t>Holmen skog AB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21075-2023</t>
        </is>
      </c>
      <c r="B4563" s="1" t="n">
        <v>45061</v>
      </c>
      <c r="C4563" s="1" t="n">
        <v>45182</v>
      </c>
      <c r="D4563" t="inlineStr">
        <is>
          <t>SÖDERMANLANDS LÄN</t>
        </is>
      </c>
      <c r="E4563" t="inlineStr">
        <is>
          <t>KATRINEHOLM</t>
        </is>
      </c>
      <c r="G4563" t="n">
        <v>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21062-2023</t>
        </is>
      </c>
      <c r="B4564" s="1" t="n">
        <v>45061</v>
      </c>
      <c r="C4564" s="1" t="n">
        <v>45182</v>
      </c>
      <c r="D4564" t="inlineStr">
        <is>
          <t>SÖDERMANLANDS LÄN</t>
        </is>
      </c>
      <c r="E4564" t="inlineStr">
        <is>
          <t>NYKÖPING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21067-2023</t>
        </is>
      </c>
      <c r="B4565" s="1" t="n">
        <v>45061</v>
      </c>
      <c r="C4565" s="1" t="n">
        <v>45182</v>
      </c>
      <c r="D4565" t="inlineStr">
        <is>
          <t>SÖDERMANLANDS LÄN</t>
        </is>
      </c>
      <c r="E4565" t="inlineStr">
        <is>
          <t>NYKÖPING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20961-2023</t>
        </is>
      </c>
      <c r="B4566" s="1" t="n">
        <v>45061</v>
      </c>
      <c r="C4566" s="1" t="n">
        <v>45182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0.9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21058-2023</t>
        </is>
      </c>
      <c r="B4567" s="1" t="n">
        <v>45061</v>
      </c>
      <c r="C4567" s="1" t="n">
        <v>45182</v>
      </c>
      <c r="D4567" t="inlineStr">
        <is>
          <t>SÖDERMANLANDS LÄN</t>
        </is>
      </c>
      <c r="E4567" t="inlineStr">
        <is>
          <t>NYKÖPING</t>
        </is>
      </c>
      <c r="G4567" t="n">
        <v>2.4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21070-2023</t>
        </is>
      </c>
      <c r="B4568" s="1" t="n">
        <v>45061</v>
      </c>
      <c r="C4568" s="1" t="n">
        <v>45182</v>
      </c>
      <c r="D4568" t="inlineStr">
        <is>
          <t>SÖDERMANLANDS LÄN</t>
        </is>
      </c>
      <c r="E4568" t="inlineStr">
        <is>
          <t>NYKÖPING</t>
        </is>
      </c>
      <c r="G4568" t="n">
        <v>1.3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21137-2023</t>
        </is>
      </c>
      <c r="B4569" s="1" t="n">
        <v>45062</v>
      </c>
      <c r="C4569" s="1" t="n">
        <v>45182</v>
      </c>
      <c r="D4569" t="inlineStr">
        <is>
          <t>SÖDERMANLANDS LÄN</t>
        </is>
      </c>
      <c r="E4569" t="inlineStr">
        <is>
          <t>NYKÖPING</t>
        </is>
      </c>
      <c r="G4569" t="n">
        <v>0.4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21174-2023</t>
        </is>
      </c>
      <c r="B4570" s="1" t="n">
        <v>45062</v>
      </c>
      <c r="C4570" s="1" t="n">
        <v>45182</v>
      </c>
      <c r="D4570" t="inlineStr">
        <is>
          <t>SÖDERMANLANDS LÄN</t>
        </is>
      </c>
      <c r="E4570" t="inlineStr">
        <is>
          <t>GNESTA</t>
        </is>
      </c>
      <c r="G4570" t="n">
        <v>1.1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21248-2023</t>
        </is>
      </c>
      <c r="B4571" s="1" t="n">
        <v>45062</v>
      </c>
      <c r="C4571" s="1" t="n">
        <v>45182</v>
      </c>
      <c r="D4571" t="inlineStr">
        <is>
          <t>SÖDERMANLANDS LÄN</t>
        </is>
      </c>
      <c r="E4571" t="inlineStr">
        <is>
          <t>NYKÖPING</t>
        </is>
      </c>
      <c r="G4571" t="n">
        <v>2.5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21257-2023</t>
        </is>
      </c>
      <c r="B4572" s="1" t="n">
        <v>45062</v>
      </c>
      <c r="C4572" s="1" t="n">
        <v>45182</v>
      </c>
      <c r="D4572" t="inlineStr">
        <is>
          <t>SÖDERMANLANDS LÄN</t>
        </is>
      </c>
      <c r="E4572" t="inlineStr">
        <is>
          <t>NYKÖPING</t>
        </is>
      </c>
      <c r="G4572" t="n">
        <v>0.7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21249-2023</t>
        </is>
      </c>
      <c r="B4573" s="1" t="n">
        <v>45062</v>
      </c>
      <c r="C4573" s="1" t="n">
        <v>45182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21273-2023</t>
        </is>
      </c>
      <c r="B4574" s="1" t="n">
        <v>45062</v>
      </c>
      <c r="C4574" s="1" t="n">
        <v>45182</v>
      </c>
      <c r="D4574" t="inlineStr">
        <is>
          <t>SÖDERMANLANDS LÄN</t>
        </is>
      </c>
      <c r="E4574" t="inlineStr">
        <is>
          <t>NYKÖPING</t>
        </is>
      </c>
      <c r="G4574" t="n">
        <v>0.5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21135-2023</t>
        </is>
      </c>
      <c r="B4575" s="1" t="n">
        <v>45062</v>
      </c>
      <c r="C4575" s="1" t="n">
        <v>45182</v>
      </c>
      <c r="D4575" t="inlineStr">
        <is>
          <t>SÖDERMANLANDS LÄN</t>
        </is>
      </c>
      <c r="E4575" t="inlineStr">
        <is>
          <t>NYKÖPING</t>
        </is>
      </c>
      <c r="G4575" t="n">
        <v>3.1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21172-2023</t>
        </is>
      </c>
      <c r="B4576" s="1" t="n">
        <v>45062</v>
      </c>
      <c r="C4576" s="1" t="n">
        <v>45182</v>
      </c>
      <c r="D4576" t="inlineStr">
        <is>
          <t>SÖDERMANLANDS LÄN</t>
        </is>
      </c>
      <c r="E4576" t="inlineStr">
        <is>
          <t>GNESTA</t>
        </is>
      </c>
      <c r="F4576" t="inlineStr">
        <is>
          <t>Övriga Aktiebolag</t>
        </is>
      </c>
      <c r="G4576" t="n">
        <v>0.8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21142-2023</t>
        </is>
      </c>
      <c r="B4577" s="1" t="n">
        <v>45062</v>
      </c>
      <c r="C4577" s="1" t="n">
        <v>45182</v>
      </c>
      <c r="D4577" t="inlineStr">
        <is>
          <t>SÖDERMANLANDS LÄN</t>
        </is>
      </c>
      <c r="E4577" t="inlineStr">
        <is>
          <t>NYKÖPING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21471-2023</t>
        </is>
      </c>
      <c r="B4578" s="1" t="n">
        <v>45063</v>
      </c>
      <c r="C4578" s="1" t="n">
        <v>45182</v>
      </c>
      <c r="D4578" t="inlineStr">
        <is>
          <t>SÖDERMANLANDS LÄN</t>
        </is>
      </c>
      <c r="E4578" t="inlineStr">
        <is>
          <t>NYKÖPING</t>
        </is>
      </c>
      <c r="F4578" t="inlineStr">
        <is>
          <t>Kyrkan</t>
        </is>
      </c>
      <c r="G4578" t="n">
        <v>7.3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21735-2023</t>
        </is>
      </c>
      <c r="B4579" s="1" t="n">
        <v>45063</v>
      </c>
      <c r="C4579" s="1" t="n">
        <v>45182</v>
      </c>
      <c r="D4579" t="inlineStr">
        <is>
          <t>SÖDERMANLANDS LÄN</t>
        </is>
      </c>
      <c r="E4579" t="inlineStr">
        <is>
          <t>ESKILSTUNA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21734-2023</t>
        </is>
      </c>
      <c r="B4580" s="1" t="n">
        <v>45063</v>
      </c>
      <c r="C4580" s="1" t="n">
        <v>45182</v>
      </c>
      <c r="D4580" t="inlineStr">
        <is>
          <t>SÖDERMANLANDS LÄN</t>
        </is>
      </c>
      <c r="E4580" t="inlineStr">
        <is>
          <t>ESKILSTUNA</t>
        </is>
      </c>
      <c r="G4580" t="n">
        <v>10.5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21708-2023</t>
        </is>
      </c>
      <c r="B4581" s="1" t="n">
        <v>45064</v>
      </c>
      <c r="C4581" s="1" t="n">
        <v>45182</v>
      </c>
      <c r="D4581" t="inlineStr">
        <is>
          <t>SÖDERMANLANDS LÄN</t>
        </is>
      </c>
      <c r="E4581" t="inlineStr">
        <is>
          <t>KATRINEHOLM</t>
        </is>
      </c>
      <c r="G4581" t="n">
        <v>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22028-2023</t>
        </is>
      </c>
      <c r="B4582" s="1" t="n">
        <v>45066</v>
      </c>
      <c r="C4582" s="1" t="n">
        <v>45182</v>
      </c>
      <c r="D4582" t="inlineStr">
        <is>
          <t>SÖDERMANLANDS LÄN</t>
        </is>
      </c>
      <c r="E4582" t="inlineStr">
        <is>
          <t>FLEN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21820-2023</t>
        </is>
      </c>
      <c r="B4583" s="1" t="n">
        <v>45068</v>
      </c>
      <c r="C4583" s="1" t="n">
        <v>45182</v>
      </c>
      <c r="D4583" t="inlineStr">
        <is>
          <t>SÖDERMANLANDS LÄN</t>
        </is>
      </c>
      <c r="E4583" t="inlineStr">
        <is>
          <t>ESKILSTUNA</t>
        </is>
      </c>
      <c r="G4583" t="n">
        <v>3.1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21854-2023</t>
        </is>
      </c>
      <c r="B4584" s="1" t="n">
        <v>45068</v>
      </c>
      <c r="C4584" s="1" t="n">
        <v>45182</v>
      </c>
      <c r="D4584" t="inlineStr">
        <is>
          <t>SÖDERMANLANDS LÄN</t>
        </is>
      </c>
      <c r="E4584" t="inlineStr">
        <is>
          <t>GNESTA</t>
        </is>
      </c>
      <c r="G4584" t="n">
        <v>1.7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22326-2023</t>
        </is>
      </c>
      <c r="B4585" s="1" t="n">
        <v>45068</v>
      </c>
      <c r="C4585" s="1" t="n">
        <v>45182</v>
      </c>
      <c r="D4585" t="inlineStr">
        <is>
          <t>SÖDERMANLANDS LÄN</t>
        </is>
      </c>
      <c r="E4585" t="inlineStr">
        <is>
          <t>NYKÖPING</t>
        </is>
      </c>
      <c r="G4585" t="n">
        <v>1.1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21858-2023</t>
        </is>
      </c>
      <c r="B4586" s="1" t="n">
        <v>45068</v>
      </c>
      <c r="C4586" s="1" t="n">
        <v>45182</v>
      </c>
      <c r="D4586" t="inlineStr">
        <is>
          <t>SÖDERMANLANDS LÄN</t>
        </is>
      </c>
      <c r="E4586" t="inlineStr">
        <is>
          <t>GNESTA</t>
        </is>
      </c>
      <c r="G4586" t="n">
        <v>1.4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21860-2023</t>
        </is>
      </c>
      <c r="B4587" s="1" t="n">
        <v>45068</v>
      </c>
      <c r="C4587" s="1" t="n">
        <v>45182</v>
      </c>
      <c r="D4587" t="inlineStr">
        <is>
          <t>SÖDERMANLANDS LÄN</t>
        </is>
      </c>
      <c r="E4587" t="inlineStr">
        <is>
          <t>GNESTA</t>
        </is>
      </c>
      <c r="G4587" t="n">
        <v>3.6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22101-2023</t>
        </is>
      </c>
      <c r="B4588" s="1" t="n">
        <v>45068</v>
      </c>
      <c r="C4588" s="1" t="n">
        <v>45182</v>
      </c>
      <c r="D4588" t="inlineStr">
        <is>
          <t>SÖDERMANLANDS LÄN</t>
        </is>
      </c>
      <c r="E4588" t="inlineStr">
        <is>
          <t>FLEN</t>
        </is>
      </c>
      <c r="G4588" t="n">
        <v>2.7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22324-2023</t>
        </is>
      </c>
      <c r="B4589" s="1" t="n">
        <v>45068</v>
      </c>
      <c r="C4589" s="1" t="n">
        <v>45182</v>
      </c>
      <c r="D4589" t="inlineStr">
        <is>
          <t>SÖDERMANLANDS LÄN</t>
        </is>
      </c>
      <c r="E4589" t="inlineStr">
        <is>
          <t>NYKÖPING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22176-2023</t>
        </is>
      </c>
      <c r="B4590" s="1" t="n">
        <v>45069</v>
      </c>
      <c r="C4590" s="1" t="n">
        <v>45182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22165-2023</t>
        </is>
      </c>
      <c r="B4591" s="1" t="n">
        <v>45069</v>
      </c>
      <c r="C4591" s="1" t="n">
        <v>45182</v>
      </c>
      <c r="D4591" t="inlineStr">
        <is>
          <t>SÖDERMANLANDS LÄN</t>
        </is>
      </c>
      <c r="E4591" t="inlineStr">
        <is>
          <t>NYKÖPING</t>
        </is>
      </c>
      <c r="F4591" t="inlineStr">
        <is>
          <t>Holmen skog AB</t>
        </is>
      </c>
      <c r="G4591" t="n">
        <v>0.5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22330-2023</t>
        </is>
      </c>
      <c r="B4592" s="1" t="n">
        <v>45070</v>
      </c>
      <c r="C4592" s="1" t="n">
        <v>45182</v>
      </c>
      <c r="D4592" t="inlineStr">
        <is>
          <t>SÖDERMANLANDS LÄN</t>
        </is>
      </c>
      <c r="E4592" t="inlineStr">
        <is>
          <t>KATRINEHOLM</t>
        </is>
      </c>
      <c r="F4592" t="inlineStr">
        <is>
          <t>Holmen skog AB</t>
        </is>
      </c>
      <c r="G4592" t="n">
        <v>4.7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22417-2023</t>
        </is>
      </c>
      <c r="B4593" s="1" t="n">
        <v>45070</v>
      </c>
      <c r="C4593" s="1" t="n">
        <v>45182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1.6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22269-2023</t>
        </is>
      </c>
      <c r="B4594" s="1" t="n">
        <v>45070</v>
      </c>
      <c r="C4594" s="1" t="n">
        <v>45182</v>
      </c>
      <c r="D4594" t="inlineStr">
        <is>
          <t>SÖDERMANLANDS LÄN</t>
        </is>
      </c>
      <c r="E4594" t="inlineStr">
        <is>
          <t>VINGÅKER</t>
        </is>
      </c>
      <c r="G4594" t="n">
        <v>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22345-2023</t>
        </is>
      </c>
      <c r="B4595" s="1" t="n">
        <v>45070</v>
      </c>
      <c r="C4595" s="1" t="n">
        <v>45182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22374-2023</t>
        </is>
      </c>
      <c r="B4596" s="1" t="n">
        <v>45070</v>
      </c>
      <c r="C4596" s="1" t="n">
        <v>45182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4.4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22318-2023</t>
        </is>
      </c>
      <c r="B4597" s="1" t="n">
        <v>45070</v>
      </c>
      <c r="C4597" s="1" t="n">
        <v>45182</v>
      </c>
      <c r="D4597" t="inlineStr">
        <is>
          <t>SÖDERMANLANDS LÄN</t>
        </is>
      </c>
      <c r="E4597" t="inlineStr">
        <is>
          <t>ESKILSTUNA</t>
        </is>
      </c>
      <c r="F4597" t="inlineStr">
        <is>
          <t>Allmännings- och besparingsskogar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22556-2023</t>
        </is>
      </c>
      <c r="B4598" s="1" t="n">
        <v>45071</v>
      </c>
      <c r="C4598" s="1" t="n">
        <v>45182</v>
      </c>
      <c r="D4598" t="inlineStr">
        <is>
          <t>SÖDERMANLANDS LÄN</t>
        </is>
      </c>
      <c r="E4598" t="inlineStr">
        <is>
          <t>STRÄNGNÄS</t>
        </is>
      </c>
      <c r="G4598" t="n">
        <v>2.7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22605-2023</t>
        </is>
      </c>
      <c r="B4599" s="1" t="n">
        <v>45071</v>
      </c>
      <c r="C4599" s="1" t="n">
        <v>45182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Kyrkan</t>
        </is>
      </c>
      <c r="G4599" t="n">
        <v>0.1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22793-2023</t>
        </is>
      </c>
      <c r="B4600" s="1" t="n">
        <v>45071</v>
      </c>
      <c r="C4600" s="1" t="n">
        <v>45182</v>
      </c>
      <c r="D4600" t="inlineStr">
        <is>
          <t>SÖDERMANLANDS LÄN</t>
        </is>
      </c>
      <c r="E4600" t="inlineStr">
        <is>
          <t>STRÄNGNÄS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22533-2023</t>
        </is>
      </c>
      <c r="B4601" s="1" t="n">
        <v>45071</v>
      </c>
      <c r="C4601" s="1" t="n">
        <v>45182</v>
      </c>
      <c r="D4601" t="inlineStr">
        <is>
          <t>SÖDERMANLANDS LÄN</t>
        </is>
      </c>
      <c r="E4601" t="inlineStr">
        <is>
          <t>STRÄNGNÄS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23207-2023</t>
        </is>
      </c>
      <c r="B4602" s="1" t="n">
        <v>45071</v>
      </c>
      <c r="C4602" s="1" t="n">
        <v>45182</v>
      </c>
      <c r="D4602" t="inlineStr">
        <is>
          <t>SÖDERMANLANDS LÄN</t>
        </is>
      </c>
      <c r="E4602" t="inlineStr">
        <is>
          <t>KATRINEHOLM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22522-2023</t>
        </is>
      </c>
      <c r="B4603" s="1" t="n">
        <v>45071</v>
      </c>
      <c r="C4603" s="1" t="n">
        <v>45182</v>
      </c>
      <c r="D4603" t="inlineStr">
        <is>
          <t>SÖDERMANLANDS LÄN</t>
        </is>
      </c>
      <c r="E4603" t="inlineStr">
        <is>
          <t>STRÄNGNÄS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22835-2023</t>
        </is>
      </c>
      <c r="B4604" s="1" t="n">
        <v>45072</v>
      </c>
      <c r="C4604" s="1" t="n">
        <v>45182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2.1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22838-2023</t>
        </is>
      </c>
      <c r="B4605" s="1" t="n">
        <v>45072</v>
      </c>
      <c r="C4605" s="1" t="n">
        <v>45182</v>
      </c>
      <c r="D4605" t="inlineStr">
        <is>
          <t>SÖDERMANLANDS LÄN</t>
        </is>
      </c>
      <c r="E4605" t="inlineStr">
        <is>
          <t>VINGÅKER</t>
        </is>
      </c>
      <c r="F4605" t="inlineStr">
        <is>
          <t>Sveaskog</t>
        </is>
      </c>
      <c r="G4605" t="n">
        <v>6.6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22972-2023</t>
        </is>
      </c>
      <c r="B4606" s="1" t="n">
        <v>45072</v>
      </c>
      <c r="C4606" s="1" t="n">
        <v>45182</v>
      </c>
      <c r="D4606" t="inlineStr">
        <is>
          <t>SÖDERMANLANDS LÄN</t>
        </is>
      </c>
      <c r="E4606" t="inlineStr">
        <is>
          <t>NYKÖPING</t>
        </is>
      </c>
      <c r="G4606" t="n">
        <v>4.1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23463-2023</t>
        </is>
      </c>
      <c r="B4607" s="1" t="n">
        <v>45072</v>
      </c>
      <c r="C4607" s="1" t="n">
        <v>45182</v>
      </c>
      <c r="D4607" t="inlineStr">
        <is>
          <t>SÖDERMANLANDS LÄN</t>
        </is>
      </c>
      <c r="E4607" t="inlineStr">
        <is>
          <t>KATRINEHOLM</t>
        </is>
      </c>
      <c r="G4607" t="n">
        <v>14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23002-2023</t>
        </is>
      </c>
      <c r="B4608" s="1" t="n">
        <v>45072</v>
      </c>
      <c r="C4608" s="1" t="n">
        <v>45182</v>
      </c>
      <c r="D4608" t="inlineStr">
        <is>
          <t>SÖDERMANLANDS LÄN</t>
        </is>
      </c>
      <c r="E4608" t="inlineStr">
        <is>
          <t>STRÄNGNÄS</t>
        </is>
      </c>
      <c r="G4608" t="n">
        <v>1.2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22839-2023</t>
        </is>
      </c>
      <c r="B4609" s="1" t="n">
        <v>45072</v>
      </c>
      <c r="C4609" s="1" t="n">
        <v>45182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3.8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23001-2023</t>
        </is>
      </c>
      <c r="B4610" s="1" t="n">
        <v>45072</v>
      </c>
      <c r="C4610" s="1" t="n">
        <v>45182</v>
      </c>
      <c r="D4610" t="inlineStr">
        <is>
          <t>SÖDERMANLANDS LÄN</t>
        </is>
      </c>
      <c r="E4610" t="inlineStr">
        <is>
          <t>STRÄNGNÄS</t>
        </is>
      </c>
      <c r="G4610" t="n">
        <v>1.8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23650-2023</t>
        </is>
      </c>
      <c r="B4611" s="1" t="n">
        <v>45073</v>
      </c>
      <c r="C4611" s="1" t="n">
        <v>45182</v>
      </c>
      <c r="D4611" t="inlineStr">
        <is>
          <t>SÖDERMANLANDS LÄN</t>
        </is>
      </c>
      <c r="E4611" t="inlineStr">
        <is>
          <t>FLEN</t>
        </is>
      </c>
      <c r="G4611" t="n">
        <v>2.6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23646-2023</t>
        </is>
      </c>
      <c r="B4612" s="1" t="n">
        <v>45073</v>
      </c>
      <c r="C4612" s="1" t="n">
        <v>45182</v>
      </c>
      <c r="D4612" t="inlineStr">
        <is>
          <t>SÖDERMANLANDS LÄN</t>
        </is>
      </c>
      <c r="E4612" t="inlineStr">
        <is>
          <t>FLEN</t>
        </is>
      </c>
      <c r="G4612" t="n">
        <v>2.1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23116-2023</t>
        </is>
      </c>
      <c r="B4613" s="1" t="n">
        <v>45075</v>
      </c>
      <c r="C4613" s="1" t="n">
        <v>45182</v>
      </c>
      <c r="D4613" t="inlineStr">
        <is>
          <t>SÖDERMANLANDS LÄN</t>
        </is>
      </c>
      <c r="E4613" t="inlineStr">
        <is>
          <t>NYKÖPING</t>
        </is>
      </c>
      <c r="F4613" t="inlineStr">
        <is>
          <t>Sveaskog</t>
        </is>
      </c>
      <c r="G4613" t="n">
        <v>0.7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23125-2023</t>
        </is>
      </c>
      <c r="B4614" s="1" t="n">
        <v>45075</v>
      </c>
      <c r="C4614" s="1" t="n">
        <v>45182</v>
      </c>
      <c r="D4614" t="inlineStr">
        <is>
          <t>SÖDERMANLANDS LÄN</t>
        </is>
      </c>
      <c r="E4614" t="inlineStr">
        <is>
          <t>KATRINEHOLM</t>
        </is>
      </c>
      <c r="G4614" t="n">
        <v>4.5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23189-2023</t>
        </is>
      </c>
      <c r="B4615" s="1" t="n">
        <v>45075</v>
      </c>
      <c r="C4615" s="1" t="n">
        <v>45182</v>
      </c>
      <c r="D4615" t="inlineStr">
        <is>
          <t>SÖDERMANLANDS LÄN</t>
        </is>
      </c>
      <c r="E4615" t="inlineStr">
        <is>
          <t>NYKÖPING</t>
        </is>
      </c>
      <c r="G4615" t="n">
        <v>8.800000000000001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23225-2023</t>
        </is>
      </c>
      <c r="B4616" s="1" t="n">
        <v>45075</v>
      </c>
      <c r="C4616" s="1" t="n">
        <v>45182</v>
      </c>
      <c r="D4616" t="inlineStr">
        <is>
          <t>SÖDERMANLANDS LÄN</t>
        </is>
      </c>
      <c r="E4616" t="inlineStr">
        <is>
          <t>STRÄNGNÄS</t>
        </is>
      </c>
      <c r="G4616" t="n">
        <v>7.1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23916-2023</t>
        </is>
      </c>
      <c r="B4617" s="1" t="n">
        <v>45075</v>
      </c>
      <c r="C4617" s="1" t="n">
        <v>45182</v>
      </c>
      <c r="D4617" t="inlineStr">
        <is>
          <t>SÖDERMANLANDS LÄN</t>
        </is>
      </c>
      <c r="E4617" t="inlineStr">
        <is>
          <t>KATRINEHOLM</t>
        </is>
      </c>
      <c r="G4617" t="n">
        <v>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23942-2023</t>
        </is>
      </c>
      <c r="B4618" s="1" t="n">
        <v>45075</v>
      </c>
      <c r="C4618" s="1" t="n">
        <v>45182</v>
      </c>
      <c r="D4618" t="inlineStr">
        <is>
          <t>SÖDERMANLANDS LÄN</t>
        </is>
      </c>
      <c r="E4618" t="inlineStr">
        <is>
          <t>KATRINEHOLM</t>
        </is>
      </c>
      <c r="G4618" t="n">
        <v>21.5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23114-2023</t>
        </is>
      </c>
      <c r="B4619" s="1" t="n">
        <v>45075</v>
      </c>
      <c r="C4619" s="1" t="n">
        <v>45182</v>
      </c>
      <c r="D4619" t="inlineStr">
        <is>
          <t>SÖDERMANLANDS LÄN</t>
        </is>
      </c>
      <c r="E4619" t="inlineStr">
        <is>
          <t>NYKÖPING</t>
        </is>
      </c>
      <c r="F4619" t="inlineStr">
        <is>
          <t>Sveaskog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23122-2023</t>
        </is>
      </c>
      <c r="B4620" s="1" t="n">
        <v>45075</v>
      </c>
      <c r="C4620" s="1" t="n">
        <v>45182</v>
      </c>
      <c r="D4620" t="inlineStr">
        <is>
          <t>SÖDERMANLANDS LÄN</t>
        </is>
      </c>
      <c r="E4620" t="inlineStr">
        <is>
          <t>KATRINEHOLM</t>
        </is>
      </c>
      <c r="G4620" t="n">
        <v>3.1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23842-2023</t>
        </is>
      </c>
      <c r="B4621" s="1" t="n">
        <v>45075</v>
      </c>
      <c r="C4621" s="1" t="n">
        <v>45182</v>
      </c>
      <c r="D4621" t="inlineStr">
        <is>
          <t>SÖDERMANLANDS LÄN</t>
        </is>
      </c>
      <c r="E4621" t="inlineStr">
        <is>
          <t>KATRINEHOLM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23118-2023</t>
        </is>
      </c>
      <c r="B4622" s="1" t="n">
        <v>45075</v>
      </c>
      <c r="C4622" s="1" t="n">
        <v>45182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23127-2023</t>
        </is>
      </c>
      <c r="B4623" s="1" t="n">
        <v>45075</v>
      </c>
      <c r="C4623" s="1" t="n">
        <v>45182</v>
      </c>
      <c r="D4623" t="inlineStr">
        <is>
          <t>SÖDERMANLANDS LÄN</t>
        </is>
      </c>
      <c r="E4623" t="inlineStr">
        <is>
          <t>KATRINEHOLM</t>
        </is>
      </c>
      <c r="G4623" t="n">
        <v>6.5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23867-2023</t>
        </is>
      </c>
      <c r="B4624" s="1" t="n">
        <v>45075</v>
      </c>
      <c r="C4624" s="1" t="n">
        <v>45182</v>
      </c>
      <c r="D4624" t="inlineStr">
        <is>
          <t>SÖDERMANLANDS LÄN</t>
        </is>
      </c>
      <c r="E4624" t="inlineStr">
        <is>
          <t>KATRINEHOLM</t>
        </is>
      </c>
      <c r="G4624" t="n">
        <v>18.7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23503-2023</t>
        </is>
      </c>
      <c r="B4625" s="1" t="n">
        <v>45076</v>
      </c>
      <c r="C4625" s="1" t="n">
        <v>45182</v>
      </c>
      <c r="D4625" t="inlineStr">
        <is>
          <t>SÖDERMANLANDS LÄN</t>
        </is>
      </c>
      <c r="E4625" t="inlineStr">
        <is>
          <t>STRÄNGNÄS</t>
        </is>
      </c>
      <c r="G4625" t="n">
        <v>2.3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24414-2023</t>
        </is>
      </c>
      <c r="B4626" s="1" t="n">
        <v>45076</v>
      </c>
      <c r="C4626" s="1" t="n">
        <v>45182</v>
      </c>
      <c r="D4626" t="inlineStr">
        <is>
          <t>SÖDERMANLANDS LÄN</t>
        </is>
      </c>
      <c r="E4626" t="inlineStr">
        <is>
          <t>VINGÅKER</t>
        </is>
      </c>
      <c r="G4626" t="n">
        <v>1.9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23327-2023</t>
        </is>
      </c>
      <c r="B4627" s="1" t="n">
        <v>45076</v>
      </c>
      <c r="C4627" s="1" t="n">
        <v>45182</v>
      </c>
      <c r="D4627" t="inlineStr">
        <is>
          <t>SÖDERMANLANDS LÄN</t>
        </is>
      </c>
      <c r="E4627" t="inlineStr">
        <is>
          <t>NYKÖPING</t>
        </is>
      </c>
      <c r="F4627" t="inlineStr">
        <is>
          <t>Övriga Aktiebolag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23341-2023</t>
        </is>
      </c>
      <c r="B4628" s="1" t="n">
        <v>45076</v>
      </c>
      <c r="C4628" s="1" t="n">
        <v>45182</v>
      </c>
      <c r="D4628" t="inlineStr">
        <is>
          <t>SÖDERMANLANDS LÄN</t>
        </is>
      </c>
      <c r="E4628" t="inlineStr">
        <is>
          <t>KATRINEHOLM</t>
        </is>
      </c>
      <c r="G4628" t="n">
        <v>3.5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24405-2023</t>
        </is>
      </c>
      <c r="B4629" s="1" t="n">
        <v>45076</v>
      </c>
      <c r="C4629" s="1" t="n">
        <v>45182</v>
      </c>
      <c r="D4629" t="inlineStr">
        <is>
          <t>SÖDERMANLANDS LÄN</t>
        </is>
      </c>
      <c r="E4629" t="inlineStr">
        <is>
          <t>VINGÅKER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23438-2023</t>
        </is>
      </c>
      <c r="B4630" s="1" t="n">
        <v>45076</v>
      </c>
      <c r="C4630" s="1" t="n">
        <v>45182</v>
      </c>
      <c r="D4630" t="inlineStr">
        <is>
          <t>SÖDERMANLANDS LÄN</t>
        </is>
      </c>
      <c r="E4630" t="inlineStr">
        <is>
          <t>KATRINEHOLM</t>
        </is>
      </c>
      <c r="G4630" t="n">
        <v>4.5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24382-2023</t>
        </is>
      </c>
      <c r="B4631" s="1" t="n">
        <v>45076</v>
      </c>
      <c r="C4631" s="1" t="n">
        <v>45182</v>
      </c>
      <c r="D4631" t="inlineStr">
        <is>
          <t>SÖDERMANLANDS LÄN</t>
        </is>
      </c>
      <c r="E4631" t="inlineStr">
        <is>
          <t>VINGÅKER</t>
        </is>
      </c>
      <c r="G4631" t="n">
        <v>3.4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24401-2023</t>
        </is>
      </c>
      <c r="B4632" s="1" t="n">
        <v>45076</v>
      </c>
      <c r="C4632" s="1" t="n">
        <v>45182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23347-2023</t>
        </is>
      </c>
      <c r="B4633" s="1" t="n">
        <v>45076</v>
      </c>
      <c r="C4633" s="1" t="n">
        <v>45182</v>
      </c>
      <c r="D4633" t="inlineStr">
        <is>
          <t>SÖDERMANLANDS LÄN</t>
        </is>
      </c>
      <c r="E4633" t="inlineStr">
        <is>
          <t>KATRINEHOLM</t>
        </is>
      </c>
      <c r="G4633" t="n">
        <v>4.3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23429-2023</t>
        </is>
      </c>
      <c r="B4634" s="1" t="n">
        <v>45076</v>
      </c>
      <c r="C4634" s="1" t="n">
        <v>45182</v>
      </c>
      <c r="D4634" t="inlineStr">
        <is>
          <t>SÖDERMANLANDS LÄN</t>
        </is>
      </c>
      <c r="E4634" t="inlineStr">
        <is>
          <t>VINGÅKER</t>
        </is>
      </c>
      <c r="G4634" t="n">
        <v>0.9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24409-2023</t>
        </is>
      </c>
      <c r="B4635" s="1" t="n">
        <v>45076</v>
      </c>
      <c r="C4635" s="1" t="n">
        <v>45182</v>
      </c>
      <c r="D4635" t="inlineStr">
        <is>
          <t>SÖDERMANLANDS LÄN</t>
        </is>
      </c>
      <c r="E4635" t="inlineStr">
        <is>
          <t>NYKÖPING</t>
        </is>
      </c>
      <c r="F4635" t="inlineStr">
        <is>
          <t>Allmännings- och besparingsskogar</t>
        </is>
      </c>
      <c r="G4635" t="n">
        <v>19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23541-2023</t>
        </is>
      </c>
      <c r="B4636" s="1" t="n">
        <v>45077</v>
      </c>
      <c r="C4636" s="1" t="n">
        <v>45182</v>
      </c>
      <c r="D4636" t="inlineStr">
        <is>
          <t>SÖDERMANLANDS LÄN</t>
        </is>
      </c>
      <c r="E4636" t="inlineStr">
        <is>
          <t>STRÄNGNÄS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23689-2023</t>
        </is>
      </c>
      <c r="B4637" s="1" t="n">
        <v>45077</v>
      </c>
      <c r="C4637" s="1" t="n">
        <v>45182</v>
      </c>
      <c r="D4637" t="inlineStr">
        <is>
          <t>SÖDERMANLANDS LÄN</t>
        </is>
      </c>
      <c r="E4637" t="inlineStr">
        <is>
          <t>ESKILSTUNA</t>
        </is>
      </c>
      <c r="F4637" t="inlineStr">
        <is>
          <t>Sveaskog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23566-2023</t>
        </is>
      </c>
      <c r="B4638" s="1" t="n">
        <v>45077</v>
      </c>
      <c r="C4638" s="1" t="n">
        <v>45182</v>
      </c>
      <c r="D4638" t="inlineStr">
        <is>
          <t>SÖDERMANLANDS LÄN</t>
        </is>
      </c>
      <c r="E4638" t="inlineStr">
        <is>
          <t>NYKÖPING</t>
        </is>
      </c>
      <c r="G4638" t="n">
        <v>7.4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23705-2023</t>
        </is>
      </c>
      <c r="B4639" s="1" t="n">
        <v>45077</v>
      </c>
      <c r="C4639" s="1" t="n">
        <v>45182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11.9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23727-2023</t>
        </is>
      </c>
      <c r="B4640" s="1" t="n">
        <v>45077</v>
      </c>
      <c r="C4640" s="1" t="n">
        <v>45182</v>
      </c>
      <c r="D4640" t="inlineStr">
        <is>
          <t>SÖDERMANLANDS LÄN</t>
        </is>
      </c>
      <c r="E4640" t="inlineStr">
        <is>
          <t>KATRINEHOLM</t>
        </is>
      </c>
      <c r="F4640" t="inlineStr">
        <is>
          <t>Kyrkan</t>
        </is>
      </c>
      <c r="G4640" t="n">
        <v>13.7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23593-2023</t>
        </is>
      </c>
      <c r="B4641" s="1" t="n">
        <v>45077</v>
      </c>
      <c r="C4641" s="1" t="n">
        <v>45182</v>
      </c>
      <c r="D4641" t="inlineStr">
        <is>
          <t>SÖDERMANLANDS LÄN</t>
        </is>
      </c>
      <c r="E4641" t="inlineStr">
        <is>
          <t>NYKÖPING</t>
        </is>
      </c>
      <c r="F4641" t="inlineStr">
        <is>
          <t>Holmen skog AB</t>
        </is>
      </c>
      <c r="G4641" t="n">
        <v>0.9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23726-2023</t>
        </is>
      </c>
      <c r="B4642" s="1" t="n">
        <v>45077</v>
      </c>
      <c r="C4642" s="1" t="n">
        <v>45182</v>
      </c>
      <c r="D4642" t="inlineStr">
        <is>
          <t>SÖDERMANLANDS LÄN</t>
        </is>
      </c>
      <c r="E4642" t="inlineStr">
        <is>
          <t>GNESTA</t>
        </is>
      </c>
      <c r="G4642" t="n">
        <v>2.8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24023-2023</t>
        </is>
      </c>
      <c r="B4643" s="1" t="n">
        <v>45078</v>
      </c>
      <c r="C4643" s="1" t="n">
        <v>45182</v>
      </c>
      <c r="D4643" t="inlineStr">
        <is>
          <t>SÖDERMANLANDS LÄN</t>
        </is>
      </c>
      <c r="E4643" t="inlineStr">
        <is>
          <t>KATRINEHOLM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24927-2023</t>
        </is>
      </c>
      <c r="B4644" s="1" t="n">
        <v>45078</v>
      </c>
      <c r="C4644" s="1" t="n">
        <v>45182</v>
      </c>
      <c r="D4644" t="inlineStr">
        <is>
          <t>SÖDERMANLANDS LÄN</t>
        </is>
      </c>
      <c r="E4644" t="inlineStr">
        <is>
          <t>STRÄNGNÄS</t>
        </is>
      </c>
      <c r="G4644" t="n">
        <v>12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24937-2023</t>
        </is>
      </c>
      <c r="B4645" s="1" t="n">
        <v>45078</v>
      </c>
      <c r="C4645" s="1" t="n">
        <v>45182</v>
      </c>
      <c r="D4645" t="inlineStr">
        <is>
          <t>SÖDERMANLANDS LÄN</t>
        </is>
      </c>
      <c r="E4645" t="inlineStr">
        <is>
          <t>STRÄNGNÄS</t>
        </is>
      </c>
      <c r="G4645" t="n">
        <v>2.4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23812-2023</t>
        </is>
      </c>
      <c r="B4646" s="1" t="n">
        <v>45078</v>
      </c>
      <c r="C4646" s="1" t="n">
        <v>45182</v>
      </c>
      <c r="D4646" t="inlineStr">
        <is>
          <t>SÖDERMANLANDS LÄN</t>
        </is>
      </c>
      <c r="E4646" t="inlineStr">
        <is>
          <t>STRÄNGNÄS</t>
        </is>
      </c>
      <c r="F4646" t="inlineStr">
        <is>
          <t>Allmännings- och besparingsskogar</t>
        </is>
      </c>
      <c r="G4646" t="n">
        <v>5.5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24957-2023</t>
        </is>
      </c>
      <c r="B4647" s="1" t="n">
        <v>45078</v>
      </c>
      <c r="C4647" s="1" t="n">
        <v>45182</v>
      </c>
      <c r="D4647" t="inlineStr">
        <is>
          <t>SÖDERMANLANDS LÄN</t>
        </is>
      </c>
      <c r="E4647" t="inlineStr">
        <is>
          <t>STRÄNGNÄS</t>
        </is>
      </c>
      <c r="G4647" t="n">
        <v>2.5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23962-2023</t>
        </is>
      </c>
      <c r="B4648" s="1" t="n">
        <v>45078</v>
      </c>
      <c r="C4648" s="1" t="n">
        <v>45182</v>
      </c>
      <c r="D4648" t="inlineStr">
        <is>
          <t>SÖDERMANLANDS LÄN</t>
        </is>
      </c>
      <c r="E4648" t="inlineStr">
        <is>
          <t>GNESTA</t>
        </is>
      </c>
      <c r="G4648" t="n">
        <v>2.2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24123-2023</t>
        </is>
      </c>
      <c r="B4649" s="1" t="n">
        <v>45079</v>
      </c>
      <c r="C4649" s="1" t="n">
        <v>45182</v>
      </c>
      <c r="D4649" t="inlineStr">
        <is>
          <t>SÖDERMANLANDS LÄN</t>
        </is>
      </c>
      <c r="E4649" t="inlineStr">
        <is>
          <t>FLEN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25283-2023</t>
        </is>
      </c>
      <c r="B4650" s="1" t="n">
        <v>45079</v>
      </c>
      <c r="C4650" s="1" t="n">
        <v>45182</v>
      </c>
      <c r="D4650" t="inlineStr">
        <is>
          <t>SÖDERMANLANDS LÄN</t>
        </is>
      </c>
      <c r="E4650" t="inlineStr">
        <is>
          <t>ESKILSTUNA</t>
        </is>
      </c>
      <c r="G4650" t="n">
        <v>3.2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25379-2023</t>
        </is>
      </c>
      <c r="B4651" s="1" t="n">
        <v>45079</v>
      </c>
      <c r="C4651" s="1" t="n">
        <v>45182</v>
      </c>
      <c r="D4651" t="inlineStr">
        <is>
          <t>SÖDERMANLANDS LÄN</t>
        </is>
      </c>
      <c r="E4651" t="inlineStr">
        <is>
          <t>KATRINEHOLM</t>
        </is>
      </c>
      <c r="G4651" t="n">
        <v>36.7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24097-2023</t>
        </is>
      </c>
      <c r="B4652" s="1" t="n">
        <v>45079</v>
      </c>
      <c r="C4652" s="1" t="n">
        <v>45182</v>
      </c>
      <c r="D4652" t="inlineStr">
        <is>
          <t>SÖDERMANLANDS LÄN</t>
        </is>
      </c>
      <c r="E4652" t="inlineStr">
        <is>
          <t>VINGÅKER</t>
        </is>
      </c>
      <c r="F4652" t="inlineStr">
        <is>
          <t>Övriga Aktiebolag</t>
        </is>
      </c>
      <c r="G4652" t="n">
        <v>3.5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24140-2023</t>
        </is>
      </c>
      <c r="B4653" s="1" t="n">
        <v>45079</v>
      </c>
      <c r="C4653" s="1" t="n">
        <v>45182</v>
      </c>
      <c r="D4653" t="inlineStr">
        <is>
          <t>SÖDERMANLANDS LÄN</t>
        </is>
      </c>
      <c r="E4653" t="inlineStr">
        <is>
          <t>KATRINEHOLM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25281-2023</t>
        </is>
      </c>
      <c r="B4654" s="1" t="n">
        <v>45079</v>
      </c>
      <c r="C4654" s="1" t="n">
        <v>45182</v>
      </c>
      <c r="D4654" t="inlineStr">
        <is>
          <t>SÖDERMANLANDS LÄN</t>
        </is>
      </c>
      <c r="E4654" t="inlineStr">
        <is>
          <t>ESKILSTUNA</t>
        </is>
      </c>
      <c r="G4654" t="n">
        <v>9.1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25474-2023</t>
        </is>
      </c>
      <c r="B4655" s="1" t="n">
        <v>45081</v>
      </c>
      <c r="C4655" s="1" t="n">
        <v>45182</v>
      </c>
      <c r="D4655" t="inlineStr">
        <is>
          <t>SÖDERMANLANDS LÄN</t>
        </is>
      </c>
      <c r="E4655" t="inlineStr">
        <is>
          <t>FLEN</t>
        </is>
      </c>
      <c r="G4655" t="n">
        <v>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25467-2023</t>
        </is>
      </c>
      <c r="B4656" s="1" t="n">
        <v>45081</v>
      </c>
      <c r="C4656" s="1" t="n">
        <v>45182</v>
      </c>
      <c r="D4656" t="inlineStr">
        <is>
          <t>SÖDERMANLANDS LÄN</t>
        </is>
      </c>
      <c r="E4656" t="inlineStr">
        <is>
          <t>FLEN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24447-2023</t>
        </is>
      </c>
      <c r="B4657" s="1" t="n">
        <v>45082</v>
      </c>
      <c r="C4657" s="1" t="n">
        <v>45182</v>
      </c>
      <c r="D4657" t="inlineStr">
        <is>
          <t>SÖDERMANLANDS LÄN</t>
        </is>
      </c>
      <c r="E4657" t="inlineStr">
        <is>
          <t>NYKÖPING</t>
        </is>
      </c>
      <c r="G4657" t="n">
        <v>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24459-2023</t>
        </is>
      </c>
      <c r="B4658" s="1" t="n">
        <v>45082</v>
      </c>
      <c r="C4658" s="1" t="n">
        <v>45182</v>
      </c>
      <c r="D4658" t="inlineStr">
        <is>
          <t>SÖDERMANLANDS LÄN</t>
        </is>
      </c>
      <c r="E4658" t="inlineStr">
        <is>
          <t>STRÄNGNÄS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24410-2023</t>
        </is>
      </c>
      <c r="B4659" s="1" t="n">
        <v>45082</v>
      </c>
      <c r="C4659" s="1" t="n">
        <v>45182</v>
      </c>
      <c r="D4659" t="inlineStr">
        <is>
          <t>SÖDERMANLANDS LÄN</t>
        </is>
      </c>
      <c r="E4659" t="inlineStr">
        <is>
          <t>KATRINEHOLM</t>
        </is>
      </c>
      <c r="F4659" t="inlineStr">
        <is>
          <t>Allmännings- och besparingsskogar</t>
        </is>
      </c>
      <c r="G4659" t="n">
        <v>0.6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24348-2023</t>
        </is>
      </c>
      <c r="B4660" s="1" t="n">
        <v>45082</v>
      </c>
      <c r="C4660" s="1" t="n">
        <v>45182</v>
      </c>
      <c r="D4660" t="inlineStr">
        <is>
          <t>SÖDERMANLANDS LÄN</t>
        </is>
      </c>
      <c r="E4660" t="inlineStr">
        <is>
          <t>FLEN</t>
        </is>
      </c>
      <c r="G4660" t="n">
        <v>2.3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24496-2023</t>
        </is>
      </c>
      <c r="B4661" s="1" t="n">
        <v>45082</v>
      </c>
      <c r="C4661" s="1" t="n">
        <v>45182</v>
      </c>
      <c r="D4661" t="inlineStr">
        <is>
          <t>SÖDERMANLANDS LÄN</t>
        </is>
      </c>
      <c r="E4661" t="inlineStr">
        <is>
          <t>STRÄNGNÄS</t>
        </is>
      </c>
      <c r="G4661" t="n">
        <v>2.5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24871-2023</t>
        </is>
      </c>
      <c r="B4662" s="1" t="n">
        <v>45085</v>
      </c>
      <c r="C4662" s="1" t="n">
        <v>45182</v>
      </c>
      <c r="D4662" t="inlineStr">
        <is>
          <t>SÖDERMANLANDS LÄN</t>
        </is>
      </c>
      <c r="E4662" t="inlineStr">
        <is>
          <t>FLEN</t>
        </is>
      </c>
      <c r="F4662" t="inlineStr">
        <is>
          <t>Kyrkan</t>
        </is>
      </c>
      <c r="G4662" t="n">
        <v>4.8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24891-2023</t>
        </is>
      </c>
      <c r="B4663" s="1" t="n">
        <v>45085</v>
      </c>
      <c r="C4663" s="1" t="n">
        <v>45182</v>
      </c>
      <c r="D4663" t="inlineStr">
        <is>
          <t>SÖDERMANLANDS LÄN</t>
        </is>
      </c>
      <c r="E4663" t="inlineStr">
        <is>
          <t>NYKÖPING</t>
        </is>
      </c>
      <c r="F4663" t="inlineStr">
        <is>
          <t>Holmen skog AB</t>
        </is>
      </c>
      <c r="G4663" t="n">
        <v>1.7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25075-2023</t>
        </is>
      </c>
      <c r="B4664" s="1" t="n">
        <v>45086</v>
      </c>
      <c r="C4664" s="1" t="n">
        <v>45182</v>
      </c>
      <c r="D4664" t="inlineStr">
        <is>
          <t>SÖDERMANLANDS LÄN</t>
        </is>
      </c>
      <c r="E4664" t="inlineStr">
        <is>
          <t>KATRINEHOLM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25125-2023</t>
        </is>
      </c>
      <c r="B4665" s="1" t="n">
        <v>45086</v>
      </c>
      <c r="C4665" s="1" t="n">
        <v>45182</v>
      </c>
      <c r="D4665" t="inlineStr">
        <is>
          <t>SÖDERMANLANDS LÄN</t>
        </is>
      </c>
      <c r="E4665" t="inlineStr">
        <is>
          <t>ESKILSTUNA</t>
        </is>
      </c>
      <c r="F4665" t="inlineStr">
        <is>
          <t>Sveaskog</t>
        </is>
      </c>
      <c r="G4665" t="n">
        <v>4.3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25134-2023</t>
        </is>
      </c>
      <c r="B4666" s="1" t="n">
        <v>45086</v>
      </c>
      <c r="C4666" s="1" t="n">
        <v>45182</v>
      </c>
      <c r="D4666" t="inlineStr">
        <is>
          <t>SÖDERMANLANDS LÄN</t>
        </is>
      </c>
      <c r="E4666" t="inlineStr">
        <is>
          <t>KATRINEHOLM</t>
        </is>
      </c>
      <c r="F4666" t="inlineStr">
        <is>
          <t>Övriga Aktiebolag</t>
        </is>
      </c>
      <c r="G4666" t="n">
        <v>2.3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25524-2023</t>
        </is>
      </c>
      <c r="B4667" s="1" t="n">
        <v>45089</v>
      </c>
      <c r="C4667" s="1" t="n">
        <v>45182</v>
      </c>
      <c r="D4667" t="inlineStr">
        <is>
          <t>SÖDERMANLANDS LÄN</t>
        </is>
      </c>
      <c r="E4667" t="inlineStr">
        <is>
          <t>VINGÅKER</t>
        </is>
      </c>
      <c r="F4667" t="inlineStr">
        <is>
          <t>Övriga Aktiebolag</t>
        </is>
      </c>
      <c r="G4667" t="n">
        <v>9.1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25605-2023</t>
        </is>
      </c>
      <c r="B4668" s="1" t="n">
        <v>45089</v>
      </c>
      <c r="C4668" s="1" t="n">
        <v>45182</v>
      </c>
      <c r="D4668" t="inlineStr">
        <is>
          <t>SÖDERMANLANDS LÄN</t>
        </is>
      </c>
      <c r="E4668" t="inlineStr">
        <is>
          <t>FLEN</t>
        </is>
      </c>
      <c r="G4668" t="n">
        <v>3.8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25542-2023</t>
        </is>
      </c>
      <c r="B4669" s="1" t="n">
        <v>45089</v>
      </c>
      <c r="C4669" s="1" t="n">
        <v>45182</v>
      </c>
      <c r="D4669" t="inlineStr">
        <is>
          <t>SÖDERMANLANDS LÄN</t>
        </is>
      </c>
      <c r="E4669" t="inlineStr">
        <is>
          <t>STRÄNGNÄS</t>
        </is>
      </c>
      <c r="G4669" t="n">
        <v>3.3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25615-2023</t>
        </is>
      </c>
      <c r="B4670" s="1" t="n">
        <v>45089</v>
      </c>
      <c r="C4670" s="1" t="n">
        <v>45182</v>
      </c>
      <c r="D4670" t="inlineStr">
        <is>
          <t>SÖDERMANLANDS LÄN</t>
        </is>
      </c>
      <c r="E4670" t="inlineStr">
        <is>
          <t>GNESTA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26574-2023</t>
        </is>
      </c>
      <c r="B4671" s="1" t="n">
        <v>45090</v>
      </c>
      <c r="C4671" s="1" t="n">
        <v>45182</v>
      </c>
      <c r="D4671" t="inlineStr">
        <is>
          <t>SÖDERMANLANDS LÄN</t>
        </is>
      </c>
      <c r="E4671" t="inlineStr">
        <is>
          <t>NYKÖPING</t>
        </is>
      </c>
      <c r="G4671" t="n">
        <v>3.9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26561-2023</t>
        </is>
      </c>
      <c r="B4672" s="1" t="n">
        <v>45092</v>
      </c>
      <c r="C4672" s="1" t="n">
        <v>45182</v>
      </c>
      <c r="D4672" t="inlineStr">
        <is>
          <t>SÖDERMANLANDS LÄN</t>
        </is>
      </c>
      <c r="E4672" t="inlineStr">
        <is>
          <t>NYKÖPING</t>
        </is>
      </c>
      <c r="G4672" t="n">
        <v>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26904-2023</t>
        </is>
      </c>
      <c r="B4673" s="1" t="n">
        <v>45093</v>
      </c>
      <c r="C4673" s="1" t="n">
        <v>45182</v>
      </c>
      <c r="D4673" t="inlineStr">
        <is>
          <t>SÖDERMANLANDS LÄN</t>
        </is>
      </c>
      <c r="E4673" t="inlineStr">
        <is>
          <t>ESKILSTUNA</t>
        </is>
      </c>
      <c r="G4673" t="n">
        <v>1.1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26867-2023</t>
        </is>
      </c>
      <c r="B4674" s="1" t="n">
        <v>45093</v>
      </c>
      <c r="C4674" s="1" t="n">
        <v>45182</v>
      </c>
      <c r="D4674" t="inlineStr">
        <is>
          <t>SÖDERMANLANDS LÄN</t>
        </is>
      </c>
      <c r="E4674" t="inlineStr">
        <is>
          <t>ESKILSTUNA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26948-2023</t>
        </is>
      </c>
      <c r="B4675" s="1" t="n">
        <v>45093</v>
      </c>
      <c r="C4675" s="1" t="n">
        <v>45182</v>
      </c>
      <c r="D4675" t="inlineStr">
        <is>
          <t>SÖDERMANLANDS LÄN</t>
        </is>
      </c>
      <c r="E4675" t="inlineStr">
        <is>
          <t>NYKÖPING</t>
        </is>
      </c>
      <c r="G4675" t="n">
        <v>5.5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26871-2023</t>
        </is>
      </c>
      <c r="B4676" s="1" t="n">
        <v>45093</v>
      </c>
      <c r="C4676" s="1" t="n">
        <v>45182</v>
      </c>
      <c r="D4676" t="inlineStr">
        <is>
          <t>SÖDERMANLANDS LÄN</t>
        </is>
      </c>
      <c r="E4676" t="inlineStr">
        <is>
          <t>ESKILSTUNA</t>
        </is>
      </c>
      <c r="G4676" t="n">
        <v>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26910-2023</t>
        </is>
      </c>
      <c r="B4677" s="1" t="n">
        <v>45093</v>
      </c>
      <c r="C4677" s="1" t="n">
        <v>45182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27026-2023</t>
        </is>
      </c>
      <c r="B4678" s="1" t="n">
        <v>45095</v>
      </c>
      <c r="C4678" s="1" t="n">
        <v>45182</v>
      </c>
      <c r="D4678" t="inlineStr">
        <is>
          <t>SÖDERMANLANDS LÄN</t>
        </is>
      </c>
      <c r="E4678" t="inlineStr">
        <is>
          <t>KATRINEHOLM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27187-2023</t>
        </is>
      </c>
      <c r="B4679" s="1" t="n">
        <v>45096</v>
      </c>
      <c r="C4679" s="1" t="n">
        <v>45182</v>
      </c>
      <c r="D4679" t="inlineStr">
        <is>
          <t>SÖDERMANLANDS LÄN</t>
        </is>
      </c>
      <c r="E4679" t="inlineStr">
        <is>
          <t>NYKÖPING</t>
        </is>
      </c>
      <c r="G4679" t="n">
        <v>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27206-2023</t>
        </is>
      </c>
      <c r="B4680" s="1" t="n">
        <v>45096</v>
      </c>
      <c r="C4680" s="1" t="n">
        <v>45182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27223-2023</t>
        </is>
      </c>
      <c r="B4681" s="1" t="n">
        <v>45096</v>
      </c>
      <c r="C4681" s="1" t="n">
        <v>45182</v>
      </c>
      <c r="D4681" t="inlineStr">
        <is>
          <t>SÖDERMANLANDS LÄN</t>
        </is>
      </c>
      <c r="E4681" t="inlineStr">
        <is>
          <t>NYKÖPING</t>
        </is>
      </c>
      <c r="F4681" t="inlineStr">
        <is>
          <t>Övriga Aktiebolag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28973-2023</t>
        </is>
      </c>
      <c r="B4682" s="1" t="n">
        <v>45096</v>
      </c>
      <c r="C4682" s="1" t="n">
        <v>45182</v>
      </c>
      <c r="D4682" t="inlineStr">
        <is>
          <t>SÖDERMANLANDS LÄN</t>
        </is>
      </c>
      <c r="E4682" t="inlineStr">
        <is>
          <t>NYKÖPING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27238-2023</t>
        </is>
      </c>
      <c r="B4683" s="1" t="n">
        <v>45096</v>
      </c>
      <c r="C4683" s="1" t="n">
        <v>45182</v>
      </c>
      <c r="D4683" t="inlineStr">
        <is>
          <t>SÖDERMANLANDS LÄN</t>
        </is>
      </c>
      <c r="E4683" t="inlineStr">
        <is>
          <t>VINGÅKER</t>
        </is>
      </c>
      <c r="F4683" t="inlineStr">
        <is>
          <t>Sveaskog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27243-2023</t>
        </is>
      </c>
      <c r="B4684" s="1" t="n">
        <v>45096</v>
      </c>
      <c r="C4684" s="1" t="n">
        <v>45182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27335-2023</t>
        </is>
      </c>
      <c r="B4685" s="1" t="n">
        <v>45096</v>
      </c>
      <c r="C4685" s="1" t="n">
        <v>45182</v>
      </c>
      <c r="D4685" t="inlineStr">
        <is>
          <t>SÖDERMANLANDS LÄN</t>
        </is>
      </c>
      <c r="E4685" t="inlineStr">
        <is>
          <t>KATRINEHOLM</t>
        </is>
      </c>
      <c r="G4685" t="n">
        <v>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27345-2023</t>
        </is>
      </c>
      <c r="B4686" s="1" t="n">
        <v>45096</v>
      </c>
      <c r="C4686" s="1" t="n">
        <v>45182</v>
      </c>
      <c r="D4686" t="inlineStr">
        <is>
          <t>SÖDERMANLANDS LÄN</t>
        </is>
      </c>
      <c r="E4686" t="inlineStr">
        <is>
          <t>KATRINEHOLM</t>
        </is>
      </c>
      <c r="G4686" t="n">
        <v>1.4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27190-2023</t>
        </is>
      </c>
      <c r="B4687" s="1" t="n">
        <v>45096</v>
      </c>
      <c r="C4687" s="1" t="n">
        <v>45182</v>
      </c>
      <c r="D4687" t="inlineStr">
        <is>
          <t>SÖDERMANLANDS LÄN</t>
        </is>
      </c>
      <c r="E4687" t="inlineStr">
        <is>
          <t>NYKÖPING</t>
        </is>
      </c>
      <c r="G4687" t="n">
        <v>8.5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27334-2023</t>
        </is>
      </c>
      <c r="B4688" s="1" t="n">
        <v>45096</v>
      </c>
      <c r="C4688" s="1" t="n">
        <v>45182</v>
      </c>
      <c r="D4688" t="inlineStr">
        <is>
          <t>SÖDERMANLANDS LÄN</t>
        </is>
      </c>
      <c r="E4688" t="inlineStr">
        <is>
          <t>KATRINEHOLM</t>
        </is>
      </c>
      <c r="G4688" t="n">
        <v>1.6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28968-2023</t>
        </is>
      </c>
      <c r="B4689" s="1" t="n">
        <v>45096</v>
      </c>
      <c r="C4689" s="1" t="n">
        <v>45182</v>
      </c>
      <c r="D4689" t="inlineStr">
        <is>
          <t>SÖDERMANLANDS LÄN</t>
        </is>
      </c>
      <c r="E4689" t="inlineStr">
        <is>
          <t>NYKÖPING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27655-2023</t>
        </is>
      </c>
      <c r="B4690" s="1" t="n">
        <v>45097</v>
      </c>
      <c r="C4690" s="1" t="n">
        <v>45182</v>
      </c>
      <c r="D4690" t="inlineStr">
        <is>
          <t>SÖDERMANLANDS LÄN</t>
        </is>
      </c>
      <c r="E4690" t="inlineStr">
        <is>
          <t>KATRINEHOLM</t>
        </is>
      </c>
      <c r="G4690" t="n">
        <v>2.2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27724-2023</t>
        </is>
      </c>
      <c r="B4691" s="1" t="n">
        <v>45097</v>
      </c>
      <c r="C4691" s="1" t="n">
        <v>45182</v>
      </c>
      <c r="D4691" t="inlineStr">
        <is>
          <t>SÖDERMANLANDS LÄN</t>
        </is>
      </c>
      <c r="E4691" t="inlineStr">
        <is>
          <t>FLEN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27646-2023</t>
        </is>
      </c>
      <c r="B4692" s="1" t="n">
        <v>45097</v>
      </c>
      <c r="C4692" s="1" t="n">
        <v>45182</v>
      </c>
      <c r="D4692" t="inlineStr">
        <is>
          <t>SÖDERMANLANDS LÄN</t>
        </is>
      </c>
      <c r="E4692" t="inlineStr">
        <is>
          <t>KATRINEHOLM</t>
        </is>
      </c>
      <c r="G4692" t="n">
        <v>2.4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27894-2023</t>
        </is>
      </c>
      <c r="B4693" s="1" t="n">
        <v>45098</v>
      </c>
      <c r="C4693" s="1" t="n">
        <v>45182</v>
      </c>
      <c r="D4693" t="inlineStr">
        <is>
          <t>SÖDERMANLANDS LÄN</t>
        </is>
      </c>
      <c r="E4693" t="inlineStr">
        <is>
          <t>NYKÖPING</t>
        </is>
      </c>
      <c r="G4693" t="n">
        <v>2.3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27946-2023</t>
        </is>
      </c>
      <c r="B4694" s="1" t="n">
        <v>45098</v>
      </c>
      <c r="C4694" s="1" t="n">
        <v>45182</v>
      </c>
      <c r="D4694" t="inlineStr">
        <is>
          <t>SÖDERMANLANDS LÄN</t>
        </is>
      </c>
      <c r="E4694" t="inlineStr">
        <is>
          <t>NYKÖPING</t>
        </is>
      </c>
      <c r="G4694" t="n">
        <v>0.5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27849-2023</t>
        </is>
      </c>
      <c r="B4695" s="1" t="n">
        <v>45098</v>
      </c>
      <c r="C4695" s="1" t="n">
        <v>45182</v>
      </c>
      <c r="D4695" t="inlineStr">
        <is>
          <t>SÖDERMANLANDS LÄN</t>
        </is>
      </c>
      <c r="E4695" t="inlineStr">
        <is>
          <t>FLEN</t>
        </is>
      </c>
      <c r="F4695" t="inlineStr">
        <is>
          <t>Holmen skog AB</t>
        </is>
      </c>
      <c r="G4695" t="n">
        <v>2.1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27889-2023</t>
        </is>
      </c>
      <c r="B4696" s="1" t="n">
        <v>45098</v>
      </c>
      <c r="C4696" s="1" t="n">
        <v>45182</v>
      </c>
      <c r="D4696" t="inlineStr">
        <is>
          <t>SÖDERMANLANDS LÄN</t>
        </is>
      </c>
      <c r="E4696" t="inlineStr">
        <is>
          <t>NYKÖPING</t>
        </is>
      </c>
      <c r="G4696" t="n">
        <v>4.1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27937-2023</t>
        </is>
      </c>
      <c r="B4697" s="1" t="n">
        <v>45098</v>
      </c>
      <c r="C4697" s="1" t="n">
        <v>45182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27944-2023</t>
        </is>
      </c>
      <c r="B4698" s="1" t="n">
        <v>45098</v>
      </c>
      <c r="C4698" s="1" t="n">
        <v>45182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27796-2023</t>
        </is>
      </c>
      <c r="B4699" s="1" t="n">
        <v>45098</v>
      </c>
      <c r="C4699" s="1" t="n">
        <v>45182</v>
      </c>
      <c r="D4699" t="inlineStr">
        <is>
          <t>SÖDERMANLANDS LÄN</t>
        </is>
      </c>
      <c r="E4699" t="inlineStr">
        <is>
          <t>NYKÖPING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27915-2023</t>
        </is>
      </c>
      <c r="B4700" s="1" t="n">
        <v>45098</v>
      </c>
      <c r="C4700" s="1" t="n">
        <v>45182</v>
      </c>
      <c r="D4700" t="inlineStr">
        <is>
          <t>SÖDERMANLANDS LÄN</t>
        </is>
      </c>
      <c r="E4700" t="inlineStr">
        <is>
          <t>NYKÖPING</t>
        </is>
      </c>
      <c r="G4700" t="n">
        <v>2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27924-2023</t>
        </is>
      </c>
      <c r="B4701" s="1" t="n">
        <v>45098</v>
      </c>
      <c r="C4701" s="1" t="n">
        <v>45182</v>
      </c>
      <c r="D4701" t="inlineStr">
        <is>
          <t>SÖDERMANLANDS LÄN</t>
        </is>
      </c>
      <c r="E4701" t="inlineStr">
        <is>
          <t>NYKÖPING</t>
        </is>
      </c>
      <c r="G4701" t="n">
        <v>2.9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27933-2023</t>
        </is>
      </c>
      <c r="B4702" s="1" t="n">
        <v>45098</v>
      </c>
      <c r="C4702" s="1" t="n">
        <v>45182</v>
      </c>
      <c r="D4702" t="inlineStr">
        <is>
          <t>SÖDERMANLANDS LÄN</t>
        </is>
      </c>
      <c r="E4702" t="inlineStr">
        <is>
          <t>NYKÖPING</t>
        </is>
      </c>
      <c r="G4702" t="n">
        <v>1.2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27955-2023</t>
        </is>
      </c>
      <c r="B4703" s="1" t="n">
        <v>45098</v>
      </c>
      <c r="C4703" s="1" t="n">
        <v>45182</v>
      </c>
      <c r="D4703" t="inlineStr">
        <is>
          <t>SÖDERMANLANDS LÄN</t>
        </is>
      </c>
      <c r="E4703" t="inlineStr">
        <is>
          <t>KATRINEHOLM</t>
        </is>
      </c>
      <c r="G4703" t="n">
        <v>5.9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27993-2023</t>
        </is>
      </c>
      <c r="B4704" s="1" t="n">
        <v>45098</v>
      </c>
      <c r="C4704" s="1" t="n">
        <v>45182</v>
      </c>
      <c r="D4704" t="inlineStr">
        <is>
          <t>SÖDERMANLANDS LÄN</t>
        </is>
      </c>
      <c r="E4704" t="inlineStr">
        <is>
          <t>VINGÅKER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27852-2023</t>
        </is>
      </c>
      <c r="B4705" s="1" t="n">
        <v>45098</v>
      </c>
      <c r="C4705" s="1" t="n">
        <v>45182</v>
      </c>
      <c r="D4705" t="inlineStr">
        <is>
          <t>SÖDERMANLANDS LÄN</t>
        </is>
      </c>
      <c r="E4705" t="inlineStr">
        <is>
          <t>KATRINEHOLM</t>
        </is>
      </c>
      <c r="G4705" t="n">
        <v>7.4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28183-2023</t>
        </is>
      </c>
      <c r="B4706" s="1" t="n">
        <v>45099</v>
      </c>
      <c r="C4706" s="1" t="n">
        <v>45182</v>
      </c>
      <c r="D4706" t="inlineStr">
        <is>
          <t>SÖDERMANLANDS LÄN</t>
        </is>
      </c>
      <c r="E4706" t="inlineStr">
        <is>
          <t>GNESTA</t>
        </is>
      </c>
      <c r="G4706" t="n">
        <v>25.3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30373-2023</t>
        </is>
      </c>
      <c r="B4707" s="1" t="n">
        <v>45099</v>
      </c>
      <c r="C4707" s="1" t="n">
        <v>45182</v>
      </c>
      <c r="D4707" t="inlineStr">
        <is>
          <t>SÖDERMANLANDS LÄN</t>
        </is>
      </c>
      <c r="E4707" t="inlineStr">
        <is>
          <t>ESKILSTUNA</t>
        </is>
      </c>
      <c r="G4707" t="n">
        <v>3.9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30260-2023</t>
        </is>
      </c>
      <c r="B4708" s="1" t="n">
        <v>45099</v>
      </c>
      <c r="C4708" s="1" t="n">
        <v>45182</v>
      </c>
      <c r="D4708" t="inlineStr">
        <is>
          <t>SÖDERMANLANDS LÄN</t>
        </is>
      </c>
      <c r="E4708" t="inlineStr">
        <is>
          <t>KATRINEHOLM</t>
        </is>
      </c>
      <c r="G4708" t="n">
        <v>4.8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28154-2023</t>
        </is>
      </c>
      <c r="B4709" s="1" t="n">
        <v>45099</v>
      </c>
      <c r="C4709" s="1" t="n">
        <v>45182</v>
      </c>
      <c r="D4709" t="inlineStr">
        <is>
          <t>SÖDERMANLANDS LÄN</t>
        </is>
      </c>
      <c r="E4709" t="inlineStr">
        <is>
          <t>FLEN</t>
        </is>
      </c>
      <c r="G4709" t="n">
        <v>11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30242-2023</t>
        </is>
      </c>
      <c r="B4710" s="1" t="n">
        <v>45099</v>
      </c>
      <c r="C4710" s="1" t="n">
        <v>45182</v>
      </c>
      <c r="D4710" t="inlineStr">
        <is>
          <t>SÖDERMANLANDS LÄN</t>
        </is>
      </c>
      <c r="E4710" t="inlineStr">
        <is>
          <t>KATRINEHOLM</t>
        </is>
      </c>
      <c r="G4710" t="n">
        <v>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30345-2023</t>
        </is>
      </c>
      <c r="B4711" s="1" t="n">
        <v>45099</v>
      </c>
      <c r="C4711" s="1" t="n">
        <v>45182</v>
      </c>
      <c r="D4711" t="inlineStr">
        <is>
          <t>SÖDERMANLANDS LÄN</t>
        </is>
      </c>
      <c r="E4711" t="inlineStr">
        <is>
          <t>ESKILSTUNA</t>
        </is>
      </c>
      <c r="G4711" t="n">
        <v>3.4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30365-2023</t>
        </is>
      </c>
      <c r="B4712" s="1" t="n">
        <v>45099</v>
      </c>
      <c r="C4712" s="1" t="n">
        <v>45182</v>
      </c>
      <c r="D4712" t="inlineStr">
        <is>
          <t>SÖDERMANLANDS LÄN</t>
        </is>
      </c>
      <c r="E4712" t="inlineStr">
        <is>
          <t>ESKILSTUNA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28394-2023</t>
        </is>
      </c>
      <c r="B4713" s="1" t="n">
        <v>45100</v>
      </c>
      <c r="C4713" s="1" t="n">
        <v>45182</v>
      </c>
      <c r="D4713" t="inlineStr">
        <is>
          <t>SÖDERMANLANDS LÄN</t>
        </is>
      </c>
      <c r="E4713" t="inlineStr">
        <is>
          <t>KATRINEHOLM</t>
        </is>
      </c>
      <c r="G4713" t="n">
        <v>4.2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28580-2023</t>
        </is>
      </c>
      <c r="B4714" s="1" t="n">
        <v>45103</v>
      </c>
      <c r="C4714" s="1" t="n">
        <v>45182</v>
      </c>
      <c r="D4714" t="inlineStr">
        <is>
          <t>SÖDERMANLANDS LÄN</t>
        </is>
      </c>
      <c r="E4714" t="inlineStr">
        <is>
          <t>ESKILSTUNA</t>
        </is>
      </c>
      <c r="F4714" t="inlineStr">
        <is>
          <t>Sveaskog</t>
        </is>
      </c>
      <c r="G4714" t="n">
        <v>2.7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30975-2023</t>
        </is>
      </c>
      <c r="B4715" s="1" t="n">
        <v>45103</v>
      </c>
      <c r="C4715" s="1" t="n">
        <v>45182</v>
      </c>
      <c r="D4715" t="inlineStr">
        <is>
          <t>SÖDERMANLANDS LÄN</t>
        </is>
      </c>
      <c r="E4715" t="inlineStr">
        <is>
          <t>ESKILSTUNA</t>
        </is>
      </c>
      <c r="G4715" t="n">
        <v>0.9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28590-2023</t>
        </is>
      </c>
      <c r="B4716" s="1" t="n">
        <v>45103</v>
      </c>
      <c r="C4716" s="1" t="n">
        <v>45182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1.6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28638-2023</t>
        </is>
      </c>
      <c r="B4717" s="1" t="n">
        <v>45103</v>
      </c>
      <c r="C4717" s="1" t="n">
        <v>45182</v>
      </c>
      <c r="D4717" t="inlineStr">
        <is>
          <t>SÖDERMANLANDS LÄN</t>
        </is>
      </c>
      <c r="E4717" t="inlineStr">
        <is>
          <t>NYKÖPING</t>
        </is>
      </c>
      <c r="G4717" t="n">
        <v>3.4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30935-2023</t>
        </is>
      </c>
      <c r="B4718" s="1" t="n">
        <v>45103</v>
      </c>
      <c r="C4718" s="1" t="n">
        <v>45182</v>
      </c>
      <c r="D4718" t="inlineStr">
        <is>
          <t>SÖDERMANLANDS LÄN</t>
        </is>
      </c>
      <c r="E4718" t="inlineStr">
        <is>
          <t>ESKILSTUNA</t>
        </is>
      </c>
      <c r="G4718" t="n">
        <v>3.1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30971-2023</t>
        </is>
      </c>
      <c r="B4719" s="1" t="n">
        <v>45103</v>
      </c>
      <c r="C4719" s="1" t="n">
        <v>45182</v>
      </c>
      <c r="D4719" t="inlineStr">
        <is>
          <t>SÖDERMANLANDS LÄN</t>
        </is>
      </c>
      <c r="E4719" t="inlineStr">
        <is>
          <t>ESKILSTUNA</t>
        </is>
      </c>
      <c r="G4719" t="n">
        <v>1.2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30979-2023</t>
        </is>
      </c>
      <c r="B4720" s="1" t="n">
        <v>45103</v>
      </c>
      <c r="C4720" s="1" t="n">
        <v>45182</v>
      </c>
      <c r="D4720" t="inlineStr">
        <is>
          <t>SÖDERMANLANDS LÄN</t>
        </is>
      </c>
      <c r="E4720" t="inlineStr">
        <is>
          <t>ESKILSTUNA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31007-2023</t>
        </is>
      </c>
      <c r="B4721" s="1" t="n">
        <v>45103</v>
      </c>
      <c r="C4721" s="1" t="n">
        <v>45182</v>
      </c>
      <c r="D4721" t="inlineStr">
        <is>
          <t>SÖDERMANLANDS LÄN</t>
        </is>
      </c>
      <c r="E4721" t="inlineStr">
        <is>
          <t>FLEN</t>
        </is>
      </c>
      <c r="G4721" t="n">
        <v>3.2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  <c r="U4721">
        <f>HYPERLINK("https://klasma.github.io/Logging_FLEN/knärot/A 31007-2023.png")</f>
        <v/>
      </c>
      <c r="V4721">
        <f>HYPERLINK("https://klasma.github.io/Logging_FLEN/klagomål/A 31007-2023.docx")</f>
        <v/>
      </c>
      <c r="W4721">
        <f>HYPERLINK("https://klasma.github.io/Logging_FLEN/klagomålsmail/A 31007-2023.docx")</f>
        <v/>
      </c>
      <c r="X4721">
        <f>HYPERLINK("https://klasma.github.io/Logging_FLEN/tillsyn/A 31007-2023.docx")</f>
        <v/>
      </c>
      <c r="Y4721">
        <f>HYPERLINK("https://klasma.github.io/Logging_FLEN/tillsynsmail/A 31007-2023.docx")</f>
        <v/>
      </c>
    </row>
    <row r="4722" ht="15" customHeight="1">
      <c r="A4722" t="inlineStr">
        <is>
          <t>A 28582-2023</t>
        </is>
      </c>
      <c r="B4722" s="1" t="n">
        <v>45103</v>
      </c>
      <c r="C4722" s="1" t="n">
        <v>45182</v>
      </c>
      <c r="D4722" t="inlineStr">
        <is>
          <t>SÖDERMANLANDS LÄN</t>
        </is>
      </c>
      <c r="E4722" t="inlineStr">
        <is>
          <t>ESKILSTUNA</t>
        </is>
      </c>
      <c r="F4722" t="inlineStr">
        <is>
          <t>Sveaskog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30960-2023</t>
        </is>
      </c>
      <c r="B4723" s="1" t="n">
        <v>45103</v>
      </c>
      <c r="C4723" s="1" t="n">
        <v>45182</v>
      </c>
      <c r="D4723" t="inlineStr">
        <is>
          <t>SÖDERMANLANDS LÄN</t>
        </is>
      </c>
      <c r="E4723" t="inlineStr">
        <is>
          <t>ESKILSTUNA</t>
        </is>
      </c>
      <c r="G4723" t="n">
        <v>2.1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28458-2023</t>
        </is>
      </c>
      <c r="B4724" s="1" t="n">
        <v>45103</v>
      </c>
      <c r="C4724" s="1" t="n">
        <v>45182</v>
      </c>
      <c r="D4724" t="inlineStr">
        <is>
          <t>SÖDERMANLANDS LÄN</t>
        </is>
      </c>
      <c r="E4724" t="inlineStr">
        <is>
          <t>GNESTA</t>
        </is>
      </c>
      <c r="G4724" t="n">
        <v>6.4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28551-2023</t>
        </is>
      </c>
      <c r="B4725" s="1" t="n">
        <v>45103</v>
      </c>
      <c r="C4725" s="1" t="n">
        <v>45182</v>
      </c>
      <c r="D4725" t="inlineStr">
        <is>
          <t>SÖDERMANLANDS LÄN</t>
        </is>
      </c>
      <c r="E4725" t="inlineStr">
        <is>
          <t>VINGÅKER</t>
        </is>
      </c>
      <c r="F4725" t="inlineStr">
        <is>
          <t>Sveaskog</t>
        </is>
      </c>
      <c r="G4725" t="n">
        <v>4.5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31002-2023</t>
        </is>
      </c>
      <c r="B4726" s="1" t="n">
        <v>45103</v>
      </c>
      <c r="C4726" s="1" t="n">
        <v>45182</v>
      </c>
      <c r="D4726" t="inlineStr">
        <is>
          <t>SÖDERMANLANDS LÄN</t>
        </is>
      </c>
      <c r="E4726" t="inlineStr">
        <is>
          <t>ESKILSTUNA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31498-2023</t>
        </is>
      </c>
      <c r="B4727" s="1" t="n">
        <v>45104</v>
      </c>
      <c r="C4727" s="1" t="n">
        <v>45182</v>
      </c>
      <c r="D4727" t="inlineStr">
        <is>
          <t>SÖDERMANLANDS LÄN</t>
        </is>
      </c>
      <c r="E4727" t="inlineStr">
        <is>
          <t>GNESTA</t>
        </is>
      </c>
      <c r="G4727" t="n">
        <v>7.3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28938-2023</t>
        </is>
      </c>
      <c r="B4728" s="1" t="n">
        <v>45104</v>
      </c>
      <c r="C4728" s="1" t="n">
        <v>45182</v>
      </c>
      <c r="D4728" t="inlineStr">
        <is>
          <t>SÖDERMANLANDS LÄN</t>
        </is>
      </c>
      <c r="E4728" t="inlineStr">
        <is>
          <t>FLEN</t>
        </is>
      </c>
      <c r="G4728" t="n">
        <v>0.6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31499-2023</t>
        </is>
      </c>
      <c r="B4729" s="1" t="n">
        <v>45104</v>
      </c>
      <c r="C4729" s="1" t="n">
        <v>45182</v>
      </c>
      <c r="D4729" t="inlineStr">
        <is>
          <t>SÖDERMANLANDS LÄN</t>
        </is>
      </c>
      <c r="E4729" t="inlineStr">
        <is>
          <t>GNESTA</t>
        </is>
      </c>
      <c r="G4729" t="n">
        <v>1.1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28928-2023</t>
        </is>
      </c>
      <c r="B4730" s="1" t="n">
        <v>45104</v>
      </c>
      <c r="C4730" s="1" t="n">
        <v>45182</v>
      </c>
      <c r="D4730" t="inlineStr">
        <is>
          <t>SÖDERMANLANDS LÄN</t>
        </is>
      </c>
      <c r="E4730" t="inlineStr">
        <is>
          <t>FLEN</t>
        </is>
      </c>
      <c r="G4730" t="n">
        <v>8.800000000000001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31500-2023</t>
        </is>
      </c>
      <c r="B4731" s="1" t="n">
        <v>45104</v>
      </c>
      <c r="C4731" s="1" t="n">
        <v>45182</v>
      </c>
      <c r="D4731" t="inlineStr">
        <is>
          <t>SÖDERMANLANDS LÄN</t>
        </is>
      </c>
      <c r="E4731" t="inlineStr">
        <is>
          <t>GNESTA</t>
        </is>
      </c>
      <c r="G4731" t="n">
        <v>2.1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29198-2023</t>
        </is>
      </c>
      <c r="B4732" s="1" t="n">
        <v>45105</v>
      </c>
      <c r="C4732" s="1" t="n">
        <v>45182</v>
      </c>
      <c r="D4732" t="inlineStr">
        <is>
          <t>SÖDERMANLANDS LÄN</t>
        </is>
      </c>
      <c r="E4732" t="inlineStr">
        <is>
          <t>KATRINEHOLM</t>
        </is>
      </c>
      <c r="F4732" t="inlineStr">
        <is>
          <t>Övriga Aktiebolag</t>
        </is>
      </c>
      <c r="G4732" t="n">
        <v>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29149-2023</t>
        </is>
      </c>
      <c r="B4733" s="1" t="n">
        <v>45105</v>
      </c>
      <c r="C4733" s="1" t="n">
        <v>45182</v>
      </c>
      <c r="D4733" t="inlineStr">
        <is>
          <t>SÖDERMANLANDS LÄN</t>
        </is>
      </c>
      <c r="E4733" t="inlineStr">
        <is>
          <t>KATRINEHOLM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29186-2023</t>
        </is>
      </c>
      <c r="B4734" s="1" t="n">
        <v>45105</v>
      </c>
      <c r="C4734" s="1" t="n">
        <v>45182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7.8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29195-2023</t>
        </is>
      </c>
      <c r="B4735" s="1" t="n">
        <v>45105</v>
      </c>
      <c r="C4735" s="1" t="n">
        <v>45182</v>
      </c>
      <c r="D4735" t="inlineStr">
        <is>
          <t>SÖDERMANLANDS LÄN</t>
        </is>
      </c>
      <c r="E4735" t="inlineStr">
        <is>
          <t>FLEN</t>
        </is>
      </c>
      <c r="F4735" t="inlineStr">
        <is>
          <t>Övriga statliga verk och myndigheter</t>
        </is>
      </c>
      <c r="G4735" t="n">
        <v>3.9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29637-2023</t>
        </is>
      </c>
      <c r="B4736" s="1" t="n">
        <v>45106</v>
      </c>
      <c r="C4736" s="1" t="n">
        <v>45182</v>
      </c>
      <c r="D4736" t="inlineStr">
        <is>
          <t>SÖDERMANLANDS LÄN</t>
        </is>
      </c>
      <c r="E4736" t="inlineStr">
        <is>
          <t>ESKILSTUNA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29551-2023</t>
        </is>
      </c>
      <c r="B4737" s="1" t="n">
        <v>45106</v>
      </c>
      <c r="C4737" s="1" t="n">
        <v>45182</v>
      </c>
      <c r="D4737" t="inlineStr">
        <is>
          <t>SÖDERMANLANDS LÄN</t>
        </is>
      </c>
      <c r="E4737" t="inlineStr">
        <is>
          <t>NYKÖPING</t>
        </is>
      </c>
      <c r="G4737" t="n">
        <v>5.1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29502-2023</t>
        </is>
      </c>
      <c r="B4738" s="1" t="n">
        <v>45106</v>
      </c>
      <c r="C4738" s="1" t="n">
        <v>45182</v>
      </c>
      <c r="D4738" t="inlineStr">
        <is>
          <t>SÖDERMANLANDS LÄN</t>
        </is>
      </c>
      <c r="E4738" t="inlineStr">
        <is>
          <t>KATRINEHOLM</t>
        </is>
      </c>
      <c r="G4738" t="n">
        <v>2.3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29648-2023</t>
        </is>
      </c>
      <c r="B4739" s="1" t="n">
        <v>45107</v>
      </c>
      <c r="C4739" s="1" t="n">
        <v>45182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29929-2023</t>
        </is>
      </c>
      <c r="B4740" s="1" t="n">
        <v>45107</v>
      </c>
      <c r="C4740" s="1" t="n">
        <v>45182</v>
      </c>
      <c r="D4740" t="inlineStr">
        <is>
          <t>SÖDERMANLANDS LÄN</t>
        </is>
      </c>
      <c r="E4740" t="inlineStr">
        <is>
          <t>ESKILSTUNA</t>
        </is>
      </c>
      <c r="F4740" t="inlineStr">
        <is>
          <t>Allmännings- och besparingsskogar</t>
        </is>
      </c>
      <c r="G4740" t="n">
        <v>2.5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29644-2023</t>
        </is>
      </c>
      <c r="B4741" s="1" t="n">
        <v>45107</v>
      </c>
      <c r="C4741" s="1" t="n">
        <v>45182</v>
      </c>
      <c r="D4741" t="inlineStr">
        <is>
          <t>SÖDERMANLANDS LÄN</t>
        </is>
      </c>
      <c r="E4741" t="inlineStr">
        <is>
          <t>ESKILSTUNA</t>
        </is>
      </c>
      <c r="G4741" t="n">
        <v>2.6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29830-2023</t>
        </is>
      </c>
      <c r="B4742" s="1" t="n">
        <v>45107</v>
      </c>
      <c r="C4742" s="1" t="n">
        <v>45182</v>
      </c>
      <c r="D4742" t="inlineStr">
        <is>
          <t>SÖDERMANLANDS LÄN</t>
        </is>
      </c>
      <c r="E4742" t="inlineStr">
        <is>
          <t>KATRINEHOLM</t>
        </is>
      </c>
      <c r="F4742" t="inlineStr">
        <is>
          <t>Holmen skog AB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29646-2023</t>
        </is>
      </c>
      <c r="B4743" s="1" t="n">
        <v>45107</v>
      </c>
      <c r="C4743" s="1" t="n">
        <v>45182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29843-2023</t>
        </is>
      </c>
      <c r="B4744" s="1" t="n">
        <v>45107</v>
      </c>
      <c r="C4744" s="1" t="n">
        <v>45182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29642-2023</t>
        </is>
      </c>
      <c r="B4745" s="1" t="n">
        <v>45107</v>
      </c>
      <c r="C4745" s="1" t="n">
        <v>45182</v>
      </c>
      <c r="D4745" t="inlineStr">
        <is>
          <t>SÖDERMANLANDS LÄN</t>
        </is>
      </c>
      <c r="E4745" t="inlineStr">
        <is>
          <t>ESKILSTUNA</t>
        </is>
      </c>
      <c r="G4745" t="n">
        <v>1.9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29872-2023</t>
        </is>
      </c>
      <c r="B4746" s="1" t="n">
        <v>45107</v>
      </c>
      <c r="C4746" s="1" t="n">
        <v>45182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31868-2023</t>
        </is>
      </c>
      <c r="B4747" s="1" t="n">
        <v>45107</v>
      </c>
      <c r="C4747" s="1" t="n">
        <v>45182</v>
      </c>
      <c r="D4747" t="inlineStr">
        <is>
          <t>SÖDERMANLANDS LÄN</t>
        </is>
      </c>
      <c r="E4747" t="inlineStr">
        <is>
          <t>NYKÖPING</t>
        </is>
      </c>
      <c r="G4747" t="n">
        <v>3.7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32054-2023</t>
        </is>
      </c>
      <c r="B4748" s="1" t="n">
        <v>45107</v>
      </c>
      <c r="C4748" s="1" t="n">
        <v>45182</v>
      </c>
      <c r="D4748" t="inlineStr">
        <is>
          <t>SÖDERMANLANDS LÄN</t>
        </is>
      </c>
      <c r="E4748" t="inlineStr">
        <is>
          <t>VINGÅKER</t>
        </is>
      </c>
      <c r="G4748" t="n">
        <v>1.3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29977-2023</t>
        </is>
      </c>
      <c r="B4749" s="1" t="n">
        <v>45108</v>
      </c>
      <c r="C4749" s="1" t="n">
        <v>45182</v>
      </c>
      <c r="D4749" t="inlineStr">
        <is>
          <t>SÖDERMANLANDS LÄN</t>
        </is>
      </c>
      <c r="E4749" t="inlineStr">
        <is>
          <t>KATRINEHOLM</t>
        </is>
      </c>
      <c r="G4749" t="n">
        <v>2.4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32266-2023</t>
        </is>
      </c>
      <c r="B4750" s="1" t="n">
        <v>45109</v>
      </c>
      <c r="C4750" s="1" t="n">
        <v>45182</v>
      </c>
      <c r="D4750" t="inlineStr">
        <is>
          <t>SÖDERMANLANDS LÄN</t>
        </is>
      </c>
      <c r="E4750" t="inlineStr">
        <is>
          <t>VINGÅKER</t>
        </is>
      </c>
      <c r="G4750" t="n">
        <v>9.800000000000001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32273-2023</t>
        </is>
      </c>
      <c r="B4751" s="1" t="n">
        <v>45109</v>
      </c>
      <c r="C4751" s="1" t="n">
        <v>45182</v>
      </c>
      <c r="D4751" t="inlineStr">
        <is>
          <t>SÖDERMANLANDS LÄN</t>
        </is>
      </c>
      <c r="E4751" t="inlineStr">
        <is>
          <t>VINGÅKER</t>
        </is>
      </c>
      <c r="G4751" t="n">
        <v>2.7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32312-2023</t>
        </is>
      </c>
      <c r="B4752" s="1" t="n">
        <v>45110</v>
      </c>
      <c r="C4752" s="1" t="n">
        <v>45182</v>
      </c>
      <c r="D4752" t="inlineStr">
        <is>
          <t>SÖDERMANLANDS LÄN</t>
        </is>
      </c>
      <c r="E4752" t="inlineStr">
        <is>
          <t>KATRINEHOLM</t>
        </is>
      </c>
      <c r="G4752" t="n">
        <v>2.1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32407-2023</t>
        </is>
      </c>
      <c r="B4753" s="1" t="n">
        <v>45110</v>
      </c>
      <c r="C4753" s="1" t="n">
        <v>45182</v>
      </c>
      <c r="D4753" t="inlineStr">
        <is>
          <t>SÖDERMANLANDS LÄN</t>
        </is>
      </c>
      <c r="E4753" t="inlineStr">
        <is>
          <t>FLEN</t>
        </is>
      </c>
      <c r="G4753" t="n">
        <v>0.7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32512-2023</t>
        </is>
      </c>
      <c r="B4754" s="1" t="n">
        <v>45110</v>
      </c>
      <c r="C4754" s="1" t="n">
        <v>45182</v>
      </c>
      <c r="D4754" t="inlineStr">
        <is>
          <t>SÖDERMANLANDS LÄN</t>
        </is>
      </c>
      <c r="E4754" t="inlineStr">
        <is>
          <t>VINGÅKER</t>
        </is>
      </c>
      <c r="G4754" t="n">
        <v>3.7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30859-2023</t>
        </is>
      </c>
      <c r="B4755" s="1" t="n">
        <v>45110</v>
      </c>
      <c r="C4755" s="1" t="n">
        <v>45182</v>
      </c>
      <c r="D4755" t="inlineStr">
        <is>
          <t>SÖDERMANLANDS LÄN</t>
        </is>
      </c>
      <c r="E4755" t="inlineStr">
        <is>
          <t>NYKÖPING</t>
        </is>
      </c>
      <c r="G4755" t="n">
        <v>1.8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32547-2023</t>
        </is>
      </c>
      <c r="B4756" s="1" t="n">
        <v>45110</v>
      </c>
      <c r="C4756" s="1" t="n">
        <v>45182</v>
      </c>
      <c r="D4756" t="inlineStr">
        <is>
          <t>SÖDERMANLANDS LÄN</t>
        </is>
      </c>
      <c r="E4756" t="inlineStr">
        <is>
          <t>KATRINEHOLM</t>
        </is>
      </c>
      <c r="G4756" t="n">
        <v>9.5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30039-2023</t>
        </is>
      </c>
      <c r="B4757" s="1" t="n">
        <v>45110</v>
      </c>
      <c r="C4757" s="1" t="n">
        <v>45182</v>
      </c>
      <c r="D4757" t="inlineStr">
        <is>
          <t>SÖDERMANLANDS LÄN</t>
        </is>
      </c>
      <c r="E4757" t="inlineStr">
        <is>
          <t>KATRINEHOLM</t>
        </is>
      </c>
      <c r="G4757" t="n">
        <v>7.3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30276-2023</t>
        </is>
      </c>
      <c r="B4758" s="1" t="n">
        <v>45110</v>
      </c>
      <c r="C4758" s="1" t="n">
        <v>45182</v>
      </c>
      <c r="D4758" t="inlineStr">
        <is>
          <t>SÖDERMANLANDS LÄN</t>
        </is>
      </c>
      <c r="E4758" t="inlineStr">
        <is>
          <t>KATRINEHOLM</t>
        </is>
      </c>
      <c r="G4758" t="n">
        <v>2.3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30855-2023</t>
        </is>
      </c>
      <c r="B4759" s="1" t="n">
        <v>45110</v>
      </c>
      <c r="C4759" s="1" t="n">
        <v>45182</v>
      </c>
      <c r="D4759" t="inlineStr">
        <is>
          <t>SÖDERMANLANDS LÄN</t>
        </is>
      </c>
      <c r="E4759" t="inlineStr">
        <is>
          <t>NYKÖPING</t>
        </is>
      </c>
      <c r="G4759" t="n">
        <v>0.9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32320-2023</t>
        </is>
      </c>
      <c r="B4760" s="1" t="n">
        <v>45110</v>
      </c>
      <c r="C4760" s="1" t="n">
        <v>45182</v>
      </c>
      <c r="D4760" t="inlineStr">
        <is>
          <t>SÖDERMANLANDS LÄN</t>
        </is>
      </c>
      <c r="E4760" t="inlineStr">
        <is>
          <t>KATRINEHOLM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32522-2023</t>
        </is>
      </c>
      <c r="B4761" s="1" t="n">
        <v>45110</v>
      </c>
      <c r="C4761" s="1" t="n">
        <v>45182</v>
      </c>
      <c r="D4761" t="inlineStr">
        <is>
          <t>SÖDERMANLANDS LÄN</t>
        </is>
      </c>
      <c r="E4761" t="inlineStr">
        <is>
          <t>VINGÅKER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30860-2023</t>
        </is>
      </c>
      <c r="B4762" s="1" t="n">
        <v>45110</v>
      </c>
      <c r="C4762" s="1" t="n">
        <v>45182</v>
      </c>
      <c r="D4762" t="inlineStr">
        <is>
          <t>SÖDERMANLANDS LÄN</t>
        </is>
      </c>
      <c r="E4762" t="inlineStr">
        <is>
          <t>NYKÖPING</t>
        </is>
      </c>
      <c r="G4762" t="n">
        <v>11.5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30333-2023</t>
        </is>
      </c>
      <c r="B4763" s="1" t="n">
        <v>45111</v>
      </c>
      <c r="C4763" s="1" t="n">
        <v>45182</v>
      </c>
      <c r="D4763" t="inlineStr">
        <is>
          <t>SÖDERMANLANDS LÄN</t>
        </is>
      </c>
      <c r="E4763" t="inlineStr">
        <is>
          <t>KATRINEHOLM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30354-2023</t>
        </is>
      </c>
      <c r="B4764" s="1" t="n">
        <v>45111</v>
      </c>
      <c r="C4764" s="1" t="n">
        <v>45182</v>
      </c>
      <c r="D4764" t="inlineStr">
        <is>
          <t>SÖDERMANLANDS LÄN</t>
        </is>
      </c>
      <c r="E4764" t="inlineStr">
        <is>
          <t>ESKILSTUNA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30820-2023</t>
        </is>
      </c>
      <c r="B4765" s="1" t="n">
        <v>45112</v>
      </c>
      <c r="C4765" s="1" t="n">
        <v>45182</v>
      </c>
      <c r="D4765" t="inlineStr">
        <is>
          <t>SÖDERMANLANDS LÄN</t>
        </is>
      </c>
      <c r="E4765" t="inlineStr">
        <is>
          <t>NYKÖPING</t>
        </is>
      </c>
      <c r="G4765" t="n">
        <v>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30639-2023</t>
        </is>
      </c>
      <c r="B4766" s="1" t="n">
        <v>45112</v>
      </c>
      <c r="C4766" s="1" t="n">
        <v>45182</v>
      </c>
      <c r="D4766" t="inlineStr">
        <is>
          <t>SÖDERMANLANDS LÄN</t>
        </is>
      </c>
      <c r="E4766" t="inlineStr">
        <is>
          <t>NYKÖPING</t>
        </is>
      </c>
      <c r="G4766" t="n">
        <v>2.8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30908-2023</t>
        </is>
      </c>
      <c r="B4767" s="1" t="n">
        <v>45113</v>
      </c>
      <c r="C4767" s="1" t="n">
        <v>45182</v>
      </c>
      <c r="D4767" t="inlineStr">
        <is>
          <t>SÖDERMANLANDS LÄN</t>
        </is>
      </c>
      <c r="E4767" t="inlineStr">
        <is>
          <t>STRÄNGNÄS</t>
        </is>
      </c>
      <c r="G4767" t="n">
        <v>13.9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33010-2023</t>
        </is>
      </c>
      <c r="B4768" s="1" t="n">
        <v>45113</v>
      </c>
      <c r="C4768" s="1" t="n">
        <v>45182</v>
      </c>
      <c r="D4768" t="inlineStr">
        <is>
          <t>SÖDERMANLANDS LÄN</t>
        </is>
      </c>
      <c r="E4768" t="inlineStr">
        <is>
          <t>FLEN</t>
        </is>
      </c>
      <c r="F4768" t="inlineStr">
        <is>
          <t>Övriga statliga verk och myndigheter</t>
        </is>
      </c>
      <c r="G4768" t="n">
        <v>10.2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33126-2023</t>
        </is>
      </c>
      <c r="B4769" s="1" t="n">
        <v>45114</v>
      </c>
      <c r="C4769" s="1" t="n">
        <v>45182</v>
      </c>
      <c r="D4769" t="inlineStr">
        <is>
          <t>SÖDERMANLANDS LÄN</t>
        </is>
      </c>
      <c r="E4769" t="inlineStr">
        <is>
          <t>NYKÖPING</t>
        </is>
      </c>
      <c r="G4769" t="n">
        <v>3.8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33080-2023</t>
        </is>
      </c>
      <c r="B4770" s="1" t="n">
        <v>45114</v>
      </c>
      <c r="C4770" s="1" t="n">
        <v>45182</v>
      </c>
      <c r="D4770" t="inlineStr">
        <is>
          <t>SÖDERMANLANDS LÄN</t>
        </is>
      </c>
      <c r="E4770" t="inlineStr">
        <is>
          <t>STRÄNGNÄS</t>
        </is>
      </c>
      <c r="G4770" t="n">
        <v>6.3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31352-2023</t>
        </is>
      </c>
      <c r="B4771" s="1" t="n">
        <v>45114</v>
      </c>
      <c r="C4771" s="1" t="n">
        <v>45182</v>
      </c>
      <c r="D4771" t="inlineStr">
        <is>
          <t>SÖDERMANLANDS LÄN</t>
        </is>
      </c>
      <c r="E4771" t="inlineStr">
        <is>
          <t>FLEN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31217-2023</t>
        </is>
      </c>
      <c r="B4772" s="1" t="n">
        <v>45114</v>
      </c>
      <c r="C4772" s="1" t="n">
        <v>45182</v>
      </c>
      <c r="D4772" t="inlineStr">
        <is>
          <t>SÖDERMANLANDS LÄN</t>
        </is>
      </c>
      <c r="E4772" t="inlineStr">
        <is>
          <t>FLEN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33280-2023</t>
        </is>
      </c>
      <c r="B4773" s="1" t="n">
        <v>45114</v>
      </c>
      <c r="C4773" s="1" t="n">
        <v>45182</v>
      </c>
      <c r="D4773" t="inlineStr">
        <is>
          <t>SÖDERMANLANDS LÄN</t>
        </is>
      </c>
      <c r="E4773" t="inlineStr">
        <is>
          <t>FLEN</t>
        </is>
      </c>
      <c r="G4773" t="n">
        <v>2.7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31696-2023</t>
        </is>
      </c>
      <c r="B4774" s="1" t="n">
        <v>45117</v>
      </c>
      <c r="C4774" s="1" t="n">
        <v>45182</v>
      </c>
      <c r="D4774" t="inlineStr">
        <is>
          <t>SÖDERMANLANDS LÄN</t>
        </is>
      </c>
      <c r="E4774" t="inlineStr">
        <is>
          <t>STRÄNGNÄS</t>
        </is>
      </c>
      <c r="F4774" t="inlineStr">
        <is>
          <t>Övriga Aktiebolag</t>
        </is>
      </c>
      <c r="G4774" t="n">
        <v>2.2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31597-2023</t>
        </is>
      </c>
      <c r="B4775" s="1" t="n">
        <v>45117</v>
      </c>
      <c r="C4775" s="1" t="n">
        <v>45182</v>
      </c>
      <c r="D4775" t="inlineStr">
        <is>
          <t>SÖDERMANLANDS LÄN</t>
        </is>
      </c>
      <c r="E4775" t="inlineStr">
        <is>
          <t>ESKILSTUNA</t>
        </is>
      </c>
      <c r="G4775" t="n">
        <v>1.9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31837-2023</t>
        </is>
      </c>
      <c r="B4776" s="1" t="n">
        <v>45118</v>
      </c>
      <c r="C4776" s="1" t="n">
        <v>45182</v>
      </c>
      <c r="D4776" t="inlineStr">
        <is>
          <t>SÖDERMANLANDS LÄN</t>
        </is>
      </c>
      <c r="E4776" t="inlineStr">
        <is>
          <t>ESKILSTUNA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31879-2023</t>
        </is>
      </c>
      <c r="B4777" s="1" t="n">
        <v>45118</v>
      </c>
      <c r="C4777" s="1" t="n">
        <v>45182</v>
      </c>
      <c r="D4777" t="inlineStr">
        <is>
          <t>SÖDERMANLANDS LÄN</t>
        </is>
      </c>
      <c r="E4777" t="inlineStr">
        <is>
          <t>ESKILSTUNA</t>
        </is>
      </c>
      <c r="G4777" t="n">
        <v>0.7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31983-2023</t>
        </is>
      </c>
      <c r="B4778" s="1" t="n">
        <v>45119</v>
      </c>
      <c r="C4778" s="1" t="n">
        <v>45182</v>
      </c>
      <c r="D4778" t="inlineStr">
        <is>
          <t>SÖDERMANLANDS LÄN</t>
        </is>
      </c>
      <c r="E4778" t="inlineStr">
        <is>
          <t>ESKILSTUNA</t>
        </is>
      </c>
      <c r="F4778" t="inlineStr">
        <is>
          <t>Sveaskog</t>
        </is>
      </c>
      <c r="G4778" t="n">
        <v>3.2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33742-2023</t>
        </is>
      </c>
      <c r="B4779" s="1" t="n">
        <v>45119</v>
      </c>
      <c r="C4779" s="1" t="n">
        <v>45182</v>
      </c>
      <c r="D4779" t="inlineStr">
        <is>
          <t>SÖDERMANLANDS LÄN</t>
        </is>
      </c>
      <c r="E4779" t="inlineStr">
        <is>
          <t>FLEN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32410-2023</t>
        </is>
      </c>
      <c r="B4780" s="1" t="n">
        <v>45120</v>
      </c>
      <c r="C4780" s="1" t="n">
        <v>45182</v>
      </c>
      <c r="D4780" t="inlineStr">
        <is>
          <t>SÖDERMANLANDS LÄN</t>
        </is>
      </c>
      <c r="E4780" t="inlineStr">
        <is>
          <t>VINGÅKER</t>
        </is>
      </c>
      <c r="G4780" t="n">
        <v>1.8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32314-2023</t>
        </is>
      </c>
      <c r="B4781" s="1" t="n">
        <v>45120</v>
      </c>
      <c r="C4781" s="1" t="n">
        <v>45182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32417-2023</t>
        </is>
      </c>
      <c r="B4782" s="1" t="n">
        <v>45120</v>
      </c>
      <c r="C4782" s="1" t="n">
        <v>45182</v>
      </c>
      <c r="D4782" t="inlineStr">
        <is>
          <t>SÖDERMANLANDS LÄN</t>
        </is>
      </c>
      <c r="E4782" t="inlineStr">
        <is>
          <t>KATRINEHOLM</t>
        </is>
      </c>
      <c r="G4782" t="n">
        <v>1.6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33752-2023</t>
        </is>
      </c>
      <c r="B4783" s="1" t="n">
        <v>45120</v>
      </c>
      <c r="C4783" s="1" t="n">
        <v>45182</v>
      </c>
      <c r="D4783" t="inlineStr">
        <is>
          <t>SÖDERMANLANDS LÄN</t>
        </is>
      </c>
      <c r="E4783" t="inlineStr">
        <is>
          <t>KATRINEHOLM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33908-2023</t>
        </is>
      </c>
      <c r="B4784" s="1" t="n">
        <v>45121</v>
      </c>
      <c r="C4784" s="1" t="n">
        <v>45182</v>
      </c>
      <c r="D4784" t="inlineStr">
        <is>
          <t>SÖDERMANLANDS LÄN</t>
        </is>
      </c>
      <c r="E4784" t="inlineStr">
        <is>
          <t>FLEN</t>
        </is>
      </c>
      <c r="G4784" t="n">
        <v>14.4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33907-2023</t>
        </is>
      </c>
      <c r="B4785" s="1" t="n">
        <v>45121</v>
      </c>
      <c r="C4785" s="1" t="n">
        <v>45182</v>
      </c>
      <c r="D4785" t="inlineStr">
        <is>
          <t>SÖDERMANLANDS LÄN</t>
        </is>
      </c>
      <c r="E4785" t="inlineStr">
        <is>
          <t>FLEN</t>
        </is>
      </c>
      <c r="G4785" t="n">
        <v>2.3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32552-2023</t>
        </is>
      </c>
      <c r="B4786" s="1" t="n">
        <v>45121</v>
      </c>
      <c r="C4786" s="1" t="n">
        <v>45182</v>
      </c>
      <c r="D4786" t="inlineStr">
        <is>
          <t>SÖDERMANLANDS LÄN</t>
        </is>
      </c>
      <c r="E4786" t="inlineStr">
        <is>
          <t>STRÄNGNÄS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33902-2023</t>
        </is>
      </c>
      <c r="B4787" s="1" t="n">
        <v>45121</v>
      </c>
      <c r="C4787" s="1" t="n">
        <v>45182</v>
      </c>
      <c r="D4787" t="inlineStr">
        <is>
          <t>SÖDERMANLANDS LÄN</t>
        </is>
      </c>
      <c r="E4787" t="inlineStr">
        <is>
          <t>FLEN</t>
        </is>
      </c>
      <c r="G4787" t="n">
        <v>2.4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32942-2023</t>
        </is>
      </c>
      <c r="B4788" s="1" t="n">
        <v>45125</v>
      </c>
      <c r="C4788" s="1" t="n">
        <v>45182</v>
      </c>
      <c r="D4788" t="inlineStr">
        <is>
          <t>SÖDERMANLANDS LÄN</t>
        </is>
      </c>
      <c r="E4788" t="inlineStr">
        <is>
          <t>KATRINEHOLM</t>
        </is>
      </c>
      <c r="G4788" t="n">
        <v>4.2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32938-2023</t>
        </is>
      </c>
      <c r="B4789" s="1" t="n">
        <v>45125</v>
      </c>
      <c r="C4789" s="1" t="n">
        <v>45182</v>
      </c>
      <c r="D4789" t="inlineStr">
        <is>
          <t>SÖDERMANLANDS LÄN</t>
        </is>
      </c>
      <c r="E4789" t="inlineStr">
        <is>
          <t>KATRINEHOLM</t>
        </is>
      </c>
      <c r="G4789" t="n">
        <v>5.4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32944-2023</t>
        </is>
      </c>
      <c r="B4790" s="1" t="n">
        <v>45125</v>
      </c>
      <c r="C4790" s="1" t="n">
        <v>45182</v>
      </c>
      <c r="D4790" t="inlineStr">
        <is>
          <t>SÖDERMANLANDS LÄN</t>
        </is>
      </c>
      <c r="E4790" t="inlineStr">
        <is>
          <t>KATRINEHOLM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33342-2023</t>
        </is>
      </c>
      <c r="B4791" s="1" t="n">
        <v>45128</v>
      </c>
      <c r="C4791" s="1" t="n">
        <v>45182</v>
      </c>
      <c r="D4791" t="inlineStr">
        <is>
          <t>SÖDERMANLANDS LÄN</t>
        </is>
      </c>
      <c r="E4791" t="inlineStr">
        <is>
          <t>STRÄNGNÄS</t>
        </is>
      </c>
      <c r="G4791" t="n">
        <v>3.1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34364-2023</t>
        </is>
      </c>
      <c r="B4792" s="1" t="n">
        <v>45131</v>
      </c>
      <c r="C4792" s="1" t="n">
        <v>45182</v>
      </c>
      <c r="D4792" t="inlineStr">
        <is>
          <t>SÖDERMANLANDS LÄN</t>
        </is>
      </c>
      <c r="E4792" t="inlineStr">
        <is>
          <t>STRÄNGNÄS</t>
        </is>
      </c>
      <c r="G4792" t="n">
        <v>3.8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33669-2023</t>
        </is>
      </c>
      <c r="B4793" s="1" t="n">
        <v>45132</v>
      </c>
      <c r="C4793" s="1" t="n">
        <v>45182</v>
      </c>
      <c r="D4793" t="inlineStr">
        <is>
          <t>SÖDERMANLANDS LÄN</t>
        </is>
      </c>
      <c r="E4793" t="inlineStr">
        <is>
          <t>NYKÖPING</t>
        </is>
      </c>
      <c r="F4793" t="inlineStr">
        <is>
          <t>Holmen skog AB</t>
        </is>
      </c>
      <c r="G4793" t="n">
        <v>5.9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34429-2023</t>
        </is>
      </c>
      <c r="B4794" s="1" t="n">
        <v>45133</v>
      </c>
      <c r="C4794" s="1" t="n">
        <v>45182</v>
      </c>
      <c r="D4794" t="inlineStr">
        <is>
          <t>SÖDERMANLANDS LÄN</t>
        </is>
      </c>
      <c r="E4794" t="inlineStr">
        <is>
          <t>GNESTA</t>
        </is>
      </c>
      <c r="G4794" t="n">
        <v>1.9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33744-2023</t>
        </is>
      </c>
      <c r="B4795" s="1" t="n">
        <v>45133</v>
      </c>
      <c r="C4795" s="1" t="n">
        <v>45182</v>
      </c>
      <c r="D4795" t="inlineStr">
        <is>
          <t>SÖDERMANLANDS LÄN</t>
        </is>
      </c>
      <c r="E4795" t="inlineStr">
        <is>
          <t>KATRINEHOLM</t>
        </is>
      </c>
      <c r="G4795" t="n">
        <v>1.5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34425-2023</t>
        </is>
      </c>
      <c r="B4796" s="1" t="n">
        <v>45133</v>
      </c>
      <c r="C4796" s="1" t="n">
        <v>45182</v>
      </c>
      <c r="D4796" t="inlineStr">
        <is>
          <t>SÖDERMANLANDS LÄN</t>
        </is>
      </c>
      <c r="E4796" t="inlineStr">
        <is>
          <t>GNESTA</t>
        </is>
      </c>
      <c r="G4796" t="n">
        <v>4.4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33746-2023</t>
        </is>
      </c>
      <c r="B4797" s="1" t="n">
        <v>45133</v>
      </c>
      <c r="C4797" s="1" t="n">
        <v>45182</v>
      </c>
      <c r="D4797" t="inlineStr">
        <is>
          <t>SÖDERMANLANDS LÄN</t>
        </is>
      </c>
      <c r="E4797" t="inlineStr">
        <is>
          <t>KATRINEHOLM</t>
        </is>
      </c>
      <c r="F4797" t="inlineStr">
        <is>
          <t>Övriga Aktiebolag</t>
        </is>
      </c>
      <c r="G4797" t="n">
        <v>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34426-2023</t>
        </is>
      </c>
      <c r="B4798" s="1" t="n">
        <v>45133</v>
      </c>
      <c r="C4798" s="1" t="n">
        <v>45182</v>
      </c>
      <c r="D4798" t="inlineStr">
        <is>
          <t>SÖDERMANLANDS LÄN</t>
        </is>
      </c>
      <c r="E4798" t="inlineStr">
        <is>
          <t>GNESTA</t>
        </is>
      </c>
      <c r="G4798" t="n">
        <v>5.6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34437-2023</t>
        </is>
      </c>
      <c r="B4799" s="1" t="n">
        <v>45133</v>
      </c>
      <c r="C4799" s="1" t="n">
        <v>45182</v>
      </c>
      <c r="D4799" t="inlineStr">
        <is>
          <t>SÖDERMANLANDS LÄN</t>
        </is>
      </c>
      <c r="E4799" t="inlineStr">
        <is>
          <t>GNESTA</t>
        </is>
      </c>
      <c r="G4799" t="n">
        <v>9.699999999999999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34019-2023</t>
        </is>
      </c>
      <c r="B4800" s="1" t="n">
        <v>45135</v>
      </c>
      <c r="C4800" s="1" t="n">
        <v>45182</v>
      </c>
      <c r="D4800" t="inlineStr">
        <is>
          <t>SÖDERMANLANDS LÄN</t>
        </is>
      </c>
      <c r="E4800" t="inlineStr">
        <is>
          <t>VINGÅKER</t>
        </is>
      </c>
      <c r="F4800" t="inlineStr">
        <is>
          <t>Övriga Aktiebolag</t>
        </is>
      </c>
      <c r="G4800" t="n">
        <v>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34299-2023</t>
        </is>
      </c>
      <c r="B4801" s="1" t="n">
        <v>45138</v>
      </c>
      <c r="C4801" s="1" t="n">
        <v>45182</v>
      </c>
      <c r="D4801" t="inlineStr">
        <is>
          <t>SÖDERMANLANDS LÄN</t>
        </is>
      </c>
      <c r="E4801" t="inlineStr">
        <is>
          <t>KATRINEHOLM</t>
        </is>
      </c>
      <c r="G4801" t="n">
        <v>1.9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34227-2023</t>
        </is>
      </c>
      <c r="B4802" s="1" t="n">
        <v>45138</v>
      </c>
      <c r="C4802" s="1" t="n">
        <v>45182</v>
      </c>
      <c r="D4802" t="inlineStr">
        <is>
          <t>SÖDERMANLANDS LÄN</t>
        </is>
      </c>
      <c r="E4802" t="inlineStr">
        <is>
          <t>ESKILSTUNA</t>
        </is>
      </c>
      <c r="G4802" t="n">
        <v>4.1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34289-2023</t>
        </is>
      </c>
      <c r="B4803" s="1" t="n">
        <v>45138</v>
      </c>
      <c r="C4803" s="1" t="n">
        <v>45182</v>
      </c>
      <c r="D4803" t="inlineStr">
        <is>
          <t>SÖDERMANLANDS LÄN</t>
        </is>
      </c>
      <c r="E4803" t="inlineStr">
        <is>
          <t>NYKÖPING</t>
        </is>
      </c>
      <c r="G4803" t="n">
        <v>1.5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34384-2023</t>
        </is>
      </c>
      <c r="B4804" s="1" t="n">
        <v>45139</v>
      </c>
      <c r="C4804" s="1" t="n">
        <v>45182</v>
      </c>
      <c r="D4804" t="inlineStr">
        <is>
          <t>SÖDERMANLANDS LÄN</t>
        </is>
      </c>
      <c r="E4804" t="inlineStr">
        <is>
          <t>GNESTA</t>
        </is>
      </c>
      <c r="G4804" t="n">
        <v>1.1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34392-2023</t>
        </is>
      </c>
      <c r="B4805" s="1" t="n">
        <v>45139</v>
      </c>
      <c r="C4805" s="1" t="n">
        <v>45182</v>
      </c>
      <c r="D4805" t="inlineStr">
        <is>
          <t>SÖDERMANLANDS LÄN</t>
        </is>
      </c>
      <c r="E4805" t="inlineStr">
        <is>
          <t>GNESTA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34435-2023</t>
        </is>
      </c>
      <c r="B4806" s="1" t="n">
        <v>45139</v>
      </c>
      <c r="C4806" s="1" t="n">
        <v>45182</v>
      </c>
      <c r="D4806" t="inlineStr">
        <is>
          <t>SÖDERMANLANDS LÄN</t>
        </is>
      </c>
      <c r="E4806" t="inlineStr">
        <is>
          <t>GNESTA</t>
        </is>
      </c>
      <c r="G4806" t="n">
        <v>0.9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34524-2023</t>
        </is>
      </c>
      <c r="B4807" s="1" t="n">
        <v>45140</v>
      </c>
      <c r="C4807" s="1" t="n">
        <v>45182</v>
      </c>
      <c r="D4807" t="inlineStr">
        <is>
          <t>SÖDERMANLANDS LÄN</t>
        </is>
      </c>
      <c r="E4807" t="inlineStr">
        <is>
          <t>FLEN</t>
        </is>
      </c>
      <c r="G4807" t="n">
        <v>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34615-2023</t>
        </is>
      </c>
      <c r="B4808" s="1" t="n">
        <v>45140</v>
      </c>
      <c r="C4808" s="1" t="n">
        <v>45182</v>
      </c>
      <c r="D4808" t="inlineStr">
        <is>
          <t>SÖDERMANLANDS LÄN</t>
        </is>
      </c>
      <c r="E4808" t="inlineStr">
        <is>
          <t>GNESTA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34823-2023</t>
        </is>
      </c>
      <c r="B4809" s="1" t="n">
        <v>45140</v>
      </c>
      <c r="C4809" s="1" t="n">
        <v>45182</v>
      </c>
      <c r="D4809" t="inlineStr">
        <is>
          <t>SÖDERMANLANDS LÄN</t>
        </is>
      </c>
      <c r="E4809" t="inlineStr">
        <is>
          <t>FLEN</t>
        </is>
      </c>
      <c r="G4809" t="n">
        <v>1.3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34596-2023</t>
        </is>
      </c>
      <c r="B4810" s="1" t="n">
        <v>45140</v>
      </c>
      <c r="C4810" s="1" t="n">
        <v>45182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34613-2023</t>
        </is>
      </c>
      <c r="B4811" s="1" t="n">
        <v>45140</v>
      </c>
      <c r="C4811" s="1" t="n">
        <v>45182</v>
      </c>
      <c r="D4811" t="inlineStr">
        <is>
          <t>SÖDERMANLANDS LÄN</t>
        </is>
      </c>
      <c r="E4811" t="inlineStr">
        <is>
          <t>KATRINEHOLM</t>
        </is>
      </c>
      <c r="G4811" t="n">
        <v>2.3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34612-2023</t>
        </is>
      </c>
      <c r="B4812" s="1" t="n">
        <v>45140</v>
      </c>
      <c r="C4812" s="1" t="n">
        <v>45182</v>
      </c>
      <c r="D4812" t="inlineStr">
        <is>
          <t>SÖDERMANLANDS LÄN</t>
        </is>
      </c>
      <c r="E4812" t="inlineStr">
        <is>
          <t>FLEN</t>
        </is>
      </c>
      <c r="F4812" t="inlineStr">
        <is>
          <t>Kyrkan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34783-2023</t>
        </is>
      </c>
      <c r="B4813" s="1" t="n">
        <v>45140</v>
      </c>
      <c r="C4813" s="1" t="n">
        <v>45182</v>
      </c>
      <c r="D4813" t="inlineStr">
        <is>
          <t>SÖDERMANLANDS LÄN</t>
        </is>
      </c>
      <c r="E4813" t="inlineStr">
        <is>
          <t>FLEN</t>
        </is>
      </c>
      <c r="G4813" t="n">
        <v>3.9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34645-2023</t>
        </is>
      </c>
      <c r="B4814" s="1" t="n">
        <v>45140</v>
      </c>
      <c r="C4814" s="1" t="n">
        <v>45182</v>
      </c>
      <c r="D4814" t="inlineStr">
        <is>
          <t>SÖDERMANLANDS LÄN</t>
        </is>
      </c>
      <c r="E4814" t="inlineStr">
        <is>
          <t>ESKILSTUNA</t>
        </is>
      </c>
      <c r="F4814" t="inlineStr">
        <is>
          <t>Kyrkan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34751-2023</t>
        </is>
      </c>
      <c r="B4815" s="1" t="n">
        <v>45140</v>
      </c>
      <c r="C4815" s="1" t="n">
        <v>45182</v>
      </c>
      <c r="D4815" t="inlineStr">
        <is>
          <t>SÖDERMANLANDS LÄN</t>
        </is>
      </c>
      <c r="E4815" t="inlineStr">
        <is>
          <t>NYKÖPING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34721-2023</t>
        </is>
      </c>
      <c r="B4816" s="1" t="n">
        <v>45141</v>
      </c>
      <c r="C4816" s="1" t="n">
        <v>45182</v>
      </c>
      <c r="D4816" t="inlineStr">
        <is>
          <t>SÖDERMANLANDS LÄN</t>
        </is>
      </c>
      <c r="E4816" t="inlineStr">
        <is>
          <t>FLEN</t>
        </is>
      </c>
      <c r="G4816" t="n">
        <v>4.1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34731-2023</t>
        </is>
      </c>
      <c r="B4817" s="1" t="n">
        <v>45141</v>
      </c>
      <c r="C4817" s="1" t="n">
        <v>45182</v>
      </c>
      <c r="D4817" t="inlineStr">
        <is>
          <t>SÖDERMANLANDS LÄN</t>
        </is>
      </c>
      <c r="E4817" t="inlineStr">
        <is>
          <t>KATRINEHOLM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34739-2023</t>
        </is>
      </c>
      <c r="B4818" s="1" t="n">
        <v>45141</v>
      </c>
      <c r="C4818" s="1" t="n">
        <v>45182</v>
      </c>
      <c r="D4818" t="inlineStr">
        <is>
          <t>SÖDERMANLANDS LÄN</t>
        </is>
      </c>
      <c r="E4818" t="inlineStr">
        <is>
          <t>KATRINEHOLM</t>
        </is>
      </c>
      <c r="G4818" t="n">
        <v>1.4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34925-2023</t>
        </is>
      </c>
      <c r="B4819" s="1" t="n">
        <v>45141</v>
      </c>
      <c r="C4819" s="1" t="n">
        <v>45182</v>
      </c>
      <c r="D4819" t="inlineStr">
        <is>
          <t>SÖDERMANLANDS LÄN</t>
        </is>
      </c>
      <c r="E4819" t="inlineStr">
        <is>
          <t>KATRINEHOLM</t>
        </is>
      </c>
      <c r="F4819" t="inlineStr">
        <is>
          <t>Övriga Aktiebolag</t>
        </is>
      </c>
      <c r="G4819" t="n">
        <v>8.300000000000001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34939-2023</t>
        </is>
      </c>
      <c r="B4820" s="1" t="n">
        <v>45141</v>
      </c>
      <c r="C4820" s="1" t="n">
        <v>45182</v>
      </c>
      <c r="D4820" t="inlineStr">
        <is>
          <t>SÖDERMANLANDS LÄN</t>
        </is>
      </c>
      <c r="E4820" t="inlineStr">
        <is>
          <t>KATRINEHOLM</t>
        </is>
      </c>
      <c r="G4820" t="n">
        <v>10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34734-2023</t>
        </is>
      </c>
      <c r="B4821" s="1" t="n">
        <v>45141</v>
      </c>
      <c r="C4821" s="1" t="n">
        <v>45182</v>
      </c>
      <c r="D4821" t="inlineStr">
        <is>
          <t>SÖDERMANLANDS LÄN</t>
        </is>
      </c>
      <c r="E4821" t="inlineStr">
        <is>
          <t>FLEN</t>
        </is>
      </c>
      <c r="G4821" t="n">
        <v>1.9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34936-2023</t>
        </is>
      </c>
      <c r="B4822" s="1" t="n">
        <v>45141</v>
      </c>
      <c r="C4822" s="1" t="n">
        <v>45182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3.2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34869-2023</t>
        </is>
      </c>
      <c r="B4823" s="1" t="n">
        <v>45142</v>
      </c>
      <c r="C4823" s="1" t="n">
        <v>45182</v>
      </c>
      <c r="D4823" t="inlineStr">
        <is>
          <t>SÖDERMANLANDS LÄN</t>
        </is>
      </c>
      <c r="E4823" t="inlineStr">
        <is>
          <t>FLEN</t>
        </is>
      </c>
      <c r="G4823" t="n">
        <v>2.9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34981-2023</t>
        </is>
      </c>
      <c r="B4824" s="1" t="n">
        <v>45142</v>
      </c>
      <c r="C4824" s="1" t="n">
        <v>45182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35020-2023</t>
        </is>
      </c>
      <c r="B4825" s="1" t="n">
        <v>45143</v>
      </c>
      <c r="C4825" s="1" t="n">
        <v>45182</v>
      </c>
      <c r="D4825" t="inlineStr">
        <is>
          <t>SÖDERMANLANDS LÄN</t>
        </is>
      </c>
      <c r="E4825" t="inlineStr">
        <is>
          <t>NYKÖPING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35019-2023</t>
        </is>
      </c>
      <c r="B4826" s="1" t="n">
        <v>45143</v>
      </c>
      <c r="C4826" s="1" t="n">
        <v>45182</v>
      </c>
      <c r="D4826" t="inlineStr">
        <is>
          <t>SÖDERMANLANDS LÄN</t>
        </is>
      </c>
      <c r="E4826" t="inlineStr">
        <is>
          <t>NYKÖPING</t>
        </is>
      </c>
      <c r="G4826" t="n">
        <v>2.2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35377-2023</t>
        </is>
      </c>
      <c r="B4827" s="1" t="n">
        <v>45146</v>
      </c>
      <c r="C4827" s="1" t="n">
        <v>45182</v>
      </c>
      <c r="D4827" t="inlineStr">
        <is>
          <t>SÖDERMANLANDS LÄN</t>
        </is>
      </c>
      <c r="E4827" t="inlineStr">
        <is>
          <t>ESKILSTUNA</t>
        </is>
      </c>
      <c r="F4827" t="inlineStr">
        <is>
          <t>Kyrkan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35458-2023</t>
        </is>
      </c>
      <c r="B4828" s="1" t="n">
        <v>45146</v>
      </c>
      <c r="C4828" s="1" t="n">
        <v>45182</v>
      </c>
      <c r="D4828" t="inlineStr">
        <is>
          <t>SÖDERMANLANDS LÄN</t>
        </is>
      </c>
      <c r="E4828" t="inlineStr">
        <is>
          <t>NYKÖPING</t>
        </is>
      </c>
      <c r="F4828" t="inlineStr">
        <is>
          <t>Holmen skog AB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35383-2023</t>
        </is>
      </c>
      <c r="B4829" s="1" t="n">
        <v>45146</v>
      </c>
      <c r="C4829" s="1" t="n">
        <v>45182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35444-2023</t>
        </is>
      </c>
      <c r="B4830" s="1" t="n">
        <v>45146</v>
      </c>
      <c r="C4830" s="1" t="n">
        <v>45182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3.7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35469-2023</t>
        </is>
      </c>
      <c r="B4831" s="1" t="n">
        <v>45146</v>
      </c>
      <c r="C4831" s="1" t="n">
        <v>45182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35346-2023</t>
        </is>
      </c>
      <c r="B4832" s="1" t="n">
        <v>45146</v>
      </c>
      <c r="C4832" s="1" t="n">
        <v>45182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35416-2023</t>
        </is>
      </c>
      <c r="B4833" s="1" t="n">
        <v>45146</v>
      </c>
      <c r="C4833" s="1" t="n">
        <v>45182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2.4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35600-2023</t>
        </is>
      </c>
      <c r="B4834" s="1" t="n">
        <v>45147</v>
      </c>
      <c r="C4834" s="1" t="n">
        <v>45182</v>
      </c>
      <c r="D4834" t="inlineStr">
        <is>
          <t>SÖDERMANLANDS LÄN</t>
        </is>
      </c>
      <c r="E4834" t="inlineStr">
        <is>
          <t>FLEN</t>
        </is>
      </c>
      <c r="G4834" t="n">
        <v>1.4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35639-2023</t>
        </is>
      </c>
      <c r="B4835" s="1" t="n">
        <v>45147</v>
      </c>
      <c r="C4835" s="1" t="n">
        <v>45182</v>
      </c>
      <c r="D4835" t="inlineStr">
        <is>
          <t>SÖDERMANLANDS LÄN</t>
        </is>
      </c>
      <c r="E4835" t="inlineStr">
        <is>
          <t>FLEN</t>
        </is>
      </c>
      <c r="G4835" t="n">
        <v>5.3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35864-2023</t>
        </is>
      </c>
      <c r="B4836" s="1" t="n">
        <v>45147</v>
      </c>
      <c r="C4836" s="1" t="n">
        <v>45182</v>
      </c>
      <c r="D4836" t="inlineStr">
        <is>
          <t>SÖDERMANLANDS LÄN</t>
        </is>
      </c>
      <c r="E4836" t="inlineStr">
        <is>
          <t>KATRINEHOLM</t>
        </is>
      </c>
      <c r="F4836" t="inlineStr">
        <is>
          <t>Övriga Aktiebolag</t>
        </is>
      </c>
      <c r="G4836" t="n">
        <v>4.7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35583-2023</t>
        </is>
      </c>
      <c r="B4837" s="1" t="n">
        <v>45147</v>
      </c>
      <c r="C4837" s="1" t="n">
        <v>45182</v>
      </c>
      <c r="D4837" t="inlineStr">
        <is>
          <t>SÖDERMANLANDS LÄN</t>
        </is>
      </c>
      <c r="E4837" t="inlineStr">
        <is>
          <t>FLEN</t>
        </is>
      </c>
      <c r="F4837" t="inlineStr">
        <is>
          <t>Holmen skog AB</t>
        </is>
      </c>
      <c r="G4837" t="n">
        <v>4.3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35740-2023</t>
        </is>
      </c>
      <c r="B4838" s="1" t="n">
        <v>45147</v>
      </c>
      <c r="C4838" s="1" t="n">
        <v>45182</v>
      </c>
      <c r="D4838" t="inlineStr">
        <is>
          <t>SÖDERMANLANDS LÄN</t>
        </is>
      </c>
      <c r="E4838" t="inlineStr">
        <is>
          <t>KATRINEHOLM</t>
        </is>
      </c>
      <c r="G4838" t="n">
        <v>8.800000000000001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35830-2023</t>
        </is>
      </c>
      <c r="B4839" s="1" t="n">
        <v>45148</v>
      </c>
      <c r="C4839" s="1" t="n">
        <v>45182</v>
      </c>
      <c r="D4839" t="inlineStr">
        <is>
          <t>SÖDERMANLANDS LÄN</t>
        </is>
      </c>
      <c r="E4839" t="inlineStr">
        <is>
          <t>FLEN</t>
        </is>
      </c>
      <c r="G4839" t="n">
        <v>21.8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35951-2023</t>
        </is>
      </c>
      <c r="B4840" s="1" t="n">
        <v>45148</v>
      </c>
      <c r="C4840" s="1" t="n">
        <v>45182</v>
      </c>
      <c r="D4840" t="inlineStr">
        <is>
          <t>SÖDERMANLANDS LÄN</t>
        </is>
      </c>
      <c r="E4840" t="inlineStr">
        <is>
          <t>NYKÖPING</t>
        </is>
      </c>
      <c r="F4840" t="inlineStr">
        <is>
          <t>Kommuner</t>
        </is>
      </c>
      <c r="G4840" t="n">
        <v>0.8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36021-2023</t>
        </is>
      </c>
      <c r="B4841" s="1" t="n">
        <v>45148</v>
      </c>
      <c r="C4841" s="1" t="n">
        <v>45182</v>
      </c>
      <c r="D4841" t="inlineStr">
        <is>
          <t>SÖDERMANLANDS LÄN</t>
        </is>
      </c>
      <c r="E4841" t="inlineStr">
        <is>
          <t>KATRINEHOLM</t>
        </is>
      </c>
      <c r="G4841" t="n">
        <v>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35928-2023</t>
        </is>
      </c>
      <c r="B4842" s="1" t="n">
        <v>45148</v>
      </c>
      <c r="C4842" s="1" t="n">
        <v>45182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36003-2023</t>
        </is>
      </c>
      <c r="B4843" s="1" t="n">
        <v>45148</v>
      </c>
      <c r="C4843" s="1" t="n">
        <v>45182</v>
      </c>
      <c r="D4843" t="inlineStr">
        <is>
          <t>SÖDERMANLANDS LÄN</t>
        </is>
      </c>
      <c r="E4843" t="inlineStr">
        <is>
          <t>NYKÖPING</t>
        </is>
      </c>
      <c r="G4843" t="n">
        <v>4.2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36015-2023</t>
        </is>
      </c>
      <c r="B4844" s="1" t="n">
        <v>45148</v>
      </c>
      <c r="C4844" s="1" t="n">
        <v>45182</v>
      </c>
      <c r="D4844" t="inlineStr">
        <is>
          <t>SÖDERMANLANDS LÄN</t>
        </is>
      </c>
      <c r="E4844" t="inlineStr">
        <is>
          <t>NYKÖPING</t>
        </is>
      </c>
      <c r="G4844" t="n">
        <v>2.1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35996-2023</t>
        </is>
      </c>
      <c r="B4845" s="1" t="n">
        <v>45148</v>
      </c>
      <c r="C4845" s="1" t="n">
        <v>45182</v>
      </c>
      <c r="D4845" t="inlineStr">
        <is>
          <t>SÖDERMANLANDS LÄN</t>
        </is>
      </c>
      <c r="E4845" t="inlineStr">
        <is>
          <t>KATRINEHOLM</t>
        </is>
      </c>
      <c r="F4845" t="inlineStr">
        <is>
          <t>Övriga Aktiebolag</t>
        </is>
      </c>
      <c r="G4845" t="n">
        <v>15.8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36029-2023</t>
        </is>
      </c>
      <c r="B4846" s="1" t="n">
        <v>45148</v>
      </c>
      <c r="C4846" s="1" t="n">
        <v>45182</v>
      </c>
      <c r="D4846" t="inlineStr">
        <is>
          <t>SÖDERMANLANDS LÄN</t>
        </is>
      </c>
      <c r="E4846" t="inlineStr">
        <is>
          <t>KATRINEHOLM</t>
        </is>
      </c>
      <c r="G4846" t="n">
        <v>2.6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35899-2023</t>
        </is>
      </c>
      <c r="B4847" s="1" t="n">
        <v>45148</v>
      </c>
      <c r="C4847" s="1" t="n">
        <v>45182</v>
      </c>
      <c r="D4847" t="inlineStr">
        <is>
          <t>SÖDERMANLANDS LÄN</t>
        </is>
      </c>
      <c r="E4847" t="inlineStr">
        <is>
          <t>NYKÖPING</t>
        </is>
      </c>
      <c r="F4847" t="inlineStr">
        <is>
          <t>Kommuner</t>
        </is>
      </c>
      <c r="G4847" t="n">
        <v>4.5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36000-2023</t>
        </is>
      </c>
      <c r="B4848" s="1" t="n">
        <v>45148</v>
      </c>
      <c r="C4848" s="1" t="n">
        <v>45182</v>
      </c>
      <c r="D4848" t="inlineStr">
        <is>
          <t>SÖDERMANLANDS LÄN</t>
        </is>
      </c>
      <c r="E4848" t="inlineStr">
        <is>
          <t>NYKÖPING</t>
        </is>
      </c>
      <c r="G4848" t="n">
        <v>2.2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36031-2023</t>
        </is>
      </c>
      <c r="B4849" s="1" t="n">
        <v>45148</v>
      </c>
      <c r="C4849" s="1" t="n">
        <v>45182</v>
      </c>
      <c r="D4849" t="inlineStr">
        <is>
          <t>SÖDERMANLANDS LÄN</t>
        </is>
      </c>
      <c r="E4849" t="inlineStr">
        <is>
          <t>KATRINEHOLM</t>
        </is>
      </c>
      <c r="G4849" t="n">
        <v>2.7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36096-2023</t>
        </is>
      </c>
      <c r="B4850" s="1" t="n">
        <v>45149</v>
      </c>
      <c r="C4850" s="1" t="n">
        <v>45182</v>
      </c>
      <c r="D4850" t="inlineStr">
        <is>
          <t>SÖDERMANLANDS LÄN</t>
        </is>
      </c>
      <c r="E4850" t="inlineStr">
        <is>
          <t>FLEN</t>
        </is>
      </c>
      <c r="F4850" t="inlineStr">
        <is>
          <t>Kyrkan</t>
        </is>
      </c>
      <c r="G4850" t="n">
        <v>2.1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36145-2023</t>
        </is>
      </c>
      <c r="B4851" s="1" t="n">
        <v>45149</v>
      </c>
      <c r="C4851" s="1" t="n">
        <v>45182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1.3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36175-2023</t>
        </is>
      </c>
      <c r="B4852" s="1" t="n">
        <v>45149</v>
      </c>
      <c r="C4852" s="1" t="n">
        <v>45182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4.8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36163-2023</t>
        </is>
      </c>
      <c r="B4853" s="1" t="n">
        <v>45149</v>
      </c>
      <c r="C4853" s="1" t="n">
        <v>45182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36255-2023</t>
        </is>
      </c>
      <c r="B4854" s="1" t="n">
        <v>45151</v>
      </c>
      <c r="C4854" s="1" t="n">
        <v>45182</v>
      </c>
      <c r="D4854" t="inlineStr">
        <is>
          <t>SÖDERMANLANDS LÄN</t>
        </is>
      </c>
      <c r="E4854" t="inlineStr">
        <is>
          <t>ESKILSTUNA</t>
        </is>
      </c>
      <c r="G4854" t="n">
        <v>5.7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36329-2023</t>
        </is>
      </c>
      <c r="B4855" s="1" t="n">
        <v>45152</v>
      </c>
      <c r="C4855" s="1" t="n">
        <v>45182</v>
      </c>
      <c r="D4855" t="inlineStr">
        <is>
          <t>SÖDERMANLANDS LÄN</t>
        </is>
      </c>
      <c r="E4855" t="inlineStr">
        <is>
          <t>KATRINEHOLM</t>
        </is>
      </c>
      <c r="G4855" t="n">
        <v>3.5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36367-2023</t>
        </is>
      </c>
      <c r="B4856" s="1" t="n">
        <v>45152</v>
      </c>
      <c r="C4856" s="1" t="n">
        <v>45182</v>
      </c>
      <c r="D4856" t="inlineStr">
        <is>
          <t>SÖDERMANLANDS LÄN</t>
        </is>
      </c>
      <c r="E4856" t="inlineStr">
        <is>
          <t>KATRINEHOLM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36333-2023</t>
        </is>
      </c>
      <c r="B4857" s="1" t="n">
        <v>45152</v>
      </c>
      <c r="C4857" s="1" t="n">
        <v>45182</v>
      </c>
      <c r="D4857" t="inlineStr">
        <is>
          <t>SÖDERMANLANDS LÄN</t>
        </is>
      </c>
      <c r="E4857" t="inlineStr">
        <is>
          <t>GNESTA</t>
        </is>
      </c>
      <c r="G4857" t="n">
        <v>4.9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36362-2023</t>
        </is>
      </c>
      <c r="B4858" s="1" t="n">
        <v>45152</v>
      </c>
      <c r="C4858" s="1" t="n">
        <v>45182</v>
      </c>
      <c r="D4858" t="inlineStr">
        <is>
          <t>SÖDERMANLANDS LÄN</t>
        </is>
      </c>
      <c r="E4858" t="inlineStr">
        <is>
          <t>KATRINEHOLM</t>
        </is>
      </c>
      <c r="G4858" t="n">
        <v>2.1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36319-2023</t>
        </is>
      </c>
      <c r="B4859" s="1" t="n">
        <v>45152</v>
      </c>
      <c r="C4859" s="1" t="n">
        <v>45182</v>
      </c>
      <c r="D4859" t="inlineStr">
        <is>
          <t>SÖDERMANLANDS LÄN</t>
        </is>
      </c>
      <c r="E4859" t="inlineStr">
        <is>
          <t>KATRINEHOLM</t>
        </is>
      </c>
      <c r="G4859" t="n">
        <v>2.9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36366-2023</t>
        </is>
      </c>
      <c r="B4860" s="1" t="n">
        <v>45152</v>
      </c>
      <c r="C4860" s="1" t="n">
        <v>45182</v>
      </c>
      <c r="D4860" t="inlineStr">
        <is>
          <t>SÖDERMANLANDS LÄN</t>
        </is>
      </c>
      <c r="E4860" t="inlineStr">
        <is>
          <t>KATRINEHOLM</t>
        </is>
      </c>
      <c r="G4860" t="n">
        <v>0.8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36469-2023</t>
        </is>
      </c>
      <c r="B4861" s="1" t="n">
        <v>45152</v>
      </c>
      <c r="C4861" s="1" t="n">
        <v>45182</v>
      </c>
      <c r="D4861" t="inlineStr">
        <is>
          <t>SÖDERMANLANDS LÄN</t>
        </is>
      </c>
      <c r="E4861" t="inlineStr">
        <is>
          <t>STRÄNGNÄS</t>
        </is>
      </c>
      <c r="F4861" t="inlineStr">
        <is>
          <t>Sveaskog</t>
        </is>
      </c>
      <c r="G4861" t="n">
        <v>3.2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36308-2023</t>
        </is>
      </c>
      <c r="B4862" s="1" t="n">
        <v>45152</v>
      </c>
      <c r="C4862" s="1" t="n">
        <v>45182</v>
      </c>
      <c r="D4862" t="inlineStr">
        <is>
          <t>SÖDERMANLANDS LÄN</t>
        </is>
      </c>
      <c r="E4862" t="inlineStr">
        <is>
          <t>GNESTA</t>
        </is>
      </c>
      <c r="G4862" t="n">
        <v>1.1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36562-2023</t>
        </is>
      </c>
      <c r="B4863" s="1" t="n">
        <v>45153</v>
      </c>
      <c r="C4863" s="1" t="n">
        <v>45182</v>
      </c>
      <c r="D4863" t="inlineStr">
        <is>
          <t>SÖDERMANLANDS LÄN</t>
        </is>
      </c>
      <c r="E4863" t="inlineStr">
        <is>
          <t>KATRINEHOLM</t>
        </is>
      </c>
      <c r="G4863" t="n">
        <v>5.8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36714-2023</t>
        </is>
      </c>
      <c r="B4864" s="1" t="n">
        <v>45153</v>
      </c>
      <c r="C4864" s="1" t="n">
        <v>45182</v>
      </c>
      <c r="D4864" t="inlineStr">
        <is>
          <t>SÖDERMANLANDS LÄN</t>
        </is>
      </c>
      <c r="E4864" t="inlineStr">
        <is>
          <t>NYKÖPING</t>
        </is>
      </c>
      <c r="F4864" t="inlineStr">
        <is>
          <t>Kommuner</t>
        </is>
      </c>
      <c r="G4864" t="n">
        <v>4.7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36832-2023</t>
        </is>
      </c>
      <c r="B4865" s="1" t="n">
        <v>45153</v>
      </c>
      <c r="C4865" s="1" t="n">
        <v>45182</v>
      </c>
      <c r="D4865" t="inlineStr">
        <is>
          <t>SÖDERMANLANDS LÄN</t>
        </is>
      </c>
      <c r="E4865" t="inlineStr">
        <is>
          <t>KATRINEHOLM</t>
        </is>
      </c>
      <c r="F4865" t="inlineStr">
        <is>
          <t>Övriga Aktiebolag</t>
        </is>
      </c>
      <c r="G4865" t="n">
        <v>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36901-2023</t>
        </is>
      </c>
      <c r="B4866" s="1" t="n">
        <v>45154</v>
      </c>
      <c r="C4866" s="1" t="n">
        <v>45182</v>
      </c>
      <c r="D4866" t="inlineStr">
        <is>
          <t>SÖDERMANLANDS LÄN</t>
        </is>
      </c>
      <c r="E4866" t="inlineStr">
        <is>
          <t>ESKILSTUNA</t>
        </is>
      </c>
      <c r="G4866" t="n">
        <v>1.3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36777-2023</t>
        </is>
      </c>
      <c r="B4867" s="1" t="n">
        <v>45154</v>
      </c>
      <c r="C4867" s="1" t="n">
        <v>45182</v>
      </c>
      <c r="D4867" t="inlineStr">
        <is>
          <t>SÖDERMANLANDS LÄN</t>
        </is>
      </c>
      <c r="E4867" t="inlineStr">
        <is>
          <t>KATRINEHOLM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36934-2023</t>
        </is>
      </c>
      <c r="B4868" s="1" t="n">
        <v>45154</v>
      </c>
      <c r="C4868" s="1" t="n">
        <v>45182</v>
      </c>
      <c r="D4868" t="inlineStr">
        <is>
          <t>SÖDERMANLANDS LÄN</t>
        </is>
      </c>
      <c r="E4868" t="inlineStr">
        <is>
          <t>FLEN</t>
        </is>
      </c>
      <c r="G4868" t="n">
        <v>2.1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36776-2023</t>
        </is>
      </c>
      <c r="B4869" s="1" t="n">
        <v>45154</v>
      </c>
      <c r="C4869" s="1" t="n">
        <v>45182</v>
      </c>
      <c r="D4869" t="inlineStr">
        <is>
          <t>SÖDERMANLANDS LÄN</t>
        </is>
      </c>
      <c r="E4869" t="inlineStr">
        <is>
          <t>KATRINEHOLM</t>
        </is>
      </c>
      <c r="G4869" t="n">
        <v>4.3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36903-2023</t>
        </is>
      </c>
      <c r="B4870" s="1" t="n">
        <v>45154</v>
      </c>
      <c r="C4870" s="1" t="n">
        <v>45182</v>
      </c>
      <c r="D4870" t="inlineStr">
        <is>
          <t>SÖDERMANLANDS LÄN</t>
        </is>
      </c>
      <c r="E4870" t="inlineStr">
        <is>
          <t>ESKILSTUNA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37185-2023</t>
        </is>
      </c>
      <c r="B4871" s="1" t="n">
        <v>45154</v>
      </c>
      <c r="C4871" s="1" t="n">
        <v>45182</v>
      </c>
      <c r="D4871" t="inlineStr">
        <is>
          <t>SÖDERMANLANDS LÄN</t>
        </is>
      </c>
      <c r="E4871" t="inlineStr">
        <is>
          <t>KATRINEHOLM</t>
        </is>
      </c>
      <c r="G4871" t="n">
        <v>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37164-2023</t>
        </is>
      </c>
      <c r="B4872" s="1" t="n">
        <v>45155</v>
      </c>
      <c r="C4872" s="1" t="n">
        <v>45182</v>
      </c>
      <c r="D4872" t="inlineStr">
        <is>
          <t>SÖDERMANLANDS LÄN</t>
        </is>
      </c>
      <c r="E4872" t="inlineStr">
        <is>
          <t>KATRINEHOLM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37388-2023</t>
        </is>
      </c>
      <c r="B4873" s="1" t="n">
        <v>45155</v>
      </c>
      <c r="C4873" s="1" t="n">
        <v>45182</v>
      </c>
      <c r="D4873" t="inlineStr">
        <is>
          <t>SÖDERMANLANDS LÄN</t>
        </is>
      </c>
      <c r="E4873" t="inlineStr">
        <is>
          <t>KATRINEHOLM</t>
        </is>
      </c>
      <c r="G4873" t="n">
        <v>8.5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37025-2023</t>
        </is>
      </c>
      <c r="B4874" s="1" t="n">
        <v>45155</v>
      </c>
      <c r="C4874" s="1" t="n">
        <v>45182</v>
      </c>
      <c r="D4874" t="inlineStr">
        <is>
          <t>SÖDERMANLANDS LÄN</t>
        </is>
      </c>
      <c r="E4874" t="inlineStr">
        <is>
          <t>FLEN</t>
        </is>
      </c>
      <c r="F4874" t="inlineStr">
        <is>
          <t>Kyrkan</t>
        </is>
      </c>
      <c r="G4874" t="n">
        <v>24.1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37176-2023</t>
        </is>
      </c>
      <c r="B4875" s="1" t="n">
        <v>45155</v>
      </c>
      <c r="C4875" s="1" t="n">
        <v>45182</v>
      </c>
      <c r="D4875" t="inlineStr">
        <is>
          <t>SÖDERMANLANDS LÄN</t>
        </is>
      </c>
      <c r="E4875" t="inlineStr">
        <is>
          <t>KATRINEHOLM</t>
        </is>
      </c>
      <c r="G4875" t="n">
        <v>1.7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37332-2023</t>
        </is>
      </c>
      <c r="B4876" s="1" t="n">
        <v>45156</v>
      </c>
      <c r="C4876" s="1" t="n">
        <v>45182</v>
      </c>
      <c r="D4876" t="inlineStr">
        <is>
          <t>SÖDERMANLANDS LÄN</t>
        </is>
      </c>
      <c r="E4876" t="inlineStr">
        <is>
          <t>KATRINEHOLM</t>
        </is>
      </c>
      <c r="G4876" t="n">
        <v>1.2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37282-2023</t>
        </is>
      </c>
      <c r="B4877" s="1" t="n">
        <v>45156</v>
      </c>
      <c r="C4877" s="1" t="n">
        <v>45182</v>
      </c>
      <c r="D4877" t="inlineStr">
        <is>
          <t>SÖDERMANLANDS LÄN</t>
        </is>
      </c>
      <c r="E4877" t="inlineStr">
        <is>
          <t>ESKILSTUNA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37323-2023</t>
        </is>
      </c>
      <c r="B4878" s="1" t="n">
        <v>45156</v>
      </c>
      <c r="C4878" s="1" t="n">
        <v>45182</v>
      </c>
      <c r="D4878" t="inlineStr">
        <is>
          <t>SÖDERMANLANDS LÄN</t>
        </is>
      </c>
      <c r="E4878" t="inlineStr">
        <is>
          <t>VINGÅKER</t>
        </is>
      </c>
      <c r="G4878" t="n">
        <v>0.8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37632-2023</t>
        </is>
      </c>
      <c r="B4879" s="1" t="n">
        <v>45159</v>
      </c>
      <c r="C4879" s="1" t="n">
        <v>45182</v>
      </c>
      <c r="D4879" t="inlineStr">
        <is>
          <t>SÖDERMANLANDS LÄN</t>
        </is>
      </c>
      <c r="E4879" t="inlineStr">
        <is>
          <t>FLEN</t>
        </is>
      </c>
      <c r="G4879" t="n">
        <v>6.4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37650-2023</t>
        </is>
      </c>
      <c r="B4880" s="1" t="n">
        <v>45159</v>
      </c>
      <c r="C4880" s="1" t="n">
        <v>45182</v>
      </c>
      <c r="D4880" t="inlineStr">
        <is>
          <t>SÖDERMANLANDS LÄN</t>
        </is>
      </c>
      <c r="E4880" t="inlineStr">
        <is>
          <t>KATRINEHOLM</t>
        </is>
      </c>
      <c r="F4880" t="inlineStr">
        <is>
          <t>Kyrkan</t>
        </is>
      </c>
      <c r="G4880" t="n">
        <v>29.7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37673-2023</t>
        </is>
      </c>
      <c r="B4881" s="1" t="n">
        <v>45159</v>
      </c>
      <c r="C4881" s="1" t="n">
        <v>45182</v>
      </c>
      <c r="D4881" t="inlineStr">
        <is>
          <t>SÖDERMANLANDS LÄN</t>
        </is>
      </c>
      <c r="E4881" t="inlineStr">
        <is>
          <t>NYKÖPING</t>
        </is>
      </c>
      <c r="G4881" t="n">
        <v>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37733-2023</t>
        </is>
      </c>
      <c r="B4882" s="1" t="n">
        <v>45159</v>
      </c>
      <c r="C4882" s="1" t="n">
        <v>45182</v>
      </c>
      <c r="D4882" t="inlineStr">
        <is>
          <t>SÖDERMANLANDS LÄN</t>
        </is>
      </c>
      <c r="E4882" t="inlineStr">
        <is>
          <t>NYKÖPING</t>
        </is>
      </c>
      <c r="F4882" t="inlineStr">
        <is>
          <t>Kommuner</t>
        </is>
      </c>
      <c r="G4882" t="n">
        <v>3.9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37769-2023</t>
        </is>
      </c>
      <c r="B4883" s="1" t="n">
        <v>45159</v>
      </c>
      <c r="C4883" s="1" t="n">
        <v>45182</v>
      </c>
      <c r="D4883" t="inlineStr">
        <is>
          <t>SÖDERMANLANDS LÄN</t>
        </is>
      </c>
      <c r="E4883" t="inlineStr">
        <is>
          <t>ESKILSTUNA</t>
        </is>
      </c>
      <c r="F4883" t="inlineStr">
        <is>
          <t>Kommuner</t>
        </is>
      </c>
      <c r="G4883" t="n">
        <v>0.6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37646-2023</t>
        </is>
      </c>
      <c r="B4884" s="1" t="n">
        <v>45159</v>
      </c>
      <c r="C4884" s="1" t="n">
        <v>45182</v>
      </c>
      <c r="D4884" t="inlineStr">
        <is>
          <t>SÖDERMANLANDS LÄN</t>
        </is>
      </c>
      <c r="E4884" t="inlineStr">
        <is>
          <t>FLEN</t>
        </is>
      </c>
      <c r="G4884" t="n">
        <v>3.7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37910-2023</t>
        </is>
      </c>
      <c r="B4885" s="1" t="n">
        <v>45160</v>
      </c>
      <c r="C4885" s="1" t="n">
        <v>45182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37945-2023</t>
        </is>
      </c>
      <c r="B4886" s="1" t="n">
        <v>45160</v>
      </c>
      <c r="C4886" s="1" t="n">
        <v>45182</v>
      </c>
      <c r="D4886" t="inlineStr">
        <is>
          <t>SÖDERMANLANDS LÄN</t>
        </is>
      </c>
      <c r="E4886" t="inlineStr">
        <is>
          <t>FLEN</t>
        </is>
      </c>
      <c r="F4886" t="inlineStr">
        <is>
          <t>Holmen skog AB</t>
        </is>
      </c>
      <c r="G4886" t="n">
        <v>4.4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37834-2023</t>
        </is>
      </c>
      <c r="B4887" s="1" t="n">
        <v>45160</v>
      </c>
      <c r="C4887" s="1" t="n">
        <v>45182</v>
      </c>
      <c r="D4887" t="inlineStr">
        <is>
          <t>SÖDERMANLANDS LÄN</t>
        </is>
      </c>
      <c r="E4887" t="inlineStr">
        <is>
          <t>KATRINEHOLM</t>
        </is>
      </c>
      <c r="F4887" t="inlineStr">
        <is>
          <t>Kyrkan</t>
        </is>
      </c>
      <c r="G4887" t="n">
        <v>2.8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37891-2023</t>
        </is>
      </c>
      <c r="B4888" s="1" t="n">
        <v>45160</v>
      </c>
      <c r="C4888" s="1" t="n">
        <v>45182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38034-2023</t>
        </is>
      </c>
      <c r="B4889" s="1" t="n">
        <v>45160</v>
      </c>
      <c r="C4889" s="1" t="n">
        <v>45182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38054-2023</t>
        </is>
      </c>
      <c r="B4890" s="1" t="n">
        <v>45160</v>
      </c>
      <c r="C4890" s="1" t="n">
        <v>45182</v>
      </c>
      <c r="D4890" t="inlineStr">
        <is>
          <t>SÖDERMANLANDS LÄN</t>
        </is>
      </c>
      <c r="E4890" t="inlineStr">
        <is>
          <t>NYKÖPING</t>
        </is>
      </c>
      <c r="F4890" t="inlineStr">
        <is>
          <t>Kommuner</t>
        </is>
      </c>
      <c r="G4890" t="n">
        <v>2.1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38251-2023</t>
        </is>
      </c>
      <c r="B4891" s="1" t="n">
        <v>45160</v>
      </c>
      <c r="C4891" s="1" t="n">
        <v>45182</v>
      </c>
      <c r="D4891" t="inlineStr">
        <is>
          <t>SÖDERMANLANDS LÄN</t>
        </is>
      </c>
      <c r="E4891" t="inlineStr">
        <is>
          <t>STRÄNGNÄS</t>
        </is>
      </c>
      <c r="G4891" t="n">
        <v>14.7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37923-2023</t>
        </is>
      </c>
      <c r="B4892" s="1" t="n">
        <v>45160</v>
      </c>
      <c r="C4892" s="1" t="n">
        <v>45182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5.6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38063-2023</t>
        </is>
      </c>
      <c r="B4893" s="1" t="n">
        <v>45160</v>
      </c>
      <c r="C4893" s="1" t="n">
        <v>45182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38129-2023</t>
        </is>
      </c>
      <c r="B4894" s="1" t="n">
        <v>45161</v>
      </c>
      <c r="C4894" s="1" t="n">
        <v>45182</v>
      </c>
      <c r="D4894" t="inlineStr">
        <is>
          <t>SÖDERMANLANDS LÄN</t>
        </is>
      </c>
      <c r="E4894" t="inlineStr">
        <is>
          <t>NYKÖPING</t>
        </is>
      </c>
      <c r="G4894" t="n">
        <v>2.3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38735-2023</t>
        </is>
      </c>
      <c r="B4895" s="1" t="n">
        <v>45161</v>
      </c>
      <c r="C4895" s="1" t="n">
        <v>45182</v>
      </c>
      <c r="D4895" t="inlineStr">
        <is>
          <t>SÖDERMANLANDS LÄN</t>
        </is>
      </c>
      <c r="E4895" t="inlineStr">
        <is>
          <t>NYKÖPING</t>
        </is>
      </c>
      <c r="G4895" t="n">
        <v>0.4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38745-2023</t>
        </is>
      </c>
      <c r="B4896" s="1" t="n">
        <v>45161</v>
      </c>
      <c r="C4896" s="1" t="n">
        <v>45182</v>
      </c>
      <c r="D4896" t="inlineStr">
        <is>
          <t>SÖDERMANLANDS LÄN</t>
        </is>
      </c>
      <c r="E4896" t="inlineStr">
        <is>
          <t>NYKÖPING</t>
        </is>
      </c>
      <c r="G4896" t="n">
        <v>2.2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38135-2023</t>
        </is>
      </c>
      <c r="B4897" s="1" t="n">
        <v>45161</v>
      </c>
      <c r="C4897" s="1" t="n">
        <v>45182</v>
      </c>
      <c r="D4897" t="inlineStr">
        <is>
          <t>SÖDERMANLANDS LÄN</t>
        </is>
      </c>
      <c r="E4897" t="inlineStr">
        <is>
          <t>FLEN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38741-2023</t>
        </is>
      </c>
      <c r="B4898" s="1" t="n">
        <v>45161</v>
      </c>
      <c r="C4898" s="1" t="n">
        <v>45182</v>
      </c>
      <c r="D4898" t="inlineStr">
        <is>
          <t>SÖDERMANLANDS LÄN</t>
        </is>
      </c>
      <c r="E4898" t="inlineStr">
        <is>
          <t>NYKÖPING</t>
        </is>
      </c>
      <c r="G4898" t="n">
        <v>3.9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38331-2023</t>
        </is>
      </c>
      <c r="B4899" s="1" t="n">
        <v>45161</v>
      </c>
      <c r="C4899" s="1" t="n">
        <v>45182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38472-2023</t>
        </is>
      </c>
      <c r="B4900" s="1" t="n">
        <v>45162</v>
      </c>
      <c r="C4900" s="1" t="n">
        <v>45182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38512-2023</t>
        </is>
      </c>
      <c r="B4901" s="1" t="n">
        <v>45162</v>
      </c>
      <c r="C4901" s="1" t="n">
        <v>45182</v>
      </c>
      <c r="D4901" t="inlineStr">
        <is>
          <t>SÖDERMANLANDS LÄN</t>
        </is>
      </c>
      <c r="E4901" t="inlineStr">
        <is>
          <t>NYKÖPING</t>
        </is>
      </c>
      <c r="F4901" t="inlineStr">
        <is>
          <t>Kommuner</t>
        </is>
      </c>
      <c r="G4901" t="n">
        <v>3.3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38514-2023</t>
        </is>
      </c>
      <c r="B4902" s="1" t="n">
        <v>45162</v>
      </c>
      <c r="C4902" s="1" t="n">
        <v>45182</v>
      </c>
      <c r="D4902" t="inlineStr">
        <is>
          <t>SÖDERMANLANDS LÄN</t>
        </is>
      </c>
      <c r="E4902" t="inlineStr">
        <is>
          <t>FLEN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38508-2023</t>
        </is>
      </c>
      <c r="B4903" s="1" t="n">
        <v>45162</v>
      </c>
      <c r="C4903" s="1" t="n">
        <v>45182</v>
      </c>
      <c r="D4903" t="inlineStr">
        <is>
          <t>SÖDERMANLANDS LÄN</t>
        </is>
      </c>
      <c r="E4903" t="inlineStr">
        <is>
          <t>NYKÖPING</t>
        </is>
      </c>
      <c r="G4903" t="n">
        <v>1.9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38607-2023</t>
        </is>
      </c>
      <c r="B4904" s="1" t="n">
        <v>45162</v>
      </c>
      <c r="C4904" s="1" t="n">
        <v>45182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4.9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38761-2023</t>
        </is>
      </c>
      <c r="B4905" s="1" t="n">
        <v>45163</v>
      </c>
      <c r="C4905" s="1" t="n">
        <v>45182</v>
      </c>
      <c r="D4905" t="inlineStr">
        <is>
          <t>SÖDERMANLANDS LÄN</t>
        </is>
      </c>
      <c r="E4905" t="inlineStr">
        <is>
          <t>KATRINEHOLM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38858-2023</t>
        </is>
      </c>
      <c r="B4906" s="1" t="n">
        <v>45163</v>
      </c>
      <c r="C4906" s="1" t="n">
        <v>45182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Holmen skog AB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38961-2023</t>
        </is>
      </c>
      <c r="B4907" s="1" t="n">
        <v>45163</v>
      </c>
      <c r="C4907" s="1" t="n">
        <v>45182</v>
      </c>
      <c r="D4907" t="inlineStr">
        <is>
          <t>SÖDERMANLANDS LÄN</t>
        </is>
      </c>
      <c r="E4907" t="inlineStr">
        <is>
          <t>GNESTA</t>
        </is>
      </c>
      <c r="F4907" t="inlineStr">
        <is>
          <t>Holmen skog AB</t>
        </is>
      </c>
      <c r="G4907" t="n">
        <v>1.7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38728-2023</t>
        </is>
      </c>
      <c r="B4908" s="1" t="n">
        <v>45163</v>
      </c>
      <c r="C4908" s="1" t="n">
        <v>45182</v>
      </c>
      <c r="D4908" t="inlineStr">
        <is>
          <t>SÖDERMANLANDS LÄN</t>
        </is>
      </c>
      <c r="E4908" t="inlineStr">
        <is>
          <t>NYKÖPING</t>
        </is>
      </c>
      <c r="G4908" t="n">
        <v>8.800000000000001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45182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45182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45182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45182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45182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45182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45182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45182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45182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45182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45182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45182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45182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45182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45182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45182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45182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45182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45182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45182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45182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45182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45182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45182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40592-2023</t>
        </is>
      </c>
      <c r="B4933" s="1" t="n">
        <v>45169</v>
      </c>
      <c r="C4933" s="1" t="n">
        <v>45182</v>
      </c>
      <c r="D4933" t="inlineStr">
        <is>
          <t>SÖDERMANLANDS LÄN</t>
        </is>
      </c>
      <c r="E4933" t="inlineStr">
        <is>
          <t>FLEN</t>
        </is>
      </c>
      <c r="G4933" t="n">
        <v>0.8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40133-2023</t>
        </is>
      </c>
      <c r="B4934" s="1" t="n">
        <v>45169</v>
      </c>
      <c r="C4934" s="1" t="n">
        <v>45182</v>
      </c>
      <c r="D4934" t="inlineStr">
        <is>
          <t>SÖDERMANLANDS LÄN</t>
        </is>
      </c>
      <c r="E4934" t="inlineStr">
        <is>
          <t>GNESTA</t>
        </is>
      </c>
      <c r="F4934" t="inlineStr">
        <is>
          <t>Holmen skog AB</t>
        </is>
      </c>
      <c r="G4934" t="n">
        <v>0.9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40286-2023</t>
        </is>
      </c>
      <c r="B4935" s="1" t="n">
        <v>45169</v>
      </c>
      <c r="C4935" s="1" t="n">
        <v>45182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40194-2023</t>
        </is>
      </c>
      <c r="B4936" s="1" t="n">
        <v>45169</v>
      </c>
      <c r="C4936" s="1" t="n">
        <v>45182</v>
      </c>
      <c r="D4936" t="inlineStr">
        <is>
          <t>SÖDERMANLANDS LÄN</t>
        </is>
      </c>
      <c r="E4936" t="inlineStr">
        <is>
          <t>FLEN</t>
        </is>
      </c>
      <c r="G4936" t="n">
        <v>1.6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40541-2023</t>
        </is>
      </c>
      <c r="B4937" s="1" t="n">
        <v>45170</v>
      </c>
      <c r="C4937" s="1" t="n">
        <v>45182</v>
      </c>
      <c r="D4937" t="inlineStr">
        <is>
          <t>SÖDERMANLANDS LÄN</t>
        </is>
      </c>
      <c r="E4937" t="inlineStr">
        <is>
          <t>KATRINEHOLM</t>
        </is>
      </c>
      <c r="F4937" t="inlineStr">
        <is>
          <t>Övriga Aktiebolag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40574-2023</t>
        </is>
      </c>
      <c r="B4938" s="1" t="n">
        <v>45170</v>
      </c>
      <c r="C4938" s="1" t="n">
        <v>45182</v>
      </c>
      <c r="D4938" t="inlineStr">
        <is>
          <t>SÖDERMANLANDS LÄN</t>
        </is>
      </c>
      <c r="E4938" t="inlineStr">
        <is>
          <t>ESKILSTUNA</t>
        </is>
      </c>
      <c r="G4938" t="n">
        <v>1.8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41166-2023</t>
        </is>
      </c>
      <c r="B4939" s="1" t="n">
        <v>45174</v>
      </c>
      <c r="C4939" s="1" t="n">
        <v>45182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Holmen skog AB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41288-2023</t>
        </is>
      </c>
      <c r="B4940" s="1" t="n">
        <v>45174</v>
      </c>
      <c r="C4940" s="1" t="n">
        <v>45182</v>
      </c>
      <c r="D4940" t="inlineStr">
        <is>
          <t>SÖDERMANLANDS LÄN</t>
        </is>
      </c>
      <c r="E4940" t="inlineStr">
        <is>
          <t>NYKÖPING</t>
        </is>
      </c>
      <c r="F4940" t="inlineStr">
        <is>
          <t>Holmen skog AB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41441-2023</t>
        </is>
      </c>
      <c r="B4941" s="1" t="n">
        <v>45175</v>
      </c>
      <c r="C4941" s="1" t="n">
        <v>45182</v>
      </c>
      <c r="D4941" t="inlineStr">
        <is>
          <t>SÖDERMANLANDS LÄN</t>
        </is>
      </c>
      <c r="E4941" t="inlineStr">
        <is>
          <t>VINGÅKER</t>
        </is>
      </c>
      <c r="G4941" t="n">
        <v>10.9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41966-2023</t>
        </is>
      </c>
      <c r="B4942" s="1" t="n">
        <v>45177</v>
      </c>
      <c r="C4942" s="1" t="n">
        <v>45182</v>
      </c>
      <c r="D4942" t="inlineStr">
        <is>
          <t>SÖDERMANLANDS LÄN</t>
        </is>
      </c>
      <c r="E4942" t="inlineStr">
        <is>
          <t>KATRINEHOLM</t>
        </is>
      </c>
      <c r="G4942" t="n">
        <v>36.9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42388-2023</t>
        </is>
      </c>
      <c r="B4943" s="1" t="n">
        <v>45180</v>
      </c>
      <c r="C4943" s="1" t="n">
        <v>45182</v>
      </c>
      <c r="D4943" t="inlineStr">
        <is>
          <t>SÖDERMANLANDS LÄN</t>
        </is>
      </c>
      <c r="E4943" t="inlineStr">
        <is>
          <t>FLEN</t>
        </is>
      </c>
      <c r="G4943" t="n">
        <v>4.3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42451-2023</t>
        </is>
      </c>
      <c r="B4944" s="1" t="n">
        <v>45180</v>
      </c>
      <c r="C4944" s="1" t="n">
        <v>45182</v>
      </c>
      <c r="D4944" t="inlineStr">
        <is>
          <t>SÖDERMANLANDS LÄN</t>
        </is>
      </c>
      <c r="E4944" t="inlineStr">
        <is>
          <t>KATRINEHOLM</t>
        </is>
      </c>
      <c r="G4944" t="n">
        <v>3.8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42454-2023</t>
        </is>
      </c>
      <c r="B4945" s="1" t="n">
        <v>45180</v>
      </c>
      <c r="C4945" s="1" t="n">
        <v>45182</v>
      </c>
      <c r="D4945" t="inlineStr">
        <is>
          <t>SÖDERMANLANDS LÄN</t>
        </is>
      </c>
      <c r="E4945" t="inlineStr">
        <is>
          <t>KATRINEHOLM</t>
        </is>
      </c>
      <c r="G4945" t="n">
        <v>4.4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>
      <c r="A4946" t="inlineStr">
        <is>
          <t>A 42726-2023</t>
        </is>
      </c>
      <c r="B4946" s="1" t="n">
        <v>45181</v>
      </c>
      <c r="C4946" s="1" t="n">
        <v>45182</v>
      </c>
      <c r="D4946" t="inlineStr">
        <is>
          <t>SÖDERMANLANDS LÄN</t>
        </is>
      </c>
      <c r="E4946" t="inlineStr">
        <is>
          <t>STRÄNGNÄS</t>
        </is>
      </c>
      <c r="G4946" t="n">
        <v>2.7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2023-09-13T06:38:04Z</dcterms:created>
  <dcterms:modified xmlns:dcterms="http://purl.org/dc/terms/" xmlns:xsi="http://www.w3.org/2001/XMLSchema-instance" xsi:type="dcterms:W3CDTF">2023-09-13T06:38:05Z</dcterms:modified>
</cp:coreProperties>
</file>