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45186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45186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45186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45186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45186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45186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45186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45186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45186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45186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</t>
        </is>
      </c>
      <c r="S11">
        <f>HYPERLINK("https://klasma.github.io/Logging_KATRINEHOLM/artfynd/A 39091-2022.xlsx", "A 39091-2022")</f>
        <v/>
      </c>
      <c r="T11">
        <f>HYPERLINK("https://klasma.github.io/Logging_KATRINEHOLM/kartor/A 39091-2022.png", "A 39091-2022")</f>
        <v/>
      </c>
      <c r="V11">
        <f>HYPERLINK("https://klasma.github.io/Logging_KATRINEHOLM/klagomål/A 39091-2022.docx", "A 39091-2022")</f>
        <v/>
      </c>
      <c r="W11">
        <f>HYPERLINK("https://klasma.github.io/Logging_KATRINEHOLM/klagomålsmail/A 39091-2022.docx", "A 39091-2022")</f>
        <v/>
      </c>
      <c r="X11">
        <f>HYPERLINK("https://klasma.github.io/Logging_KATRINEHOLM/tillsyn/A 39091-2022.docx", "A 39091-2022")</f>
        <v/>
      </c>
      <c r="Y11">
        <f>HYPERLINK("https://klasma.github.io/Logging_KATRINEHOLM/tillsynsmail/A 39091-2022.docx", "A 39091-2022")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45186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50844-2019.xlsx", "A 50844-2019")</f>
        <v/>
      </c>
      <c r="T12">
        <f>HYPERLINK("https://klasma.github.io/Logging_NYKOPING/kartor/A 50844-2019.png", "A 50844-2019")</f>
        <v/>
      </c>
      <c r="V12">
        <f>HYPERLINK("https://klasma.github.io/Logging_NYKOPING/klagomål/A 50844-2019.docx", "A 50844-2019")</f>
        <v/>
      </c>
      <c r="W12">
        <f>HYPERLINK("https://klasma.github.io/Logging_NYKOPING/klagomålsmail/A 50844-2019.docx", "A 50844-2019")</f>
        <v/>
      </c>
      <c r="X12">
        <f>HYPERLINK("https://klasma.github.io/Logging_NYKOPING/tillsyn/A 50844-2019.docx", "A 50844-2019")</f>
        <v/>
      </c>
      <c r="Y12">
        <f>HYPERLINK("https://klasma.github.io/Logging_NYKOPING/tillsynsmail/A 50844-2019.docx", "A 50844-2019")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45186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42022-2021.xlsx", "A 42022-2021")</f>
        <v/>
      </c>
      <c r="T13">
        <f>HYPERLINK("https://klasma.github.io/Logging_ESKILSTUNA/kartor/A 42022-2021.png", "A 42022-2021")</f>
        <v/>
      </c>
      <c r="U13">
        <f>HYPERLINK("https://klasma.github.io/Logging_ESKILSTUNA/knärot/A 42022-2021.png", "A 42022-2021")</f>
        <v/>
      </c>
      <c r="V13">
        <f>HYPERLINK("https://klasma.github.io/Logging_ESKILSTUNA/klagomål/A 42022-2021.docx", "A 42022-2021")</f>
        <v/>
      </c>
      <c r="W13">
        <f>HYPERLINK("https://klasma.github.io/Logging_ESKILSTUNA/klagomålsmail/A 42022-2021.docx", "A 42022-2021")</f>
        <v/>
      </c>
      <c r="X13">
        <f>HYPERLINK("https://klasma.github.io/Logging_ESKILSTUNA/tillsyn/A 42022-2021.docx", "A 42022-2021")</f>
        <v/>
      </c>
      <c r="Y13">
        <f>HYPERLINK("https://klasma.github.io/Logging_ESKILSTUNA/tillsynsmail/A 42022-2021.docx", "A 42022-2021")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45186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44206-2021.xlsx", "A 44206-2021")</f>
        <v/>
      </c>
      <c r="T14">
        <f>HYPERLINK("https://klasma.github.io/Logging_KATRINEHOLM/kartor/A 44206-2021.png", "A 44206-2021")</f>
        <v/>
      </c>
      <c r="U14">
        <f>HYPERLINK("https://klasma.github.io/Logging_KATRINEHOLM/knärot/A 44206-2021.png", "A 44206-2021")</f>
        <v/>
      </c>
      <c r="V14">
        <f>HYPERLINK("https://klasma.github.io/Logging_KATRINEHOLM/klagomål/A 44206-2021.docx", "A 44206-2021")</f>
        <v/>
      </c>
      <c r="W14">
        <f>HYPERLINK("https://klasma.github.io/Logging_KATRINEHOLM/klagomålsmail/A 44206-2021.docx", "A 44206-2021")</f>
        <v/>
      </c>
      <c r="X14">
        <f>HYPERLINK("https://klasma.github.io/Logging_KATRINEHOLM/tillsyn/A 44206-2021.docx", "A 44206-2021")</f>
        <v/>
      </c>
      <c r="Y14">
        <f>HYPERLINK("https://klasma.github.io/Logging_KATRINEHOLM/tillsynsmail/A 44206-2021.docx", "A 44206-2021")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45186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11874-2023.xlsx", "A 11874-2023")</f>
        <v/>
      </c>
      <c r="T15">
        <f>HYPERLINK("https://klasma.github.io/Logging_KATRINEHOLM/kartor/A 11874-2023.png", "A 11874-2023")</f>
        <v/>
      </c>
      <c r="U15">
        <f>HYPERLINK("https://klasma.github.io/Logging_KATRINEHOLM/knärot/A 11874-2023.png", "A 11874-2023")</f>
        <v/>
      </c>
      <c r="V15">
        <f>HYPERLINK("https://klasma.github.io/Logging_KATRINEHOLM/klagomål/A 11874-2023.docx", "A 11874-2023")</f>
        <v/>
      </c>
      <c r="W15">
        <f>HYPERLINK("https://klasma.github.io/Logging_KATRINEHOLM/klagomålsmail/A 11874-2023.docx", "A 11874-2023")</f>
        <v/>
      </c>
      <c r="X15">
        <f>HYPERLINK("https://klasma.github.io/Logging_KATRINEHOLM/tillsyn/A 11874-2023.docx", "A 11874-2023")</f>
        <v/>
      </c>
      <c r="Y15">
        <f>HYPERLINK("https://klasma.github.io/Logging_KATRINEHOLM/tillsynsmail/A 11874-2023.docx", "A 11874-2023")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45186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42503-2019.xlsx", "A 42503-2019")</f>
        <v/>
      </c>
      <c r="T16">
        <f>HYPERLINK("https://klasma.github.io/Logging_TROSA/kartor/A 42503-2019.png", "A 42503-2019")</f>
        <v/>
      </c>
      <c r="U16">
        <f>HYPERLINK("https://klasma.github.io/Logging_TROSA/knärot/A 42503-2019.png", "A 42503-2019")</f>
        <v/>
      </c>
      <c r="V16">
        <f>HYPERLINK("https://klasma.github.io/Logging_TROSA/klagomål/A 42503-2019.docx", "A 42503-2019")</f>
        <v/>
      </c>
      <c r="W16">
        <f>HYPERLINK("https://klasma.github.io/Logging_TROSA/klagomålsmail/A 42503-2019.docx", "A 42503-2019")</f>
        <v/>
      </c>
      <c r="X16">
        <f>HYPERLINK("https://klasma.github.io/Logging_TROSA/tillsyn/A 42503-2019.docx", "A 42503-2019")</f>
        <v/>
      </c>
      <c r="Y16">
        <f>HYPERLINK("https://klasma.github.io/Logging_TROSA/tillsynsmail/A 42503-2019.docx", "A 42503-2019")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45186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54665-2022.xlsx", "A 54665-2022")</f>
        <v/>
      </c>
      <c r="T17">
        <f>HYPERLINK("https://klasma.github.io/Logging_FLEN/kartor/A 54665-2022.png", "A 54665-2022")</f>
        <v/>
      </c>
      <c r="V17">
        <f>HYPERLINK("https://klasma.github.io/Logging_FLEN/klagomål/A 54665-2022.docx", "A 54665-2022")</f>
        <v/>
      </c>
      <c r="W17">
        <f>HYPERLINK("https://klasma.github.io/Logging_FLEN/klagomålsmail/A 54665-2022.docx", "A 54665-2022")</f>
        <v/>
      </c>
      <c r="X17">
        <f>HYPERLINK("https://klasma.github.io/Logging_FLEN/tillsyn/A 54665-2022.docx", "A 54665-2022")</f>
        <v/>
      </c>
      <c r="Y17">
        <f>HYPERLINK("https://klasma.github.io/Logging_FLEN/tillsynsmail/A 54665-2022.docx", "A 54665-2022")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45186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15726-2019.xlsx", "A 15726-2019")</f>
        <v/>
      </c>
      <c r="T18">
        <f>HYPERLINK("https://klasma.github.io/Logging_NYKOPING/kartor/A 15726-2019.png", "A 15726-2019")</f>
        <v/>
      </c>
      <c r="V18">
        <f>HYPERLINK("https://klasma.github.io/Logging_NYKOPING/klagomål/A 15726-2019.docx", "A 15726-2019")</f>
        <v/>
      </c>
      <c r="W18">
        <f>HYPERLINK("https://klasma.github.io/Logging_NYKOPING/klagomålsmail/A 15726-2019.docx", "A 15726-2019")</f>
        <v/>
      </c>
      <c r="X18">
        <f>HYPERLINK("https://klasma.github.io/Logging_NYKOPING/tillsyn/A 15726-2019.docx", "A 15726-2019")</f>
        <v/>
      </c>
      <c r="Y18">
        <f>HYPERLINK("https://klasma.github.io/Logging_NYKOPING/tillsynsmail/A 15726-2019.docx", "A 15726-2019")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45186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30095-2021.xlsx", "A 30095-2021")</f>
        <v/>
      </c>
      <c r="T19">
        <f>HYPERLINK("https://klasma.github.io/Logging_FLEN/kartor/A 30095-2021.png", "A 30095-2021")</f>
        <v/>
      </c>
      <c r="V19">
        <f>HYPERLINK("https://klasma.github.io/Logging_FLEN/klagomål/A 30095-2021.docx", "A 30095-2021")</f>
        <v/>
      </c>
      <c r="W19">
        <f>HYPERLINK("https://klasma.github.io/Logging_FLEN/klagomålsmail/A 30095-2021.docx", "A 30095-2021")</f>
        <v/>
      </c>
      <c r="X19">
        <f>HYPERLINK("https://klasma.github.io/Logging_FLEN/tillsyn/A 30095-2021.docx", "A 30095-2021")</f>
        <v/>
      </c>
      <c r="Y19">
        <f>HYPERLINK("https://klasma.github.io/Logging_FLEN/tillsynsmail/A 30095-2021.docx", "A 30095-2021")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45186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71887-2021.xlsx", "A 71887-2021")</f>
        <v/>
      </c>
      <c r="T20">
        <f>HYPERLINK("https://klasma.github.io/Logging_NYKOPING/kartor/A 71887-2021.png", "A 71887-2021")</f>
        <v/>
      </c>
      <c r="V20">
        <f>HYPERLINK("https://klasma.github.io/Logging_NYKOPING/klagomål/A 71887-2021.docx", "A 71887-2021")</f>
        <v/>
      </c>
      <c r="W20">
        <f>HYPERLINK("https://klasma.github.io/Logging_NYKOPING/klagomålsmail/A 71887-2021.docx", "A 71887-2021")</f>
        <v/>
      </c>
      <c r="X20">
        <f>HYPERLINK("https://klasma.github.io/Logging_NYKOPING/tillsyn/A 71887-2021.docx", "A 71887-2021")</f>
        <v/>
      </c>
      <c r="Y20">
        <f>HYPERLINK("https://klasma.github.io/Logging_NYKOPING/tillsynsmail/A 71887-2021.docx", "A 71887-2021")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45186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3873-2022.xlsx", "A 3873-2022")</f>
        <v/>
      </c>
      <c r="T21">
        <f>HYPERLINK("https://klasma.github.io/Logging_FLEN/kartor/A 3873-2022.png", "A 3873-2022")</f>
        <v/>
      </c>
      <c r="V21">
        <f>HYPERLINK("https://klasma.github.io/Logging_FLEN/klagomål/A 3873-2022.docx", "A 3873-2022")</f>
        <v/>
      </c>
      <c r="W21">
        <f>HYPERLINK("https://klasma.github.io/Logging_FLEN/klagomålsmail/A 3873-2022.docx", "A 3873-2022")</f>
        <v/>
      </c>
      <c r="X21">
        <f>HYPERLINK("https://klasma.github.io/Logging_FLEN/tillsyn/A 3873-2022.docx", "A 3873-2022")</f>
        <v/>
      </c>
      <c r="Y21">
        <f>HYPERLINK("https://klasma.github.io/Logging_FLEN/tillsynsmail/A 3873-2022.docx", "A 3873-2022")</f>
        <v/>
      </c>
    </row>
    <row r="22" ht="15" customHeight="1">
      <c r="A22" t="inlineStr">
        <is>
          <t>A 29642-2022</t>
        </is>
      </c>
      <c r="B22" s="1" t="n">
        <v>44754</v>
      </c>
      <c r="C22" s="1" t="n">
        <v>45186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14.9</v>
      </c>
      <c r="H22" t="n">
        <v>5</v>
      </c>
      <c r="I22" t="n">
        <v>3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9</v>
      </c>
      <c r="R22" s="2" t="inlineStr">
        <is>
          <t>Leptoporus erubescens
Spillkråka
Talltita
Ullticka
Grön sköldmossa
Igelkottsröksvamp
Mindre märgborre
Vanlig groda
Vanlig snok</t>
        </is>
      </c>
      <c r="S22">
        <f>HYPERLINK("https://klasma.github.io/Logging_ESKILSTUNA/artfynd/A 29642-2022.xlsx", "A 29642-2022")</f>
        <v/>
      </c>
      <c r="T22">
        <f>HYPERLINK("https://klasma.github.io/Logging_ESKILSTUNA/kartor/A 29642-2022.png", "A 29642-2022")</f>
        <v/>
      </c>
      <c r="V22">
        <f>HYPERLINK("https://klasma.github.io/Logging_ESKILSTUNA/klagomål/A 29642-2022.docx", "A 29642-2022")</f>
        <v/>
      </c>
      <c r="W22">
        <f>HYPERLINK("https://klasma.github.io/Logging_ESKILSTUNA/klagomålsmail/A 29642-2022.docx", "A 29642-2022")</f>
        <v/>
      </c>
      <c r="X22">
        <f>HYPERLINK("https://klasma.github.io/Logging_ESKILSTUNA/tillsyn/A 29642-2022.docx", "A 29642-2022")</f>
        <v/>
      </c>
      <c r="Y22">
        <f>HYPERLINK("https://klasma.github.io/Logging_ESKILSTUNA/tillsynsmail/A 29642-2022.docx", "A 29642-2022")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45186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20533-2023.xlsx", "A 20533-2023")</f>
        <v/>
      </c>
      <c r="T23">
        <f>HYPERLINK("https://klasma.github.io/Logging_KATRINEHOLM/kartor/A 20533-2023.png", "A 20533-2023")</f>
        <v/>
      </c>
      <c r="V23">
        <f>HYPERLINK("https://klasma.github.io/Logging_KATRINEHOLM/klagomål/A 20533-2023.docx", "A 20533-2023")</f>
        <v/>
      </c>
      <c r="W23">
        <f>HYPERLINK("https://klasma.github.io/Logging_KATRINEHOLM/klagomålsmail/A 20533-2023.docx", "A 20533-2023")</f>
        <v/>
      </c>
      <c r="X23">
        <f>HYPERLINK("https://klasma.github.io/Logging_KATRINEHOLM/tillsyn/A 20533-2023.docx", "A 20533-2023")</f>
        <v/>
      </c>
      <c r="Y23">
        <f>HYPERLINK("https://klasma.github.io/Logging_KATRINEHOLM/tillsynsmail/A 20533-2023.docx", "A 20533-2023")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45186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44631-2018.xlsx", "A 44631-2018")</f>
        <v/>
      </c>
      <c r="T24">
        <f>HYPERLINK("https://klasma.github.io/Logging_ESKILSTUNA/kartor/A 44631-2018.png", "A 44631-2018")</f>
        <v/>
      </c>
      <c r="V24">
        <f>HYPERLINK("https://klasma.github.io/Logging_ESKILSTUNA/klagomål/A 44631-2018.docx", "A 44631-2018")</f>
        <v/>
      </c>
      <c r="W24">
        <f>HYPERLINK("https://klasma.github.io/Logging_ESKILSTUNA/klagomålsmail/A 44631-2018.docx", "A 44631-2018")</f>
        <v/>
      </c>
      <c r="X24">
        <f>HYPERLINK("https://klasma.github.io/Logging_ESKILSTUNA/tillsyn/A 44631-2018.docx", "A 44631-2018")</f>
        <v/>
      </c>
      <c r="Y24">
        <f>HYPERLINK("https://klasma.github.io/Logging_ESKILSTUNA/tillsynsmail/A 44631-2018.docx", "A 44631-2018")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45186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46007-2019.xlsx", "A 46007-2019")</f>
        <v/>
      </c>
      <c r="T25">
        <f>HYPERLINK("https://klasma.github.io/Logging_KATRINEHOLM/kartor/A 46007-2019.png", "A 46007-2019")</f>
        <v/>
      </c>
      <c r="V25">
        <f>HYPERLINK("https://klasma.github.io/Logging_KATRINEHOLM/klagomål/A 46007-2019.docx", "A 46007-2019")</f>
        <v/>
      </c>
      <c r="W25">
        <f>HYPERLINK("https://klasma.github.io/Logging_KATRINEHOLM/klagomålsmail/A 46007-2019.docx", "A 46007-2019")</f>
        <v/>
      </c>
      <c r="X25">
        <f>HYPERLINK("https://klasma.github.io/Logging_KATRINEHOLM/tillsyn/A 46007-2019.docx", "A 46007-2019")</f>
        <v/>
      </c>
      <c r="Y25">
        <f>HYPERLINK("https://klasma.github.io/Logging_KATRINEHOLM/tillsynsmail/A 46007-2019.docx", "A 46007-2019")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45186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313-2020.xlsx", "A 313-2020")</f>
        <v/>
      </c>
      <c r="T26">
        <f>HYPERLINK("https://klasma.github.io/Logging_ESKILSTUNA/kartor/A 313-2020.png", "A 313-2020")</f>
        <v/>
      </c>
      <c r="V26">
        <f>HYPERLINK("https://klasma.github.io/Logging_ESKILSTUNA/klagomål/A 313-2020.docx", "A 313-2020")</f>
        <v/>
      </c>
      <c r="W26">
        <f>HYPERLINK("https://klasma.github.io/Logging_ESKILSTUNA/klagomålsmail/A 313-2020.docx", "A 313-2020")</f>
        <v/>
      </c>
      <c r="X26">
        <f>HYPERLINK("https://klasma.github.io/Logging_ESKILSTUNA/tillsyn/A 313-2020.docx", "A 313-2020")</f>
        <v/>
      </c>
      <c r="Y26">
        <f>HYPERLINK("https://klasma.github.io/Logging_ESKILSTUNA/tillsynsmail/A 313-2020.docx", "A 313-2020")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45186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30892-2020.xlsx", "A 30892-2020")</f>
        <v/>
      </c>
      <c r="T27">
        <f>HYPERLINK("https://klasma.github.io/Logging_NYKOPING/kartor/A 30892-2020.png", "A 30892-2020")</f>
        <v/>
      </c>
      <c r="V27">
        <f>HYPERLINK("https://klasma.github.io/Logging_NYKOPING/klagomål/A 30892-2020.docx", "A 30892-2020")</f>
        <v/>
      </c>
      <c r="W27">
        <f>HYPERLINK("https://klasma.github.io/Logging_NYKOPING/klagomålsmail/A 30892-2020.docx", "A 30892-2020")</f>
        <v/>
      </c>
      <c r="X27">
        <f>HYPERLINK("https://klasma.github.io/Logging_NYKOPING/tillsyn/A 30892-2020.docx", "A 30892-2020")</f>
        <v/>
      </c>
      <c r="Y27">
        <f>HYPERLINK("https://klasma.github.io/Logging_NYKOPING/tillsynsmail/A 30892-2020.docx", "A 30892-2020")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45186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50828-2020.xlsx", "A 50828-2020")</f>
        <v/>
      </c>
      <c r="T28">
        <f>HYPERLINK("https://klasma.github.io/Logging_FLEN/kartor/A 50828-2020.png", "A 50828-2020")</f>
        <v/>
      </c>
      <c r="V28">
        <f>HYPERLINK("https://klasma.github.io/Logging_FLEN/klagomål/A 50828-2020.docx", "A 50828-2020")</f>
        <v/>
      </c>
      <c r="W28">
        <f>HYPERLINK("https://klasma.github.io/Logging_FLEN/klagomålsmail/A 50828-2020.docx", "A 50828-2020")</f>
        <v/>
      </c>
      <c r="X28">
        <f>HYPERLINK("https://klasma.github.io/Logging_FLEN/tillsyn/A 50828-2020.docx", "A 50828-2020")</f>
        <v/>
      </c>
      <c r="Y28">
        <f>HYPERLINK("https://klasma.github.io/Logging_FLEN/tillsynsmail/A 50828-2020.docx", "A 50828-2020")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45186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33872-2021.xlsx", "A 33872-2021")</f>
        <v/>
      </c>
      <c r="T29">
        <f>HYPERLINK("https://klasma.github.io/Logging_FLEN/kartor/A 33872-2021.png", "A 33872-2021")</f>
        <v/>
      </c>
      <c r="U29">
        <f>HYPERLINK("https://klasma.github.io/Logging_FLEN/knärot/A 33872-2021.png", "A 33872-2021")</f>
        <v/>
      </c>
      <c r="V29">
        <f>HYPERLINK("https://klasma.github.io/Logging_FLEN/klagomål/A 33872-2021.docx", "A 33872-2021")</f>
        <v/>
      </c>
      <c r="W29">
        <f>HYPERLINK("https://klasma.github.io/Logging_FLEN/klagomålsmail/A 33872-2021.docx", "A 33872-2021")</f>
        <v/>
      </c>
      <c r="X29">
        <f>HYPERLINK("https://klasma.github.io/Logging_FLEN/tillsyn/A 33872-2021.docx", "A 33872-2021")</f>
        <v/>
      </c>
      <c r="Y29">
        <f>HYPERLINK("https://klasma.github.io/Logging_FLEN/tillsynsmail/A 33872-2021.docx", "A 33872-2021")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45186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44162-2021.xlsx", "A 44162-2021")</f>
        <v/>
      </c>
      <c r="T30">
        <f>HYPERLINK("https://klasma.github.io/Logging_NYKOPING/kartor/A 44162-2021.png", "A 44162-2021")</f>
        <v/>
      </c>
      <c r="V30">
        <f>HYPERLINK("https://klasma.github.io/Logging_NYKOPING/klagomål/A 44162-2021.docx", "A 44162-2021")</f>
        <v/>
      </c>
      <c r="W30">
        <f>HYPERLINK("https://klasma.github.io/Logging_NYKOPING/klagomålsmail/A 44162-2021.docx", "A 44162-2021")</f>
        <v/>
      </c>
      <c r="X30">
        <f>HYPERLINK("https://klasma.github.io/Logging_NYKOPING/tillsyn/A 44162-2021.docx", "A 44162-2021")</f>
        <v/>
      </c>
      <c r="Y30">
        <f>HYPERLINK("https://klasma.github.io/Logging_NYKOPING/tillsynsmail/A 44162-2021.docx", "A 44162-2021")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45186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12018-2023.xlsx", "A 12018-2023")</f>
        <v/>
      </c>
      <c r="T31">
        <f>HYPERLINK("https://klasma.github.io/Logging_NYKOPING/kartor/A 12018-2023.png", "A 12018-2023")</f>
        <v/>
      </c>
      <c r="V31">
        <f>HYPERLINK("https://klasma.github.io/Logging_NYKOPING/klagomål/A 12018-2023.docx", "A 12018-2023")</f>
        <v/>
      </c>
      <c r="W31">
        <f>HYPERLINK("https://klasma.github.io/Logging_NYKOPING/klagomålsmail/A 12018-2023.docx", "A 12018-2023")</f>
        <v/>
      </c>
      <c r="X31">
        <f>HYPERLINK("https://klasma.github.io/Logging_NYKOPING/tillsyn/A 12018-2023.docx", "A 12018-2023")</f>
        <v/>
      </c>
      <c r="Y31">
        <f>HYPERLINK("https://klasma.github.io/Logging_NYKOPING/tillsynsmail/A 12018-2023.docx", "A 12018-2023")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45186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16133-2023.xlsx", "A 16133-2023")</f>
        <v/>
      </c>
      <c r="T32">
        <f>HYPERLINK("https://klasma.github.io/Logging_NYKOPING/kartor/A 16133-2023.png", "A 16133-2023")</f>
        <v/>
      </c>
      <c r="V32">
        <f>HYPERLINK("https://klasma.github.io/Logging_NYKOPING/klagomål/A 16133-2023.docx", "A 16133-2023")</f>
        <v/>
      </c>
      <c r="W32">
        <f>HYPERLINK("https://klasma.github.io/Logging_NYKOPING/klagomålsmail/A 16133-2023.docx", "A 16133-2023")</f>
        <v/>
      </c>
      <c r="X32">
        <f>HYPERLINK("https://klasma.github.io/Logging_NYKOPING/tillsyn/A 16133-2023.docx", "A 16133-2023")</f>
        <v/>
      </c>
      <c r="Y32">
        <f>HYPERLINK("https://klasma.github.io/Logging_NYKOPING/tillsynsmail/A 16133-2023.docx", "A 16133-2023")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45186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37759-2020.xlsx", "A 37759-2020")</f>
        <v/>
      </c>
      <c r="T33">
        <f>HYPERLINK("https://klasma.github.io/Logging_STRANGNAS/kartor/A 37759-2020.png", "A 37759-2020")</f>
        <v/>
      </c>
      <c r="V33">
        <f>HYPERLINK("https://klasma.github.io/Logging_STRANGNAS/klagomål/A 37759-2020.docx", "A 37759-2020")</f>
        <v/>
      </c>
      <c r="W33">
        <f>HYPERLINK("https://klasma.github.io/Logging_STRANGNAS/klagomålsmail/A 37759-2020.docx", "A 37759-2020")</f>
        <v/>
      </c>
      <c r="X33">
        <f>HYPERLINK("https://klasma.github.io/Logging_STRANGNAS/tillsyn/A 37759-2020.docx", "A 37759-2020")</f>
        <v/>
      </c>
      <c r="Y33">
        <f>HYPERLINK("https://klasma.github.io/Logging_STRANGNAS/tillsynsmail/A 37759-2020.docx", "A 37759-2020")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45186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52854-2021.xlsx", "A 52854-2021")</f>
        <v/>
      </c>
      <c r="T34">
        <f>HYPERLINK("https://klasma.github.io/Logging_GNESTA/kartor/A 52854-2021.png", "A 52854-2021")</f>
        <v/>
      </c>
      <c r="V34">
        <f>HYPERLINK("https://klasma.github.io/Logging_GNESTA/klagomål/A 52854-2021.docx", "A 52854-2021")</f>
        <v/>
      </c>
      <c r="W34">
        <f>HYPERLINK("https://klasma.github.io/Logging_GNESTA/klagomålsmail/A 52854-2021.docx", "A 52854-2021")</f>
        <v/>
      </c>
      <c r="X34">
        <f>HYPERLINK("https://klasma.github.io/Logging_GNESTA/tillsyn/A 52854-2021.docx", "A 52854-2021")</f>
        <v/>
      </c>
      <c r="Y34">
        <f>HYPERLINK("https://klasma.github.io/Logging_GNESTA/tillsynsmail/A 52854-2021.docx", "A 52854-2021")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45186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54208-2021.xlsx", "A 54208-2021")</f>
        <v/>
      </c>
      <c r="T35">
        <f>HYPERLINK("https://klasma.github.io/Logging_ESKILSTUNA/kartor/A 54208-2021.png", "A 54208-2021")</f>
        <v/>
      </c>
      <c r="U35">
        <f>HYPERLINK("https://klasma.github.io/Logging_ESKILSTUNA/knärot/A 54208-2021.png", "A 54208-2021")</f>
        <v/>
      </c>
      <c r="V35">
        <f>HYPERLINK("https://klasma.github.io/Logging_ESKILSTUNA/klagomål/A 54208-2021.docx", "A 54208-2021")</f>
        <v/>
      </c>
      <c r="W35">
        <f>HYPERLINK("https://klasma.github.io/Logging_ESKILSTUNA/klagomålsmail/A 54208-2021.docx", "A 54208-2021")</f>
        <v/>
      </c>
      <c r="X35">
        <f>HYPERLINK("https://klasma.github.io/Logging_ESKILSTUNA/tillsyn/A 54208-2021.docx", "A 54208-2021")</f>
        <v/>
      </c>
      <c r="Y35">
        <f>HYPERLINK("https://klasma.github.io/Logging_ESKILSTUNA/tillsynsmail/A 54208-2021.docx", "A 54208-2021")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45186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68341-2021.xlsx", "A 68341-2021")</f>
        <v/>
      </c>
      <c r="T36">
        <f>HYPERLINK("https://klasma.github.io/Logging_GNESTA/kartor/A 68341-2021.png", "A 68341-2021")</f>
        <v/>
      </c>
      <c r="V36">
        <f>HYPERLINK("https://klasma.github.io/Logging_GNESTA/klagomål/A 68341-2021.docx", "A 68341-2021")</f>
        <v/>
      </c>
      <c r="W36">
        <f>HYPERLINK("https://klasma.github.io/Logging_GNESTA/klagomålsmail/A 68341-2021.docx", "A 68341-2021")</f>
        <v/>
      </c>
      <c r="X36">
        <f>HYPERLINK("https://klasma.github.io/Logging_GNESTA/tillsyn/A 68341-2021.docx", "A 68341-2021")</f>
        <v/>
      </c>
      <c r="Y36">
        <f>HYPERLINK("https://klasma.github.io/Logging_GNESTA/tillsynsmail/A 68341-2021.docx", "A 68341-2021")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45186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22264-2022.xlsx", "A 22264-2022")</f>
        <v/>
      </c>
      <c r="T37">
        <f>HYPERLINK("https://klasma.github.io/Logging_ESKILSTUNA/kartor/A 22264-2022.png", "A 22264-2022")</f>
        <v/>
      </c>
      <c r="V37">
        <f>HYPERLINK("https://klasma.github.io/Logging_ESKILSTUNA/klagomål/A 22264-2022.docx", "A 22264-2022")</f>
        <v/>
      </c>
      <c r="W37">
        <f>HYPERLINK("https://klasma.github.io/Logging_ESKILSTUNA/klagomålsmail/A 22264-2022.docx", "A 22264-2022")</f>
        <v/>
      </c>
      <c r="X37">
        <f>HYPERLINK("https://klasma.github.io/Logging_ESKILSTUNA/tillsyn/A 22264-2022.docx", "A 22264-2022")</f>
        <v/>
      </c>
      <c r="Y37">
        <f>HYPERLINK("https://klasma.github.io/Logging_ESKILSTUNA/tillsynsmail/A 22264-2022.docx", "A 22264-2022")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45186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42096-2022.xlsx", "A 42096-2022")</f>
        <v/>
      </c>
      <c r="T38">
        <f>HYPERLINK("https://klasma.github.io/Logging_NYKOPING/kartor/A 42096-2022.png", "A 42096-2022")</f>
        <v/>
      </c>
      <c r="U38">
        <f>HYPERLINK("https://klasma.github.io/Logging_NYKOPING/knärot/A 42096-2022.png", "A 42096-2022")</f>
        <v/>
      </c>
      <c r="V38">
        <f>HYPERLINK("https://klasma.github.io/Logging_NYKOPING/klagomål/A 42096-2022.docx", "A 42096-2022")</f>
        <v/>
      </c>
      <c r="W38">
        <f>HYPERLINK("https://klasma.github.io/Logging_NYKOPING/klagomålsmail/A 42096-2022.docx", "A 42096-2022")</f>
        <v/>
      </c>
      <c r="X38">
        <f>HYPERLINK("https://klasma.github.io/Logging_NYKOPING/tillsyn/A 42096-2022.docx", "A 42096-2022")</f>
        <v/>
      </c>
      <c r="Y38">
        <f>HYPERLINK("https://klasma.github.io/Logging_NYKOPING/tillsynsmail/A 42096-2022.docx", "A 42096-2022")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45186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17148-2019.xlsx", "A 17148-2019")</f>
        <v/>
      </c>
      <c r="T39">
        <f>HYPERLINK("https://klasma.github.io/Logging_GNESTA/kartor/A 17148-2019.png", "A 17148-2019")</f>
        <v/>
      </c>
      <c r="U39">
        <f>HYPERLINK("https://klasma.github.io/Logging_GNESTA/knärot/A 17148-2019.png", "A 17148-2019")</f>
        <v/>
      </c>
      <c r="V39">
        <f>HYPERLINK("https://klasma.github.io/Logging_GNESTA/klagomål/A 17148-2019.docx", "A 17148-2019")</f>
        <v/>
      </c>
      <c r="W39">
        <f>HYPERLINK("https://klasma.github.io/Logging_GNESTA/klagomålsmail/A 17148-2019.docx", "A 17148-2019")</f>
        <v/>
      </c>
      <c r="X39">
        <f>HYPERLINK("https://klasma.github.io/Logging_GNESTA/tillsyn/A 17148-2019.docx", "A 17148-2019")</f>
        <v/>
      </c>
      <c r="Y39">
        <f>HYPERLINK("https://klasma.github.io/Logging_GNESTA/tillsynsmail/A 17148-2019.docx", "A 17148-2019")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45186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51652-2019.xlsx", "A 51652-2019")</f>
        <v/>
      </c>
      <c r="T40">
        <f>HYPERLINK("https://klasma.github.io/Logging_ESKILSTUNA/kartor/A 51652-2019.png", "A 51652-2019")</f>
        <v/>
      </c>
      <c r="V40">
        <f>HYPERLINK("https://klasma.github.io/Logging_ESKILSTUNA/klagomål/A 51652-2019.docx", "A 51652-2019")</f>
        <v/>
      </c>
      <c r="W40">
        <f>HYPERLINK("https://klasma.github.io/Logging_ESKILSTUNA/klagomålsmail/A 51652-2019.docx", "A 51652-2019")</f>
        <v/>
      </c>
      <c r="X40">
        <f>HYPERLINK("https://klasma.github.io/Logging_ESKILSTUNA/tillsyn/A 51652-2019.docx", "A 51652-2019")</f>
        <v/>
      </c>
      <c r="Y40">
        <f>HYPERLINK("https://klasma.github.io/Logging_ESKILSTUNA/tillsynsmail/A 51652-2019.docx", "A 51652-2019")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45186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52556-2019.xlsx", "A 52556-2019")</f>
        <v/>
      </c>
      <c r="T41">
        <f>HYPERLINK("https://klasma.github.io/Logging_ESKILSTUNA/kartor/A 52556-2019.png", "A 52556-2019")</f>
        <v/>
      </c>
      <c r="V41">
        <f>HYPERLINK("https://klasma.github.io/Logging_ESKILSTUNA/klagomål/A 52556-2019.docx", "A 52556-2019")</f>
        <v/>
      </c>
      <c r="W41">
        <f>HYPERLINK("https://klasma.github.io/Logging_ESKILSTUNA/klagomålsmail/A 52556-2019.docx", "A 52556-2019")</f>
        <v/>
      </c>
      <c r="X41">
        <f>HYPERLINK("https://klasma.github.io/Logging_ESKILSTUNA/tillsyn/A 52556-2019.docx", "A 52556-2019")</f>
        <v/>
      </c>
      <c r="Y41">
        <f>HYPERLINK("https://klasma.github.io/Logging_ESKILSTUNA/tillsynsmail/A 52556-2019.docx", "A 52556-2019")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45186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59510-2019.xlsx", "A 59510-2019")</f>
        <v/>
      </c>
      <c r="T42">
        <f>HYPERLINK("https://klasma.github.io/Logging_FLEN/kartor/A 59510-2019.png", "A 59510-2019")</f>
        <v/>
      </c>
      <c r="V42">
        <f>HYPERLINK("https://klasma.github.io/Logging_FLEN/klagomål/A 59510-2019.docx", "A 59510-2019")</f>
        <v/>
      </c>
      <c r="W42">
        <f>HYPERLINK("https://klasma.github.io/Logging_FLEN/klagomålsmail/A 59510-2019.docx", "A 59510-2019")</f>
        <v/>
      </c>
      <c r="X42">
        <f>HYPERLINK("https://klasma.github.io/Logging_FLEN/tillsyn/A 59510-2019.docx", "A 59510-2019")</f>
        <v/>
      </c>
      <c r="Y42">
        <f>HYPERLINK("https://klasma.github.io/Logging_FLEN/tillsynsmail/A 59510-2019.docx", "A 59510-2019")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45186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13835-2020.xlsx", "A 13835-2020")</f>
        <v/>
      </c>
      <c r="T43">
        <f>HYPERLINK("https://klasma.github.io/Logging_GNESTA/kartor/A 13835-2020.png", "A 13835-2020")</f>
        <v/>
      </c>
      <c r="V43">
        <f>HYPERLINK("https://klasma.github.io/Logging_GNESTA/klagomål/A 13835-2020.docx", "A 13835-2020")</f>
        <v/>
      </c>
      <c r="W43">
        <f>HYPERLINK("https://klasma.github.io/Logging_GNESTA/klagomålsmail/A 13835-2020.docx", "A 13835-2020")</f>
        <v/>
      </c>
      <c r="X43">
        <f>HYPERLINK("https://klasma.github.io/Logging_GNESTA/tillsyn/A 13835-2020.docx", "A 13835-2020")</f>
        <v/>
      </c>
      <c r="Y43">
        <f>HYPERLINK("https://klasma.github.io/Logging_GNESTA/tillsynsmail/A 13835-2020.docx", "A 13835-2020")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45186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19957-2020.xlsx", "A 19957-2020")</f>
        <v/>
      </c>
      <c r="T44">
        <f>HYPERLINK("https://klasma.github.io/Logging_NYKOPING/kartor/A 19957-2020.png", "A 19957-2020")</f>
        <v/>
      </c>
      <c r="V44">
        <f>HYPERLINK("https://klasma.github.io/Logging_NYKOPING/klagomål/A 19957-2020.docx", "A 19957-2020")</f>
        <v/>
      </c>
      <c r="W44">
        <f>HYPERLINK("https://klasma.github.io/Logging_NYKOPING/klagomålsmail/A 19957-2020.docx", "A 19957-2020")</f>
        <v/>
      </c>
      <c r="X44">
        <f>HYPERLINK("https://klasma.github.io/Logging_NYKOPING/tillsyn/A 19957-2020.docx", "A 19957-2020")</f>
        <v/>
      </c>
      <c r="Y44">
        <f>HYPERLINK("https://klasma.github.io/Logging_NYKOPING/tillsynsmail/A 19957-2020.docx", "A 19957-2020")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45186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20728-2020.xlsx", "A 20728-2020")</f>
        <v/>
      </c>
      <c r="T45">
        <f>HYPERLINK("https://klasma.github.io/Logging_GNESTA/kartor/A 20728-2020.png", "A 20728-2020")</f>
        <v/>
      </c>
      <c r="V45">
        <f>HYPERLINK("https://klasma.github.io/Logging_GNESTA/klagomål/A 20728-2020.docx", "A 20728-2020")</f>
        <v/>
      </c>
      <c r="W45">
        <f>HYPERLINK("https://klasma.github.io/Logging_GNESTA/klagomålsmail/A 20728-2020.docx", "A 20728-2020")</f>
        <v/>
      </c>
      <c r="X45">
        <f>HYPERLINK("https://klasma.github.io/Logging_GNESTA/tillsyn/A 20728-2020.docx", "A 20728-2020")</f>
        <v/>
      </c>
      <c r="Y45">
        <f>HYPERLINK("https://klasma.github.io/Logging_GNESTA/tillsynsmail/A 20728-2020.docx", "A 20728-2020")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45186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30895-2020.xlsx", "A 30895-2020")</f>
        <v/>
      </c>
      <c r="T46">
        <f>HYPERLINK("https://klasma.github.io/Logging_NYKOPING/kartor/A 30895-2020.png", "A 30895-2020")</f>
        <v/>
      </c>
      <c r="V46">
        <f>HYPERLINK("https://klasma.github.io/Logging_NYKOPING/klagomål/A 30895-2020.docx", "A 30895-2020")</f>
        <v/>
      </c>
      <c r="W46">
        <f>HYPERLINK("https://klasma.github.io/Logging_NYKOPING/klagomålsmail/A 30895-2020.docx", "A 30895-2020")</f>
        <v/>
      </c>
      <c r="X46">
        <f>HYPERLINK("https://klasma.github.io/Logging_NYKOPING/tillsyn/A 30895-2020.docx", "A 30895-2020")</f>
        <v/>
      </c>
      <c r="Y46">
        <f>HYPERLINK("https://klasma.github.io/Logging_NYKOPING/tillsynsmail/A 30895-2020.docx", "A 30895-2020")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45186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34968-2020.xlsx", "A 34968-2020")</f>
        <v/>
      </c>
      <c r="T47">
        <f>HYPERLINK("https://klasma.github.io/Logging_STRANGNAS/kartor/A 34968-2020.png", "A 34968-2020")</f>
        <v/>
      </c>
      <c r="V47">
        <f>HYPERLINK("https://klasma.github.io/Logging_STRANGNAS/klagomål/A 34968-2020.docx", "A 34968-2020")</f>
        <v/>
      </c>
      <c r="W47">
        <f>HYPERLINK("https://klasma.github.io/Logging_STRANGNAS/klagomålsmail/A 34968-2020.docx", "A 34968-2020")</f>
        <v/>
      </c>
      <c r="X47">
        <f>HYPERLINK("https://klasma.github.io/Logging_STRANGNAS/tillsyn/A 34968-2020.docx", "A 34968-2020")</f>
        <v/>
      </c>
      <c r="Y47">
        <f>HYPERLINK("https://klasma.github.io/Logging_STRANGNAS/tillsynsmail/A 34968-2020.docx", "A 34968-2020")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45186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4292-2021.xlsx", "A 4292-2021")</f>
        <v/>
      </c>
      <c r="T48">
        <f>HYPERLINK("https://klasma.github.io/Logging_KATRINEHOLM/kartor/A 4292-2021.png", "A 4292-2021")</f>
        <v/>
      </c>
      <c r="V48">
        <f>HYPERLINK("https://klasma.github.io/Logging_KATRINEHOLM/klagomål/A 4292-2021.docx", "A 4292-2021")</f>
        <v/>
      </c>
      <c r="W48">
        <f>HYPERLINK("https://klasma.github.io/Logging_KATRINEHOLM/klagomålsmail/A 4292-2021.docx", "A 4292-2021")</f>
        <v/>
      </c>
      <c r="X48">
        <f>HYPERLINK("https://klasma.github.io/Logging_KATRINEHOLM/tillsyn/A 4292-2021.docx", "A 4292-2021")</f>
        <v/>
      </c>
      <c r="Y48">
        <f>HYPERLINK("https://klasma.github.io/Logging_KATRINEHOLM/tillsynsmail/A 4292-2021.docx", "A 4292-2021")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45186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7247-2021.xlsx", "A 7247-2021")</f>
        <v/>
      </c>
      <c r="T49">
        <f>HYPERLINK("https://klasma.github.io/Logging_KATRINEHOLM/kartor/A 7247-2021.png", "A 7247-2021")</f>
        <v/>
      </c>
      <c r="V49">
        <f>HYPERLINK("https://klasma.github.io/Logging_KATRINEHOLM/klagomål/A 7247-2021.docx", "A 7247-2021")</f>
        <v/>
      </c>
      <c r="W49">
        <f>HYPERLINK("https://klasma.github.io/Logging_KATRINEHOLM/klagomålsmail/A 7247-2021.docx", "A 7247-2021")</f>
        <v/>
      </c>
      <c r="X49">
        <f>HYPERLINK("https://klasma.github.io/Logging_KATRINEHOLM/tillsyn/A 7247-2021.docx", "A 7247-2021")</f>
        <v/>
      </c>
      <c r="Y49">
        <f>HYPERLINK("https://klasma.github.io/Logging_KATRINEHOLM/tillsynsmail/A 7247-2021.docx", "A 7247-2021")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45186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54614-2021.xlsx", "A 54614-2021")</f>
        <v/>
      </c>
      <c r="T50">
        <f>HYPERLINK("https://klasma.github.io/Logging_KATRINEHOLM/kartor/A 54614-2021.png", "A 54614-2021")</f>
        <v/>
      </c>
      <c r="V50">
        <f>HYPERLINK("https://klasma.github.io/Logging_KATRINEHOLM/klagomål/A 54614-2021.docx", "A 54614-2021")</f>
        <v/>
      </c>
      <c r="W50">
        <f>HYPERLINK("https://klasma.github.io/Logging_KATRINEHOLM/klagomålsmail/A 54614-2021.docx", "A 54614-2021")</f>
        <v/>
      </c>
      <c r="X50">
        <f>HYPERLINK("https://klasma.github.io/Logging_KATRINEHOLM/tillsyn/A 54614-2021.docx", "A 54614-2021")</f>
        <v/>
      </c>
      <c r="Y50">
        <f>HYPERLINK("https://klasma.github.io/Logging_KATRINEHOLM/tillsynsmail/A 54614-2021.docx", "A 54614-2021")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45186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71970-2021.xlsx", "A 71970-2021")</f>
        <v/>
      </c>
      <c r="T51">
        <f>HYPERLINK("https://klasma.github.io/Logging_ESKILSTUNA/kartor/A 71970-2021.png", "A 71970-2021")</f>
        <v/>
      </c>
      <c r="U51">
        <f>HYPERLINK("https://klasma.github.io/Logging_ESKILSTUNA/knärot/A 71970-2021.png", "A 71970-2021")</f>
        <v/>
      </c>
      <c r="V51">
        <f>HYPERLINK("https://klasma.github.io/Logging_ESKILSTUNA/klagomål/A 71970-2021.docx", "A 71970-2021")</f>
        <v/>
      </c>
      <c r="W51">
        <f>HYPERLINK("https://klasma.github.io/Logging_ESKILSTUNA/klagomålsmail/A 71970-2021.docx", "A 71970-2021")</f>
        <v/>
      </c>
      <c r="X51">
        <f>HYPERLINK("https://klasma.github.io/Logging_ESKILSTUNA/tillsyn/A 71970-2021.docx", "A 71970-2021")</f>
        <v/>
      </c>
      <c r="Y51">
        <f>HYPERLINK("https://klasma.github.io/Logging_ESKILSTUNA/tillsynsmail/A 71970-2021.docx", "A 71970-2021")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45186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54002-2022.xlsx", "A 54002-2022")</f>
        <v/>
      </c>
      <c r="T52">
        <f>HYPERLINK("https://klasma.github.io/Logging_KATRINEHOLM/kartor/A 54002-2022.png", "A 54002-2022")</f>
        <v/>
      </c>
      <c r="V52">
        <f>HYPERLINK("https://klasma.github.io/Logging_KATRINEHOLM/klagomål/A 54002-2022.docx", "A 54002-2022")</f>
        <v/>
      </c>
      <c r="W52">
        <f>HYPERLINK("https://klasma.github.io/Logging_KATRINEHOLM/klagomålsmail/A 54002-2022.docx", "A 54002-2022")</f>
        <v/>
      </c>
      <c r="X52">
        <f>HYPERLINK("https://klasma.github.io/Logging_KATRINEHOLM/tillsyn/A 54002-2022.docx", "A 54002-2022")</f>
        <v/>
      </c>
      <c r="Y52">
        <f>HYPERLINK("https://klasma.github.io/Logging_KATRINEHOLM/tillsynsmail/A 54002-2022.docx", "A 54002-2022")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45186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21221-2023.xlsx", "A 21221-2023")</f>
        <v/>
      </c>
      <c r="T53">
        <f>HYPERLINK("https://klasma.github.io/Logging_KATRINEHOLM/kartor/A 21221-2023.png", "A 21221-2023")</f>
        <v/>
      </c>
      <c r="V53">
        <f>HYPERLINK("https://klasma.github.io/Logging_KATRINEHOLM/klagomål/A 21221-2023.docx", "A 21221-2023")</f>
        <v/>
      </c>
      <c r="W53">
        <f>HYPERLINK("https://klasma.github.io/Logging_KATRINEHOLM/klagomålsmail/A 21221-2023.docx", "A 21221-2023")</f>
        <v/>
      </c>
      <c r="X53">
        <f>HYPERLINK("https://klasma.github.io/Logging_KATRINEHOLM/tillsyn/A 21221-2023.docx", "A 21221-2023")</f>
        <v/>
      </c>
      <c r="Y53">
        <f>HYPERLINK("https://klasma.github.io/Logging_KATRINEHOLM/tillsynsmail/A 21221-2023.docx", "A 21221-2023")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45186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66282-2018.xlsx", "A 66282-2018")</f>
        <v/>
      </c>
      <c r="T54">
        <f>HYPERLINK("https://klasma.github.io/Logging_ESKILSTUNA/kartor/A 66282-2018.png", "A 66282-2018")</f>
        <v/>
      </c>
      <c r="U54">
        <f>HYPERLINK("https://klasma.github.io/Logging_ESKILSTUNA/knärot/A 66282-2018.png", "A 66282-2018")</f>
        <v/>
      </c>
      <c r="V54">
        <f>HYPERLINK("https://klasma.github.io/Logging_ESKILSTUNA/klagomål/A 66282-2018.docx", "A 66282-2018")</f>
        <v/>
      </c>
      <c r="W54">
        <f>HYPERLINK("https://klasma.github.io/Logging_ESKILSTUNA/klagomålsmail/A 66282-2018.docx", "A 66282-2018")</f>
        <v/>
      </c>
      <c r="X54">
        <f>HYPERLINK("https://klasma.github.io/Logging_ESKILSTUNA/tillsyn/A 66282-2018.docx", "A 66282-2018")</f>
        <v/>
      </c>
      <c r="Y54">
        <f>HYPERLINK("https://klasma.github.io/Logging_ESKILSTUNA/tillsynsmail/A 66282-2018.docx", "A 66282-2018")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45186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11177-2020.xlsx", "A 11177-2020")</f>
        <v/>
      </c>
      <c r="T55">
        <f>HYPERLINK("https://klasma.github.io/Logging_STRANGNAS/kartor/A 11177-2020.png", "A 11177-2020")</f>
        <v/>
      </c>
      <c r="U55">
        <f>HYPERLINK("https://klasma.github.io/Logging_STRANGNAS/knärot/A 11177-2020.png", "A 11177-2020")</f>
        <v/>
      </c>
      <c r="V55">
        <f>HYPERLINK("https://klasma.github.io/Logging_STRANGNAS/klagomål/A 11177-2020.docx", "A 11177-2020")</f>
        <v/>
      </c>
      <c r="W55">
        <f>HYPERLINK("https://klasma.github.io/Logging_STRANGNAS/klagomålsmail/A 11177-2020.docx", "A 11177-2020")</f>
        <v/>
      </c>
      <c r="X55">
        <f>HYPERLINK("https://klasma.github.io/Logging_STRANGNAS/tillsyn/A 11177-2020.docx", "A 11177-2020")</f>
        <v/>
      </c>
      <c r="Y55">
        <f>HYPERLINK("https://klasma.github.io/Logging_STRANGNAS/tillsynsmail/A 11177-2020.docx", "A 11177-2020")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45186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29255-2020.xlsx", "A 29255-2020")</f>
        <v/>
      </c>
      <c r="T56">
        <f>HYPERLINK("https://klasma.github.io/Logging_NYKOPING/kartor/A 29255-2020.png", "A 29255-2020")</f>
        <v/>
      </c>
      <c r="V56">
        <f>HYPERLINK("https://klasma.github.io/Logging_NYKOPING/klagomål/A 29255-2020.docx", "A 29255-2020")</f>
        <v/>
      </c>
      <c r="W56">
        <f>HYPERLINK("https://klasma.github.io/Logging_NYKOPING/klagomålsmail/A 29255-2020.docx", "A 29255-2020")</f>
        <v/>
      </c>
      <c r="X56">
        <f>HYPERLINK("https://klasma.github.io/Logging_NYKOPING/tillsyn/A 29255-2020.docx", "A 29255-2020")</f>
        <v/>
      </c>
      <c r="Y56">
        <f>HYPERLINK("https://klasma.github.io/Logging_NYKOPING/tillsynsmail/A 29255-2020.docx", "A 29255-2020")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45186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49457-2020.xlsx", "A 49457-2020")</f>
        <v/>
      </c>
      <c r="T57">
        <f>HYPERLINK("https://klasma.github.io/Logging_ESKILSTUNA/kartor/A 49457-2020.png", "A 49457-2020")</f>
        <v/>
      </c>
      <c r="V57">
        <f>HYPERLINK("https://klasma.github.io/Logging_ESKILSTUNA/klagomål/A 49457-2020.docx", "A 49457-2020")</f>
        <v/>
      </c>
      <c r="W57">
        <f>HYPERLINK("https://klasma.github.io/Logging_ESKILSTUNA/klagomålsmail/A 49457-2020.docx", "A 49457-2020")</f>
        <v/>
      </c>
      <c r="X57">
        <f>HYPERLINK("https://klasma.github.io/Logging_ESKILSTUNA/tillsyn/A 49457-2020.docx", "A 49457-2020")</f>
        <v/>
      </c>
      <c r="Y57">
        <f>HYPERLINK("https://klasma.github.io/Logging_ESKILSTUNA/tillsynsmail/A 49457-2020.docx", "A 49457-2020")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45186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30353-2021.xlsx", "A 30353-2021")</f>
        <v/>
      </c>
      <c r="T58">
        <f>HYPERLINK("https://klasma.github.io/Logging_NYKOPING/kartor/A 30353-2021.png", "A 30353-2021")</f>
        <v/>
      </c>
      <c r="V58">
        <f>HYPERLINK("https://klasma.github.io/Logging_NYKOPING/klagomål/A 30353-2021.docx", "A 30353-2021")</f>
        <v/>
      </c>
      <c r="W58">
        <f>HYPERLINK("https://klasma.github.io/Logging_NYKOPING/klagomålsmail/A 30353-2021.docx", "A 30353-2021")</f>
        <v/>
      </c>
      <c r="X58">
        <f>HYPERLINK("https://klasma.github.io/Logging_NYKOPING/tillsyn/A 30353-2021.docx", "A 30353-2021")</f>
        <v/>
      </c>
      <c r="Y58">
        <f>HYPERLINK("https://klasma.github.io/Logging_NYKOPING/tillsynsmail/A 30353-2021.docx", "A 30353-2021")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45186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35274-2021.xlsx", "A 35274-2021")</f>
        <v/>
      </c>
      <c r="T59">
        <f>HYPERLINK("https://klasma.github.io/Logging_NYKOPING/kartor/A 35274-2021.png", "A 35274-2021")</f>
        <v/>
      </c>
      <c r="V59">
        <f>HYPERLINK("https://klasma.github.io/Logging_NYKOPING/klagomål/A 35274-2021.docx", "A 35274-2021")</f>
        <v/>
      </c>
      <c r="W59">
        <f>HYPERLINK("https://klasma.github.io/Logging_NYKOPING/klagomålsmail/A 35274-2021.docx", "A 35274-2021")</f>
        <v/>
      </c>
      <c r="X59">
        <f>HYPERLINK("https://klasma.github.io/Logging_NYKOPING/tillsyn/A 35274-2021.docx", "A 35274-2021")</f>
        <v/>
      </c>
      <c r="Y59">
        <f>HYPERLINK("https://klasma.github.io/Logging_NYKOPING/tillsynsmail/A 35274-2021.docx", "A 35274-2021")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45186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13012-2022.xlsx", "A 13012-2022")</f>
        <v/>
      </c>
      <c r="T60">
        <f>HYPERLINK("https://klasma.github.io/Logging_STRANGNAS/kartor/A 13012-2022.png", "A 13012-2022")</f>
        <v/>
      </c>
      <c r="V60">
        <f>HYPERLINK("https://klasma.github.io/Logging_STRANGNAS/klagomål/A 13012-2022.docx", "A 13012-2022")</f>
        <v/>
      </c>
      <c r="W60">
        <f>HYPERLINK("https://klasma.github.io/Logging_STRANGNAS/klagomålsmail/A 13012-2022.docx", "A 13012-2022")</f>
        <v/>
      </c>
      <c r="X60">
        <f>HYPERLINK("https://klasma.github.io/Logging_STRANGNAS/tillsyn/A 13012-2022.docx", "A 13012-2022")</f>
        <v/>
      </c>
      <c r="Y60">
        <f>HYPERLINK("https://klasma.github.io/Logging_STRANGNAS/tillsynsmail/A 13012-2022.docx", "A 13012-2022")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45186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37981-2022.xlsx", "A 37981-2022")</f>
        <v/>
      </c>
      <c r="T61">
        <f>HYPERLINK("https://klasma.github.io/Logging_ESKILSTUNA/kartor/A 37981-2022.png", "A 37981-2022")</f>
        <v/>
      </c>
      <c r="V61">
        <f>HYPERLINK("https://klasma.github.io/Logging_ESKILSTUNA/klagomål/A 37981-2022.docx", "A 37981-2022")</f>
        <v/>
      </c>
      <c r="W61">
        <f>HYPERLINK("https://klasma.github.io/Logging_ESKILSTUNA/klagomålsmail/A 37981-2022.docx", "A 37981-2022")</f>
        <v/>
      </c>
      <c r="X61">
        <f>HYPERLINK("https://klasma.github.io/Logging_ESKILSTUNA/tillsyn/A 37981-2022.docx", "A 37981-2022")</f>
        <v/>
      </c>
      <c r="Y61">
        <f>HYPERLINK("https://klasma.github.io/Logging_ESKILSTUNA/tillsynsmail/A 37981-2022.docx", "A 37981-2022")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45186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40382-2022.xlsx", "A 40382-2022")</f>
        <v/>
      </c>
      <c r="T62">
        <f>HYPERLINK("https://klasma.github.io/Logging_ESKILSTUNA/kartor/A 40382-2022.png", "A 40382-2022")</f>
        <v/>
      </c>
      <c r="V62">
        <f>HYPERLINK("https://klasma.github.io/Logging_ESKILSTUNA/klagomål/A 40382-2022.docx", "A 40382-2022")</f>
        <v/>
      </c>
      <c r="W62">
        <f>HYPERLINK("https://klasma.github.io/Logging_ESKILSTUNA/klagomålsmail/A 40382-2022.docx", "A 40382-2022")</f>
        <v/>
      </c>
      <c r="X62">
        <f>HYPERLINK("https://klasma.github.io/Logging_ESKILSTUNA/tillsyn/A 40382-2022.docx", "A 40382-2022")</f>
        <v/>
      </c>
      <c r="Y62">
        <f>HYPERLINK("https://klasma.github.io/Logging_ESKILSTUNA/tillsynsmail/A 40382-2022.docx", "A 40382-2022")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45186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42675-2022.xlsx", "A 42675-2022")</f>
        <v/>
      </c>
      <c r="T63">
        <f>HYPERLINK("https://klasma.github.io/Logging_FLEN/kartor/A 42675-2022.png", "A 42675-2022")</f>
        <v/>
      </c>
      <c r="V63">
        <f>HYPERLINK("https://klasma.github.io/Logging_FLEN/klagomål/A 42675-2022.docx", "A 42675-2022")</f>
        <v/>
      </c>
      <c r="W63">
        <f>HYPERLINK("https://klasma.github.io/Logging_FLEN/klagomålsmail/A 42675-2022.docx", "A 42675-2022")</f>
        <v/>
      </c>
      <c r="X63">
        <f>HYPERLINK("https://klasma.github.io/Logging_FLEN/tillsyn/A 42675-2022.docx", "A 42675-2022")</f>
        <v/>
      </c>
      <c r="Y63">
        <f>HYPERLINK("https://klasma.github.io/Logging_FLEN/tillsynsmail/A 42675-2022.docx", "A 42675-2022")</f>
        <v/>
      </c>
    </row>
    <row r="64" ht="15" customHeight="1">
      <c r="A64" t="inlineStr">
        <is>
          <t>A 17144-2023</t>
        </is>
      </c>
      <c r="B64" s="1" t="n">
        <v>45034</v>
      </c>
      <c r="C64" s="1" t="n">
        <v>45186</v>
      </c>
      <c r="D64" t="inlineStr">
        <is>
          <t>SÖDERMANLANDS LÄN</t>
        </is>
      </c>
      <c r="E64" t="inlineStr">
        <is>
          <t>ESKILSTUNA</t>
        </is>
      </c>
      <c r="G64" t="n">
        <v>3.8</v>
      </c>
      <c r="H64" t="n">
        <v>2</v>
      </c>
      <c r="I64" t="n">
        <v>1</v>
      </c>
      <c r="J64" t="n">
        <v>3</v>
      </c>
      <c r="K64" t="n">
        <v>1</v>
      </c>
      <c r="L64" t="n">
        <v>0</v>
      </c>
      <c r="M64" t="n">
        <v>0</v>
      </c>
      <c r="N64" t="n">
        <v>0</v>
      </c>
      <c r="O64" t="n">
        <v>4</v>
      </c>
      <c r="P64" t="n">
        <v>1</v>
      </c>
      <c r="Q64" t="n">
        <v>5</v>
      </c>
      <c r="R64" s="2" t="inlineStr">
        <is>
          <t>Knärot
Grantaggsvamp
Motaggsvamp
Spillkråka
Mindre märgborre</t>
        </is>
      </c>
      <c r="S64">
        <f>HYPERLINK("https://klasma.github.io/Logging_ESKILSTUNA/artfynd/A 17144-2023.xlsx", "A 17144-2023")</f>
        <v/>
      </c>
      <c r="T64">
        <f>HYPERLINK("https://klasma.github.io/Logging_ESKILSTUNA/kartor/A 17144-2023.png", "A 17144-2023")</f>
        <v/>
      </c>
      <c r="U64">
        <f>HYPERLINK("https://klasma.github.io/Logging_ESKILSTUNA/knärot/A 17144-2023.png", "A 17144-2023")</f>
        <v/>
      </c>
      <c r="V64">
        <f>HYPERLINK("https://klasma.github.io/Logging_ESKILSTUNA/klagomål/A 17144-2023.docx", "A 17144-2023")</f>
        <v/>
      </c>
      <c r="W64">
        <f>HYPERLINK("https://klasma.github.io/Logging_ESKILSTUNA/klagomålsmail/A 17144-2023.docx", "A 17144-2023")</f>
        <v/>
      </c>
      <c r="X64">
        <f>HYPERLINK("https://klasma.github.io/Logging_ESKILSTUNA/tillsyn/A 17144-2023.docx", "A 17144-2023")</f>
        <v/>
      </c>
      <c r="Y64">
        <f>HYPERLINK("https://klasma.github.io/Logging_ESKILSTUNA/tillsynsmail/A 17144-2023.docx", "A 17144-2023")</f>
        <v/>
      </c>
    </row>
    <row r="65" ht="15" customHeight="1">
      <c r="A65" t="inlineStr">
        <is>
          <t>A 56342-2018</t>
        </is>
      </c>
      <c r="B65" s="1" t="n">
        <v>43399</v>
      </c>
      <c r="C65" s="1" t="n">
        <v>45186</v>
      </c>
      <c r="D65" t="inlineStr">
        <is>
          <t>SÖDERMANLANDS LÄN</t>
        </is>
      </c>
      <c r="E65" t="inlineStr">
        <is>
          <t>GNESTA</t>
        </is>
      </c>
      <c r="G65" t="n">
        <v>1.6</v>
      </c>
      <c r="H65" t="n">
        <v>0</v>
      </c>
      <c r="I65" t="n">
        <v>1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4</v>
      </c>
      <c r="R65" s="2" t="inlineStr">
        <is>
          <t>Gullklöver
Svinrot
Ängsskära
Svart trolldruva</t>
        </is>
      </c>
      <c r="S65">
        <f>HYPERLINK("https://klasma.github.io/Logging_GNESTA/artfynd/A 56342-2018.xlsx", "A 56342-2018")</f>
        <v/>
      </c>
      <c r="T65">
        <f>HYPERLINK("https://klasma.github.io/Logging_GNESTA/kartor/A 56342-2018.png", "A 56342-2018")</f>
        <v/>
      </c>
      <c r="V65">
        <f>HYPERLINK("https://klasma.github.io/Logging_GNESTA/klagomål/A 56342-2018.docx", "A 56342-2018")</f>
        <v/>
      </c>
      <c r="W65">
        <f>HYPERLINK("https://klasma.github.io/Logging_GNESTA/klagomålsmail/A 56342-2018.docx", "A 56342-2018")</f>
        <v/>
      </c>
      <c r="X65">
        <f>HYPERLINK("https://klasma.github.io/Logging_GNESTA/tillsyn/A 56342-2018.docx", "A 56342-2018")</f>
        <v/>
      </c>
      <c r="Y65">
        <f>HYPERLINK("https://klasma.github.io/Logging_GNESTA/tillsynsmail/A 56342-2018.docx", "A 56342-2018")</f>
        <v/>
      </c>
    </row>
    <row r="66" ht="15" customHeight="1">
      <c r="A66" t="inlineStr">
        <is>
          <t>A 6167-2019</t>
        </is>
      </c>
      <c r="B66" s="1" t="n">
        <v>43486</v>
      </c>
      <c r="C66" s="1" t="n">
        <v>45186</v>
      </c>
      <c r="D66" t="inlineStr">
        <is>
          <t>SÖDERMANLANDS LÄN</t>
        </is>
      </c>
      <c r="E66" t="inlineStr">
        <is>
          <t>NYKÖPING</t>
        </is>
      </c>
      <c r="G66" t="n">
        <v>5.5</v>
      </c>
      <c r="H66" t="n">
        <v>2</v>
      </c>
      <c r="I66" t="n">
        <v>1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4</v>
      </c>
      <c r="R66" s="2" t="inlineStr">
        <is>
          <t>Ask
Sårläka
Nattviol
Blåsippa</t>
        </is>
      </c>
      <c r="S66">
        <f>HYPERLINK("https://klasma.github.io/Logging_NYKOPING/artfynd/A 6167-2019.xlsx", "A 6167-2019")</f>
        <v/>
      </c>
      <c r="T66">
        <f>HYPERLINK("https://klasma.github.io/Logging_NYKOPING/kartor/A 6167-2019.png", "A 6167-2019")</f>
        <v/>
      </c>
      <c r="V66">
        <f>HYPERLINK("https://klasma.github.io/Logging_NYKOPING/klagomål/A 6167-2019.docx", "A 6167-2019")</f>
        <v/>
      </c>
      <c r="W66">
        <f>HYPERLINK("https://klasma.github.io/Logging_NYKOPING/klagomålsmail/A 6167-2019.docx", "A 6167-2019")</f>
        <v/>
      </c>
      <c r="X66">
        <f>HYPERLINK("https://klasma.github.io/Logging_NYKOPING/tillsyn/A 6167-2019.docx", "A 6167-2019")</f>
        <v/>
      </c>
      <c r="Y66">
        <f>HYPERLINK("https://klasma.github.io/Logging_NYKOPING/tillsynsmail/A 6167-2019.docx", "A 6167-2019")</f>
        <v/>
      </c>
    </row>
    <row r="67" ht="15" customHeight="1">
      <c r="A67" t="inlineStr">
        <is>
          <t>A 6402-2019</t>
        </is>
      </c>
      <c r="B67" s="1" t="n">
        <v>43493</v>
      </c>
      <c r="C67" s="1" t="n">
        <v>45186</v>
      </c>
      <c r="D67" t="inlineStr">
        <is>
          <t>SÖDERMANLANDS LÄN</t>
        </is>
      </c>
      <c r="E67" t="inlineStr">
        <is>
          <t>FLEN</t>
        </is>
      </c>
      <c r="G67" t="n">
        <v>4.8</v>
      </c>
      <c r="H67" t="n">
        <v>1</v>
      </c>
      <c r="I67" t="n">
        <v>0</v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t="n">
        <v>4</v>
      </c>
      <c r="P67" t="n">
        <v>0</v>
      </c>
      <c r="Q67" t="n">
        <v>4</v>
      </c>
      <c r="R67" s="2" t="inlineStr">
        <is>
          <t>Klasefibbla
Svinrot
Ängsskära
Ärtsångare</t>
        </is>
      </c>
      <c r="S67">
        <f>HYPERLINK("https://klasma.github.io/Logging_FLEN/artfynd/A 6402-2019.xlsx", "A 6402-2019")</f>
        <v/>
      </c>
      <c r="T67">
        <f>HYPERLINK("https://klasma.github.io/Logging_FLEN/kartor/A 6402-2019.png", "A 6402-2019")</f>
        <v/>
      </c>
      <c r="V67">
        <f>HYPERLINK("https://klasma.github.io/Logging_FLEN/klagomål/A 6402-2019.docx", "A 6402-2019")</f>
        <v/>
      </c>
      <c r="W67">
        <f>HYPERLINK("https://klasma.github.io/Logging_FLEN/klagomålsmail/A 6402-2019.docx", "A 6402-2019")</f>
        <v/>
      </c>
      <c r="X67">
        <f>HYPERLINK("https://klasma.github.io/Logging_FLEN/tillsyn/A 6402-2019.docx", "A 6402-2019")</f>
        <v/>
      </c>
      <c r="Y67">
        <f>HYPERLINK("https://klasma.github.io/Logging_FLEN/tillsynsmail/A 6402-2019.docx", "A 6402-2019")</f>
        <v/>
      </c>
    </row>
    <row r="68" ht="15" customHeight="1">
      <c r="A68" t="inlineStr">
        <is>
          <t>A 7732-2019</t>
        </is>
      </c>
      <c r="B68" s="1" t="n">
        <v>43497</v>
      </c>
      <c r="C68" s="1" t="n">
        <v>45186</v>
      </c>
      <c r="D68" t="inlineStr">
        <is>
          <t>SÖDERMANLANDS LÄN</t>
        </is>
      </c>
      <c r="E68" t="inlineStr">
        <is>
          <t>TROSA</t>
        </is>
      </c>
      <c r="G68" t="n">
        <v>2.3</v>
      </c>
      <c r="H68" t="n">
        <v>4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Nordfladdermus
Dvärgpipistrell
Gråskimlig fladdermus
Större brunfladdermus</t>
        </is>
      </c>
      <c r="S68">
        <f>HYPERLINK("https://klasma.github.io/Logging_TROSA/artfynd/A 7732-2019.xlsx", "A 7732-2019")</f>
        <v/>
      </c>
      <c r="T68">
        <f>HYPERLINK("https://klasma.github.io/Logging_TROSA/kartor/A 7732-2019.png", "A 7732-2019")</f>
        <v/>
      </c>
      <c r="V68">
        <f>HYPERLINK("https://klasma.github.io/Logging_TROSA/klagomål/A 7732-2019.docx", "A 7732-2019")</f>
        <v/>
      </c>
      <c r="W68">
        <f>HYPERLINK("https://klasma.github.io/Logging_TROSA/klagomålsmail/A 7732-2019.docx", "A 7732-2019")</f>
        <v/>
      </c>
      <c r="X68">
        <f>HYPERLINK("https://klasma.github.io/Logging_TROSA/tillsyn/A 7732-2019.docx", "A 7732-2019")</f>
        <v/>
      </c>
      <c r="Y68">
        <f>HYPERLINK("https://klasma.github.io/Logging_TROSA/tillsynsmail/A 7732-2019.docx", "A 7732-2019")</f>
        <v/>
      </c>
    </row>
    <row r="69" ht="15" customHeight="1">
      <c r="A69" t="inlineStr">
        <is>
          <t>A 25367-2019</t>
        </is>
      </c>
      <c r="B69" s="1" t="n">
        <v>43606</v>
      </c>
      <c r="C69" s="1" t="n">
        <v>45186</v>
      </c>
      <c r="D69" t="inlineStr">
        <is>
          <t>SÖDERMANLANDS LÄN</t>
        </is>
      </c>
      <c r="E69" t="inlineStr">
        <is>
          <t>FLEN</t>
        </is>
      </c>
      <c r="G69" t="n">
        <v>7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4</v>
      </c>
      <c r="R69" s="2" t="inlineStr">
        <is>
          <t>Blodvaxskivling
Fjällig taggsvamp s.str.
Rökmusseron
Blåsippa</t>
        </is>
      </c>
      <c r="S69">
        <f>HYPERLINK("https://klasma.github.io/Logging_FLEN/artfynd/A 25367-2019.xlsx", "A 25367-2019")</f>
        <v/>
      </c>
      <c r="T69">
        <f>HYPERLINK("https://klasma.github.io/Logging_FLEN/kartor/A 25367-2019.png", "A 25367-2019")</f>
        <v/>
      </c>
      <c r="V69">
        <f>HYPERLINK("https://klasma.github.io/Logging_FLEN/klagomål/A 25367-2019.docx", "A 25367-2019")</f>
        <v/>
      </c>
      <c r="W69">
        <f>HYPERLINK("https://klasma.github.io/Logging_FLEN/klagomålsmail/A 25367-2019.docx", "A 25367-2019")</f>
        <v/>
      </c>
      <c r="X69">
        <f>HYPERLINK("https://klasma.github.io/Logging_FLEN/tillsyn/A 25367-2019.docx", "A 25367-2019")</f>
        <v/>
      </c>
      <c r="Y69">
        <f>HYPERLINK("https://klasma.github.io/Logging_FLEN/tillsynsmail/A 25367-2019.docx", "A 25367-2019")</f>
        <v/>
      </c>
    </row>
    <row r="70" ht="15" customHeight="1">
      <c r="A70" t="inlineStr">
        <is>
          <t>A 44820-2019</t>
        </is>
      </c>
      <c r="B70" s="1" t="n">
        <v>43712</v>
      </c>
      <c r="C70" s="1" t="n">
        <v>45186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16.1</v>
      </c>
      <c r="H70" t="n">
        <v>3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Spillkråka
Talltita
Jättesvampmal
Revlummer</t>
        </is>
      </c>
      <c r="S70">
        <f>HYPERLINK("https://klasma.github.io/Logging_ESKILSTUNA/artfynd/A 44820-2019.xlsx", "A 44820-2019")</f>
        <v/>
      </c>
      <c r="T70">
        <f>HYPERLINK("https://klasma.github.io/Logging_ESKILSTUNA/kartor/A 44820-2019.png", "A 44820-2019")</f>
        <v/>
      </c>
      <c r="V70">
        <f>HYPERLINK("https://klasma.github.io/Logging_ESKILSTUNA/klagomål/A 44820-2019.docx", "A 44820-2019")</f>
        <v/>
      </c>
      <c r="W70">
        <f>HYPERLINK("https://klasma.github.io/Logging_ESKILSTUNA/klagomålsmail/A 44820-2019.docx", "A 44820-2019")</f>
        <v/>
      </c>
      <c r="X70">
        <f>HYPERLINK("https://klasma.github.io/Logging_ESKILSTUNA/tillsyn/A 44820-2019.docx", "A 44820-2019")</f>
        <v/>
      </c>
      <c r="Y70">
        <f>HYPERLINK("https://klasma.github.io/Logging_ESKILSTUNA/tillsynsmail/A 44820-2019.docx", "A 44820-2019")</f>
        <v/>
      </c>
    </row>
    <row r="71" ht="15" customHeight="1">
      <c r="A71" t="inlineStr">
        <is>
          <t>A 55124-2019</t>
        </is>
      </c>
      <c r="B71" s="1" t="n">
        <v>43752</v>
      </c>
      <c r="C71" s="1" t="n">
        <v>45186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Tallticka
Blomkålssvamp
Dropptaggsvamp
Fjällig taggsvamp s.str.</t>
        </is>
      </c>
      <c r="S71">
        <f>HYPERLINK("https://klasma.github.io/Logging_FLEN/artfynd/A 55124-2019.xlsx", "A 55124-2019")</f>
        <v/>
      </c>
      <c r="T71">
        <f>HYPERLINK("https://klasma.github.io/Logging_FLEN/kartor/A 55124-2019.png", "A 55124-2019")</f>
        <v/>
      </c>
      <c r="V71">
        <f>HYPERLINK("https://klasma.github.io/Logging_FLEN/klagomål/A 55124-2019.docx", "A 55124-2019")</f>
        <v/>
      </c>
      <c r="W71">
        <f>HYPERLINK("https://klasma.github.io/Logging_FLEN/klagomålsmail/A 55124-2019.docx", "A 55124-2019")</f>
        <v/>
      </c>
      <c r="X71">
        <f>HYPERLINK("https://klasma.github.io/Logging_FLEN/tillsyn/A 55124-2019.docx", "A 55124-2019")</f>
        <v/>
      </c>
      <c r="Y71">
        <f>HYPERLINK("https://klasma.github.io/Logging_FLEN/tillsynsmail/A 55124-2019.docx", "A 55124-2019")</f>
        <v/>
      </c>
    </row>
    <row r="72" ht="15" customHeight="1">
      <c r="A72" t="inlineStr">
        <is>
          <t>A 676-2020</t>
        </is>
      </c>
      <c r="B72" s="1" t="n">
        <v>43838</v>
      </c>
      <c r="C72" s="1" t="n">
        <v>45186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8.699999999999999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Ullticka
Dropptaggsvamp
Fjällig taggsvamp s.str.
Skarp dropptaggsvamp</t>
        </is>
      </c>
      <c r="S72">
        <f>HYPERLINK("https://klasma.github.io/Logging_FLEN/artfynd/A 676-2020.xlsx", "A 676-2020")</f>
        <v/>
      </c>
      <c r="T72">
        <f>HYPERLINK("https://klasma.github.io/Logging_FLEN/kartor/A 676-2020.png", "A 676-2020")</f>
        <v/>
      </c>
      <c r="V72">
        <f>HYPERLINK("https://klasma.github.io/Logging_FLEN/klagomål/A 676-2020.docx", "A 676-2020")</f>
        <v/>
      </c>
      <c r="W72">
        <f>HYPERLINK("https://klasma.github.io/Logging_FLEN/klagomålsmail/A 676-2020.docx", "A 676-2020")</f>
        <v/>
      </c>
      <c r="X72">
        <f>HYPERLINK("https://klasma.github.io/Logging_FLEN/tillsyn/A 676-2020.docx", "A 676-2020")</f>
        <v/>
      </c>
      <c r="Y72">
        <f>HYPERLINK("https://klasma.github.io/Logging_FLEN/tillsynsmail/A 676-2020.docx", "A 676-2020")</f>
        <v/>
      </c>
    </row>
    <row r="73" ht="15" customHeight="1">
      <c r="A73" t="inlineStr">
        <is>
          <t>A 6487-2020</t>
        </is>
      </c>
      <c r="B73" s="1" t="n">
        <v>43866</v>
      </c>
      <c r="C73" s="1" t="n">
        <v>45186</v>
      </c>
      <c r="D73" t="inlineStr">
        <is>
          <t>SÖDERMANLANDS LÄN</t>
        </is>
      </c>
      <c r="E73" t="inlineStr">
        <is>
          <t>NYKÖPING</t>
        </is>
      </c>
      <c r="G73" t="n">
        <v>4.9</v>
      </c>
      <c r="H73" t="n">
        <v>0</v>
      </c>
      <c r="I73" t="n">
        <v>0</v>
      </c>
      <c r="J73" t="n">
        <v>4</v>
      </c>
      <c r="K73" t="n">
        <v>0</v>
      </c>
      <c r="L73" t="n">
        <v>0</v>
      </c>
      <c r="M73" t="n">
        <v>0</v>
      </c>
      <c r="N73" t="n">
        <v>0</v>
      </c>
      <c r="O73" t="n">
        <v>4</v>
      </c>
      <c r="P73" t="n">
        <v>0</v>
      </c>
      <c r="Q73" t="n">
        <v>4</v>
      </c>
      <c r="R73" s="2" t="inlineStr">
        <is>
          <t>Gränsticka
Tallticka
Ullticka
Vintertagging</t>
        </is>
      </c>
      <c r="S73">
        <f>HYPERLINK("https://klasma.github.io/Logging_NYKOPING/artfynd/A 6487-2020.xlsx", "A 6487-2020")</f>
        <v/>
      </c>
      <c r="T73">
        <f>HYPERLINK("https://klasma.github.io/Logging_NYKOPING/kartor/A 6487-2020.png", "A 6487-2020")</f>
        <v/>
      </c>
      <c r="V73">
        <f>HYPERLINK("https://klasma.github.io/Logging_NYKOPING/klagomål/A 6487-2020.docx", "A 6487-2020")</f>
        <v/>
      </c>
      <c r="W73">
        <f>HYPERLINK("https://klasma.github.io/Logging_NYKOPING/klagomålsmail/A 6487-2020.docx", "A 6487-2020")</f>
        <v/>
      </c>
      <c r="X73">
        <f>HYPERLINK("https://klasma.github.io/Logging_NYKOPING/tillsyn/A 6487-2020.docx", "A 6487-2020")</f>
        <v/>
      </c>
      <c r="Y73">
        <f>HYPERLINK("https://klasma.github.io/Logging_NYKOPING/tillsynsmail/A 6487-2020.docx", "A 6487-2020")</f>
        <v/>
      </c>
    </row>
    <row r="74" ht="15" customHeight="1">
      <c r="A74" t="inlineStr">
        <is>
          <t>A 12561-2020</t>
        </is>
      </c>
      <c r="B74" s="1" t="n">
        <v>43898</v>
      </c>
      <c r="C74" s="1" t="n">
        <v>45186</v>
      </c>
      <c r="D74" t="inlineStr">
        <is>
          <t>SÖDERMANLANDS LÄN</t>
        </is>
      </c>
      <c r="E74" t="inlineStr">
        <is>
          <t>KATRINEHOLM</t>
        </is>
      </c>
      <c r="G74" t="n">
        <v>5.8</v>
      </c>
      <c r="H74" t="n">
        <v>3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Grönpyrola
Purpurknipprot
Blåsippa
Revlummer</t>
        </is>
      </c>
      <c r="S74">
        <f>HYPERLINK("https://klasma.github.io/Logging_KATRINEHOLM/artfynd/A 12561-2020.xlsx", "A 12561-2020")</f>
        <v/>
      </c>
      <c r="T74">
        <f>HYPERLINK("https://klasma.github.io/Logging_KATRINEHOLM/kartor/A 12561-2020.png", "A 12561-2020")</f>
        <v/>
      </c>
      <c r="V74">
        <f>HYPERLINK("https://klasma.github.io/Logging_KATRINEHOLM/klagomål/A 12561-2020.docx", "A 12561-2020")</f>
        <v/>
      </c>
      <c r="W74">
        <f>HYPERLINK("https://klasma.github.io/Logging_KATRINEHOLM/klagomålsmail/A 12561-2020.docx", "A 12561-2020")</f>
        <v/>
      </c>
      <c r="X74">
        <f>HYPERLINK("https://klasma.github.io/Logging_KATRINEHOLM/tillsyn/A 12561-2020.docx", "A 12561-2020")</f>
        <v/>
      </c>
      <c r="Y74">
        <f>HYPERLINK("https://klasma.github.io/Logging_KATRINEHOLM/tillsynsmail/A 12561-2020.docx", "A 12561-2020")</f>
        <v/>
      </c>
    </row>
    <row r="75" ht="15" customHeight="1">
      <c r="A75" t="inlineStr">
        <is>
          <t>A 14041-2020</t>
        </is>
      </c>
      <c r="B75" s="1" t="n">
        <v>43906</v>
      </c>
      <c r="C75" s="1" t="n">
        <v>45186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11.9</v>
      </c>
      <c r="H75" t="n">
        <v>3</v>
      </c>
      <c r="I75" t="n">
        <v>0</v>
      </c>
      <c r="J75" t="n">
        <v>3</v>
      </c>
      <c r="K75" t="n">
        <v>1</v>
      </c>
      <c r="L75" t="n">
        <v>0</v>
      </c>
      <c r="M75" t="n">
        <v>0</v>
      </c>
      <c r="N75" t="n">
        <v>0</v>
      </c>
      <c r="O75" t="n">
        <v>4</v>
      </c>
      <c r="P75" t="n">
        <v>1</v>
      </c>
      <c r="Q75" t="n">
        <v>4</v>
      </c>
      <c r="R75" s="2" t="inlineStr">
        <is>
          <t>Kricka
Granticka
Rödvingetrast
Ärtsångare</t>
        </is>
      </c>
      <c r="S75">
        <f>HYPERLINK("https://klasma.github.io/Logging_NYKOPING/artfynd/A 14041-2020.xlsx", "A 14041-2020")</f>
        <v/>
      </c>
      <c r="T75">
        <f>HYPERLINK("https://klasma.github.io/Logging_NYKOPING/kartor/A 14041-2020.png", "A 14041-2020")</f>
        <v/>
      </c>
      <c r="U75">
        <f>HYPERLINK("https://klasma.github.io/Logging_NYKOPING/knärot/A 14041-2020.png", "A 14041-2020")</f>
        <v/>
      </c>
      <c r="V75">
        <f>HYPERLINK("https://klasma.github.io/Logging_NYKOPING/klagomål/A 14041-2020.docx", "A 14041-2020")</f>
        <v/>
      </c>
      <c r="W75">
        <f>HYPERLINK("https://klasma.github.io/Logging_NYKOPING/klagomålsmail/A 14041-2020.docx", "A 14041-2020")</f>
        <v/>
      </c>
      <c r="X75">
        <f>HYPERLINK("https://klasma.github.io/Logging_NYKOPING/tillsyn/A 14041-2020.docx", "A 14041-2020")</f>
        <v/>
      </c>
      <c r="Y75">
        <f>HYPERLINK("https://klasma.github.io/Logging_NYKOPING/tillsynsmail/A 14041-2020.docx", "A 14041-2020")</f>
        <v/>
      </c>
    </row>
    <row r="76" ht="15" customHeight="1">
      <c r="A76" t="inlineStr">
        <is>
          <t>A 25823-2020</t>
        </is>
      </c>
      <c r="B76" s="1" t="n">
        <v>43983</v>
      </c>
      <c r="C76" s="1" t="n">
        <v>45186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8.9</v>
      </c>
      <c r="H76" t="n">
        <v>1</v>
      </c>
      <c r="I76" t="n">
        <v>0</v>
      </c>
      <c r="J76" t="n">
        <v>2</v>
      </c>
      <c r="K76" t="n">
        <v>0</v>
      </c>
      <c r="L76" t="n">
        <v>1</v>
      </c>
      <c r="M76" t="n">
        <v>0</v>
      </c>
      <c r="N76" t="n">
        <v>0</v>
      </c>
      <c r="O76" t="n">
        <v>3</v>
      </c>
      <c r="P76" t="n">
        <v>1</v>
      </c>
      <c r="Q76" t="n">
        <v>4</v>
      </c>
      <c r="R76" s="2" t="inlineStr">
        <is>
          <t>Ask
Svinrot
Ängsskära
Revlummer</t>
        </is>
      </c>
      <c r="S76">
        <f>HYPERLINK("https://klasma.github.io/Logging_NYKOPING/artfynd/A 25823-2020.xlsx", "A 25823-2020")</f>
        <v/>
      </c>
      <c r="T76">
        <f>HYPERLINK("https://klasma.github.io/Logging_NYKOPING/kartor/A 25823-2020.png", "A 25823-2020")</f>
        <v/>
      </c>
      <c r="V76">
        <f>HYPERLINK("https://klasma.github.io/Logging_NYKOPING/klagomål/A 25823-2020.docx", "A 25823-2020")</f>
        <v/>
      </c>
      <c r="W76">
        <f>HYPERLINK("https://klasma.github.io/Logging_NYKOPING/klagomålsmail/A 25823-2020.docx", "A 25823-2020")</f>
        <v/>
      </c>
      <c r="X76">
        <f>HYPERLINK("https://klasma.github.io/Logging_NYKOPING/tillsyn/A 25823-2020.docx", "A 25823-2020")</f>
        <v/>
      </c>
      <c r="Y76">
        <f>HYPERLINK("https://klasma.github.io/Logging_NYKOPING/tillsynsmail/A 25823-2020.docx", "A 25823-2020")</f>
        <v/>
      </c>
    </row>
    <row r="77" ht="15" customHeight="1">
      <c r="A77" t="inlineStr">
        <is>
          <t>A 25818-2020</t>
        </is>
      </c>
      <c r="B77" s="1" t="n">
        <v>43983</v>
      </c>
      <c r="C77" s="1" t="n">
        <v>45186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8.800000000000001</v>
      </c>
      <c r="H77" t="n">
        <v>1</v>
      </c>
      <c r="I77" t="n">
        <v>3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4</v>
      </c>
      <c r="R77" s="2" t="inlineStr">
        <is>
          <t>Bombmurkla
Skarp dropptaggsvamp
Stubbspretmossa
Ögonpyrola</t>
        </is>
      </c>
      <c r="S77">
        <f>HYPERLINK("https://klasma.github.io/Logging_NYKOPING/artfynd/A 25818-2020.xlsx", "A 25818-2020")</f>
        <v/>
      </c>
      <c r="T77">
        <f>HYPERLINK("https://klasma.github.io/Logging_NYKOPING/kartor/A 25818-2020.png", "A 25818-2020")</f>
        <v/>
      </c>
      <c r="V77">
        <f>HYPERLINK("https://klasma.github.io/Logging_NYKOPING/klagomål/A 25818-2020.docx", "A 25818-2020")</f>
        <v/>
      </c>
      <c r="W77">
        <f>HYPERLINK("https://klasma.github.io/Logging_NYKOPING/klagomålsmail/A 25818-2020.docx", "A 25818-2020")</f>
        <v/>
      </c>
      <c r="X77">
        <f>HYPERLINK("https://klasma.github.io/Logging_NYKOPING/tillsyn/A 25818-2020.docx", "A 25818-2020")</f>
        <v/>
      </c>
      <c r="Y77">
        <f>HYPERLINK("https://klasma.github.io/Logging_NYKOPING/tillsynsmail/A 25818-2020.docx", "A 25818-2020")</f>
        <v/>
      </c>
    </row>
    <row r="78" ht="15" customHeight="1">
      <c r="A78" t="inlineStr">
        <is>
          <t>A 66889-2020</t>
        </is>
      </c>
      <c r="B78" s="1" t="n">
        <v>44180</v>
      </c>
      <c r="C78" s="1" t="n">
        <v>45186</v>
      </c>
      <c r="D78" t="inlineStr">
        <is>
          <t>SÖDERMANLANDS LÄN</t>
        </is>
      </c>
      <c r="E78" t="inlineStr">
        <is>
          <t>KATRINEHOLM</t>
        </is>
      </c>
      <c r="G78" t="n">
        <v>2.6</v>
      </c>
      <c r="H78" t="n">
        <v>1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4</v>
      </c>
      <c r="R78" s="2" t="inlineStr">
        <is>
          <t>Skogsbräsma
Svart trolldruva
Tibast
Tvåblad</t>
        </is>
      </c>
      <c r="S78">
        <f>HYPERLINK("https://klasma.github.io/Logging_KATRINEHOLM/artfynd/A 66889-2020.xlsx", "A 66889-2020")</f>
        <v/>
      </c>
      <c r="T78">
        <f>HYPERLINK("https://klasma.github.io/Logging_KATRINEHOLM/kartor/A 66889-2020.png", "A 66889-2020")</f>
        <v/>
      </c>
      <c r="V78">
        <f>HYPERLINK("https://klasma.github.io/Logging_KATRINEHOLM/klagomål/A 66889-2020.docx", "A 66889-2020")</f>
        <v/>
      </c>
      <c r="W78">
        <f>HYPERLINK("https://klasma.github.io/Logging_KATRINEHOLM/klagomålsmail/A 66889-2020.docx", "A 66889-2020")</f>
        <v/>
      </c>
      <c r="X78">
        <f>HYPERLINK("https://klasma.github.io/Logging_KATRINEHOLM/tillsyn/A 66889-2020.docx", "A 66889-2020")</f>
        <v/>
      </c>
      <c r="Y78">
        <f>HYPERLINK("https://klasma.github.io/Logging_KATRINEHOLM/tillsynsmail/A 66889-2020.docx", "A 66889-2020")</f>
        <v/>
      </c>
    </row>
    <row r="79" ht="15" customHeight="1">
      <c r="A79" t="inlineStr">
        <is>
          <t>A 69355-2020</t>
        </is>
      </c>
      <c r="B79" s="1" t="n">
        <v>44193</v>
      </c>
      <c r="C79" s="1" t="n">
        <v>45186</v>
      </c>
      <c r="D79" t="inlineStr">
        <is>
          <t>SÖDERMANLANDS LÄN</t>
        </is>
      </c>
      <c r="E79" t="inlineStr">
        <is>
          <t>GNESTA</t>
        </is>
      </c>
      <c r="G79" t="n">
        <v>7.9</v>
      </c>
      <c r="H79" t="n">
        <v>3</v>
      </c>
      <c r="I79" t="n">
        <v>1</v>
      </c>
      <c r="J79" t="n">
        <v>3</v>
      </c>
      <c r="K79" t="n">
        <v>0</v>
      </c>
      <c r="L79" t="n">
        <v>0</v>
      </c>
      <c r="M79" t="n">
        <v>0</v>
      </c>
      <c r="N79" t="n">
        <v>0</v>
      </c>
      <c r="O79" t="n">
        <v>3</v>
      </c>
      <c r="P79" t="n">
        <v>0</v>
      </c>
      <c r="Q79" t="n">
        <v>4</v>
      </c>
      <c r="R79" s="2" t="inlineStr">
        <is>
          <t>Fjällvråk
Hornuggla
Spillkråka
Myskbock</t>
        </is>
      </c>
      <c r="S79">
        <f>HYPERLINK("https://klasma.github.io/Logging_GNESTA/artfynd/A 69355-2020.xlsx", "A 69355-2020")</f>
        <v/>
      </c>
      <c r="T79">
        <f>HYPERLINK("https://klasma.github.io/Logging_GNESTA/kartor/A 69355-2020.png", "A 69355-2020")</f>
        <v/>
      </c>
      <c r="V79">
        <f>HYPERLINK("https://klasma.github.io/Logging_GNESTA/klagomål/A 69355-2020.docx", "A 69355-2020")</f>
        <v/>
      </c>
      <c r="W79">
        <f>HYPERLINK("https://klasma.github.io/Logging_GNESTA/klagomålsmail/A 69355-2020.docx", "A 69355-2020")</f>
        <v/>
      </c>
      <c r="X79">
        <f>HYPERLINK("https://klasma.github.io/Logging_GNESTA/tillsyn/A 69355-2020.docx", "A 69355-2020")</f>
        <v/>
      </c>
      <c r="Y79">
        <f>HYPERLINK("https://klasma.github.io/Logging_GNESTA/tillsynsmail/A 69355-2020.docx", "A 69355-2020")</f>
        <v/>
      </c>
    </row>
    <row r="80" ht="15" customHeight="1">
      <c r="A80" t="inlineStr">
        <is>
          <t>A 4884-2021</t>
        </is>
      </c>
      <c r="B80" s="1" t="n">
        <v>44223</v>
      </c>
      <c r="C80" s="1" t="n">
        <v>45186</v>
      </c>
      <c r="D80" t="inlineStr">
        <is>
          <t>SÖDERMANLANDS LÄN</t>
        </is>
      </c>
      <c r="E80" t="inlineStr">
        <is>
          <t>KATRINEHOLM</t>
        </is>
      </c>
      <c r="G80" t="n">
        <v>7.1</v>
      </c>
      <c r="H80" t="n">
        <v>0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Grönpyrola
Mandelriska
Skarp dropptaggsvamp
Sotriska</t>
        </is>
      </c>
      <c r="S80">
        <f>HYPERLINK("https://klasma.github.io/Logging_KATRINEHOLM/artfynd/A 4884-2021.xlsx", "A 4884-2021")</f>
        <v/>
      </c>
      <c r="T80">
        <f>HYPERLINK("https://klasma.github.io/Logging_KATRINEHOLM/kartor/A 4884-2021.png", "A 4884-2021")</f>
        <v/>
      </c>
      <c r="V80">
        <f>HYPERLINK("https://klasma.github.io/Logging_KATRINEHOLM/klagomål/A 4884-2021.docx", "A 4884-2021")</f>
        <v/>
      </c>
      <c r="W80">
        <f>HYPERLINK("https://klasma.github.io/Logging_KATRINEHOLM/klagomålsmail/A 4884-2021.docx", "A 4884-2021")</f>
        <v/>
      </c>
      <c r="X80">
        <f>HYPERLINK("https://klasma.github.io/Logging_KATRINEHOLM/tillsyn/A 4884-2021.docx", "A 4884-2021")</f>
        <v/>
      </c>
      <c r="Y80">
        <f>HYPERLINK("https://klasma.github.io/Logging_KATRINEHOLM/tillsynsmail/A 4884-2021.docx", "A 4884-2021")</f>
        <v/>
      </c>
    </row>
    <row r="81" ht="15" customHeight="1">
      <c r="A81" t="inlineStr">
        <is>
          <t>A 6861-2021</t>
        </is>
      </c>
      <c r="B81" s="1" t="n">
        <v>44237</v>
      </c>
      <c r="C81" s="1" t="n">
        <v>45186</v>
      </c>
      <c r="D81" t="inlineStr">
        <is>
          <t>SÖDERMANLANDS LÄN</t>
        </is>
      </c>
      <c r="E81" t="inlineStr">
        <is>
          <t>ESKILSTUNA</t>
        </is>
      </c>
      <c r="F81" t="inlineStr">
        <is>
          <t>Kyrkan</t>
        </is>
      </c>
      <c r="G81" t="n">
        <v>9</v>
      </c>
      <c r="H81" t="n">
        <v>2</v>
      </c>
      <c r="I81" t="n">
        <v>2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4</v>
      </c>
      <c r="R81" s="2" t="inlineStr">
        <is>
          <t>Knärot
Blodticka
Grönpyrola
Blåsippa</t>
        </is>
      </c>
      <c r="S81">
        <f>HYPERLINK("https://klasma.github.io/Logging_ESKILSTUNA/artfynd/A 6861-2021.xlsx", "A 6861-2021")</f>
        <v/>
      </c>
      <c r="T81">
        <f>HYPERLINK("https://klasma.github.io/Logging_ESKILSTUNA/kartor/A 6861-2021.png", "A 6861-2021")</f>
        <v/>
      </c>
      <c r="U81">
        <f>HYPERLINK("https://klasma.github.io/Logging_ESKILSTUNA/knärot/A 6861-2021.png", "A 6861-2021")</f>
        <v/>
      </c>
      <c r="V81">
        <f>HYPERLINK("https://klasma.github.io/Logging_ESKILSTUNA/klagomål/A 6861-2021.docx", "A 6861-2021")</f>
        <v/>
      </c>
      <c r="W81">
        <f>HYPERLINK("https://klasma.github.io/Logging_ESKILSTUNA/klagomålsmail/A 6861-2021.docx", "A 6861-2021")</f>
        <v/>
      </c>
      <c r="X81">
        <f>HYPERLINK("https://klasma.github.io/Logging_ESKILSTUNA/tillsyn/A 6861-2021.docx", "A 6861-2021")</f>
        <v/>
      </c>
      <c r="Y81">
        <f>HYPERLINK("https://klasma.github.io/Logging_ESKILSTUNA/tillsynsmail/A 6861-2021.docx", "A 6861-2021")</f>
        <v/>
      </c>
    </row>
    <row r="82" ht="15" customHeight="1">
      <c r="A82" t="inlineStr">
        <is>
          <t>A 24111-2021</t>
        </is>
      </c>
      <c r="B82" s="1" t="n">
        <v>44336</v>
      </c>
      <c r="C82" s="1" t="n">
        <v>45186</v>
      </c>
      <c r="D82" t="inlineStr">
        <is>
          <t>SÖDERMANLANDS LÄN</t>
        </is>
      </c>
      <c r="E82" t="inlineStr">
        <is>
          <t>ESKILSTUNA</t>
        </is>
      </c>
      <c r="G82" t="n">
        <v>5.7</v>
      </c>
      <c r="H82" t="n">
        <v>2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4</v>
      </c>
      <c r="R82" s="2" t="inlineStr">
        <is>
          <t>Svinrot
Svart trolldruva
Blåsippa
Gullviva</t>
        </is>
      </c>
      <c r="S82">
        <f>HYPERLINK("https://klasma.github.io/Logging_ESKILSTUNA/artfynd/A 24111-2021.xlsx", "A 24111-2021")</f>
        <v/>
      </c>
      <c r="T82">
        <f>HYPERLINK("https://klasma.github.io/Logging_ESKILSTUNA/kartor/A 24111-2021.png", "A 24111-2021")</f>
        <v/>
      </c>
      <c r="V82">
        <f>HYPERLINK("https://klasma.github.io/Logging_ESKILSTUNA/klagomål/A 24111-2021.docx", "A 24111-2021")</f>
        <v/>
      </c>
      <c r="W82">
        <f>HYPERLINK("https://klasma.github.io/Logging_ESKILSTUNA/klagomålsmail/A 24111-2021.docx", "A 24111-2021")</f>
        <v/>
      </c>
      <c r="X82">
        <f>HYPERLINK("https://klasma.github.io/Logging_ESKILSTUNA/tillsyn/A 24111-2021.docx", "A 24111-2021")</f>
        <v/>
      </c>
      <c r="Y82">
        <f>HYPERLINK("https://klasma.github.io/Logging_ESKILSTUNA/tillsynsmail/A 24111-2021.docx", "A 24111-2021")</f>
        <v/>
      </c>
    </row>
    <row r="83" ht="15" customHeight="1">
      <c r="A83" t="inlineStr">
        <is>
          <t>A 38419-2021</t>
        </is>
      </c>
      <c r="B83" s="1" t="n">
        <v>44406</v>
      </c>
      <c r="C83" s="1" t="n">
        <v>45186</v>
      </c>
      <c r="D83" t="inlineStr">
        <is>
          <t>SÖDERMANLANDS LÄN</t>
        </is>
      </c>
      <c r="E83" t="inlineStr">
        <is>
          <t>NYKÖPING</t>
        </is>
      </c>
      <c r="F83" t="inlineStr">
        <is>
          <t>Övriga Aktiebolag</t>
        </is>
      </c>
      <c r="G83" t="n">
        <v>5.9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Treuddsaftonfly
Blåmossa
Plattlummer
Revlummer</t>
        </is>
      </c>
      <c r="S83">
        <f>HYPERLINK("https://klasma.github.io/Logging_NYKOPING/artfynd/A 38419-2021.xlsx", "A 38419-2021")</f>
        <v/>
      </c>
      <c r="T83">
        <f>HYPERLINK("https://klasma.github.io/Logging_NYKOPING/kartor/A 38419-2021.png", "A 38419-2021")</f>
        <v/>
      </c>
      <c r="V83">
        <f>HYPERLINK("https://klasma.github.io/Logging_NYKOPING/klagomål/A 38419-2021.docx", "A 38419-2021")</f>
        <v/>
      </c>
      <c r="W83">
        <f>HYPERLINK("https://klasma.github.io/Logging_NYKOPING/klagomålsmail/A 38419-2021.docx", "A 38419-2021")</f>
        <v/>
      </c>
      <c r="X83">
        <f>HYPERLINK("https://klasma.github.io/Logging_NYKOPING/tillsyn/A 38419-2021.docx", "A 38419-2021")</f>
        <v/>
      </c>
      <c r="Y83">
        <f>HYPERLINK("https://klasma.github.io/Logging_NYKOPING/tillsynsmail/A 38419-2021.docx", "A 38419-2021")</f>
        <v/>
      </c>
    </row>
    <row r="84" ht="15" customHeight="1">
      <c r="A84" t="inlineStr">
        <is>
          <t>A 47102-2021</t>
        </is>
      </c>
      <c r="B84" s="1" t="n">
        <v>44446</v>
      </c>
      <c r="C84" s="1" t="n">
        <v>45186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3.4</v>
      </c>
      <c r="H84" t="n">
        <v>1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Rävticka
Skogsknipprot
Svart trolldruva
Svavelriska</t>
        </is>
      </c>
      <c r="S84">
        <f>HYPERLINK("https://klasma.github.io/Logging_NYKOPING/artfynd/A 47102-2021.xlsx", "A 47102-2021")</f>
        <v/>
      </c>
      <c r="T84">
        <f>HYPERLINK("https://klasma.github.io/Logging_NYKOPING/kartor/A 47102-2021.png", "A 47102-2021")</f>
        <v/>
      </c>
      <c r="V84">
        <f>HYPERLINK("https://klasma.github.io/Logging_NYKOPING/klagomål/A 47102-2021.docx", "A 47102-2021")</f>
        <v/>
      </c>
      <c r="W84">
        <f>HYPERLINK("https://klasma.github.io/Logging_NYKOPING/klagomålsmail/A 47102-2021.docx", "A 47102-2021")</f>
        <v/>
      </c>
      <c r="X84">
        <f>HYPERLINK("https://klasma.github.io/Logging_NYKOPING/tillsyn/A 47102-2021.docx", "A 47102-2021")</f>
        <v/>
      </c>
      <c r="Y84">
        <f>HYPERLINK("https://klasma.github.io/Logging_NYKOPING/tillsynsmail/A 47102-2021.docx", "A 47102-2021")</f>
        <v/>
      </c>
    </row>
    <row r="85" ht="15" customHeight="1">
      <c r="A85" t="inlineStr">
        <is>
          <t>A 48790-2021</t>
        </is>
      </c>
      <c r="B85" s="1" t="n">
        <v>44452</v>
      </c>
      <c r="C85" s="1" t="n">
        <v>45186</v>
      </c>
      <c r="D85" t="inlineStr">
        <is>
          <t>SÖDERMANLANDS LÄN</t>
        </is>
      </c>
      <c r="E85" t="inlineStr">
        <is>
          <t>FLEN</t>
        </is>
      </c>
      <c r="F85" t="inlineStr">
        <is>
          <t>Holmen skog AB</t>
        </is>
      </c>
      <c r="G85" t="n">
        <v>1.8</v>
      </c>
      <c r="H85" t="n">
        <v>0</v>
      </c>
      <c r="I85" t="n">
        <v>1</v>
      </c>
      <c r="J85" t="n">
        <v>3</v>
      </c>
      <c r="K85" t="n">
        <v>0</v>
      </c>
      <c r="L85" t="n">
        <v>0</v>
      </c>
      <c r="M85" t="n">
        <v>0</v>
      </c>
      <c r="N85" t="n">
        <v>0</v>
      </c>
      <c r="O85" t="n">
        <v>3</v>
      </c>
      <c r="P85" t="n">
        <v>0</v>
      </c>
      <c r="Q85" t="n">
        <v>4</v>
      </c>
      <c r="R85" s="2" t="inlineStr">
        <is>
          <t>Skogsklocka
Vippärt
Ängsskära
Underviol</t>
        </is>
      </c>
      <c r="S85">
        <f>HYPERLINK("https://klasma.github.io/Logging_FLEN/artfynd/A 48790-2021.xlsx", "A 48790-2021")</f>
        <v/>
      </c>
      <c r="T85">
        <f>HYPERLINK("https://klasma.github.io/Logging_FLEN/kartor/A 48790-2021.png", "A 48790-2021")</f>
        <v/>
      </c>
      <c r="V85">
        <f>HYPERLINK("https://klasma.github.io/Logging_FLEN/klagomål/A 48790-2021.docx", "A 48790-2021")</f>
        <v/>
      </c>
      <c r="W85">
        <f>HYPERLINK("https://klasma.github.io/Logging_FLEN/klagomålsmail/A 48790-2021.docx", "A 48790-2021")</f>
        <v/>
      </c>
      <c r="X85">
        <f>HYPERLINK("https://klasma.github.io/Logging_FLEN/tillsyn/A 48790-2021.docx", "A 48790-2021")</f>
        <v/>
      </c>
      <c r="Y85">
        <f>HYPERLINK("https://klasma.github.io/Logging_FLEN/tillsynsmail/A 48790-2021.docx", "A 48790-2021")</f>
        <v/>
      </c>
    </row>
    <row r="86" ht="15" customHeight="1">
      <c r="A86" t="inlineStr">
        <is>
          <t>A 2968-2022</t>
        </is>
      </c>
      <c r="B86" s="1" t="n">
        <v>44581</v>
      </c>
      <c r="C86" s="1" t="n">
        <v>45186</v>
      </c>
      <c r="D86" t="inlineStr">
        <is>
          <t>SÖDERMANLANDS LÄN</t>
        </is>
      </c>
      <c r="E86" t="inlineStr">
        <is>
          <t>ESKILSTUNA</t>
        </is>
      </c>
      <c r="F86" t="inlineStr">
        <is>
          <t>Kommuner</t>
        </is>
      </c>
      <c r="G86" t="n">
        <v>5</v>
      </c>
      <c r="H86" t="n">
        <v>1</v>
      </c>
      <c r="I86" t="n">
        <v>3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4</v>
      </c>
      <c r="R86" s="2" t="inlineStr">
        <is>
          <t>Bronshjon
Dropptaggsvamp
Vedticka
Blåsippa</t>
        </is>
      </c>
      <c r="S86">
        <f>HYPERLINK("https://klasma.github.io/Logging_ESKILSTUNA/artfynd/A 2968-2022.xlsx", "A 2968-2022")</f>
        <v/>
      </c>
      <c r="T86">
        <f>HYPERLINK("https://klasma.github.io/Logging_ESKILSTUNA/kartor/A 2968-2022.png", "A 2968-2022")</f>
        <v/>
      </c>
      <c r="V86">
        <f>HYPERLINK("https://klasma.github.io/Logging_ESKILSTUNA/klagomål/A 2968-2022.docx", "A 2968-2022")</f>
        <v/>
      </c>
      <c r="W86">
        <f>HYPERLINK("https://klasma.github.io/Logging_ESKILSTUNA/klagomålsmail/A 2968-2022.docx", "A 2968-2022")</f>
        <v/>
      </c>
      <c r="X86">
        <f>HYPERLINK("https://klasma.github.io/Logging_ESKILSTUNA/tillsyn/A 2968-2022.docx", "A 2968-2022")</f>
        <v/>
      </c>
      <c r="Y86">
        <f>HYPERLINK("https://klasma.github.io/Logging_ESKILSTUNA/tillsynsmail/A 2968-2022.docx", "A 2968-2022")</f>
        <v/>
      </c>
    </row>
    <row r="87" ht="15" customHeight="1">
      <c r="A87" t="inlineStr">
        <is>
          <t>A 8663-2022</t>
        </is>
      </c>
      <c r="B87" s="1" t="n">
        <v>44613</v>
      </c>
      <c r="C87" s="1" t="n">
        <v>45186</v>
      </c>
      <c r="D87" t="inlineStr">
        <is>
          <t>SÖDERMANLANDS LÄN</t>
        </is>
      </c>
      <c r="E87" t="inlineStr">
        <is>
          <t>NYKÖPING</t>
        </is>
      </c>
      <c r="G87" t="n">
        <v>6.5</v>
      </c>
      <c r="H87" t="n">
        <v>0</v>
      </c>
      <c r="I87" t="n">
        <v>3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4</v>
      </c>
      <c r="R87" s="2" t="inlineStr">
        <is>
          <t>Orange taggsvamp
Blomkålssvamp
Fjällig taggsvamp s.str.
Stubbspretmossa</t>
        </is>
      </c>
      <c r="S87">
        <f>HYPERLINK("https://klasma.github.io/Logging_NYKOPING/artfynd/A 8663-2022.xlsx", "A 8663-2022")</f>
        <v/>
      </c>
      <c r="T87">
        <f>HYPERLINK("https://klasma.github.io/Logging_NYKOPING/kartor/A 8663-2022.png", "A 8663-2022")</f>
        <v/>
      </c>
      <c r="V87">
        <f>HYPERLINK("https://klasma.github.io/Logging_NYKOPING/klagomål/A 8663-2022.docx", "A 8663-2022")</f>
        <v/>
      </c>
      <c r="W87">
        <f>HYPERLINK("https://klasma.github.io/Logging_NYKOPING/klagomålsmail/A 8663-2022.docx", "A 8663-2022")</f>
        <v/>
      </c>
      <c r="X87">
        <f>HYPERLINK("https://klasma.github.io/Logging_NYKOPING/tillsyn/A 8663-2022.docx", "A 8663-2022")</f>
        <v/>
      </c>
      <c r="Y87">
        <f>HYPERLINK("https://klasma.github.io/Logging_NYKOPING/tillsynsmail/A 8663-2022.docx", "A 8663-2022")</f>
        <v/>
      </c>
    </row>
    <row r="88" ht="15" customHeight="1">
      <c r="A88" t="inlineStr">
        <is>
          <t>A 30969-2022</t>
        </is>
      </c>
      <c r="B88" s="1" t="n">
        <v>44768</v>
      </c>
      <c r="C88" s="1" t="n">
        <v>45186</v>
      </c>
      <c r="D88" t="inlineStr">
        <is>
          <t>SÖDERMANLANDS LÄN</t>
        </is>
      </c>
      <c r="E88" t="inlineStr">
        <is>
          <t>ESKILSTUNA</t>
        </is>
      </c>
      <c r="F88" t="inlineStr">
        <is>
          <t>Sveaskog</t>
        </is>
      </c>
      <c r="G88" t="n">
        <v>4</v>
      </c>
      <c r="H88" t="n">
        <v>3</v>
      </c>
      <c r="I88" t="n">
        <v>1</v>
      </c>
      <c r="J88" t="n">
        <v>2</v>
      </c>
      <c r="K88" t="n">
        <v>1</v>
      </c>
      <c r="L88" t="n">
        <v>0</v>
      </c>
      <c r="M88" t="n">
        <v>0</v>
      </c>
      <c r="N88" t="n">
        <v>0</v>
      </c>
      <c r="O88" t="n">
        <v>3</v>
      </c>
      <c r="P88" t="n">
        <v>1</v>
      </c>
      <c r="Q88" t="n">
        <v>4</v>
      </c>
      <c r="R88" s="2" t="inlineStr">
        <is>
          <t>Stare
Havsörn
Spillkråka
Hasselticka</t>
        </is>
      </c>
      <c r="S88">
        <f>HYPERLINK("https://klasma.github.io/Logging_ESKILSTUNA/artfynd/A 30969-2022.xlsx", "A 30969-2022")</f>
        <v/>
      </c>
      <c r="T88">
        <f>HYPERLINK("https://klasma.github.io/Logging_ESKILSTUNA/kartor/A 30969-2022.png", "A 30969-2022")</f>
        <v/>
      </c>
      <c r="V88">
        <f>HYPERLINK("https://klasma.github.io/Logging_ESKILSTUNA/klagomål/A 30969-2022.docx", "A 30969-2022")</f>
        <v/>
      </c>
      <c r="W88">
        <f>HYPERLINK("https://klasma.github.io/Logging_ESKILSTUNA/klagomålsmail/A 30969-2022.docx", "A 30969-2022")</f>
        <v/>
      </c>
      <c r="X88">
        <f>HYPERLINK("https://klasma.github.io/Logging_ESKILSTUNA/tillsyn/A 30969-2022.docx", "A 30969-2022")</f>
        <v/>
      </c>
      <c r="Y88">
        <f>HYPERLINK("https://klasma.github.io/Logging_ESKILSTUNA/tillsynsmail/A 30969-2022.docx", "A 30969-2022")</f>
        <v/>
      </c>
    </row>
    <row r="89" ht="15" customHeight="1">
      <c r="A89" t="inlineStr">
        <is>
          <t>A 33699-2022</t>
        </is>
      </c>
      <c r="B89" s="1" t="n">
        <v>44789</v>
      </c>
      <c r="C89" s="1" t="n">
        <v>45186</v>
      </c>
      <c r="D89" t="inlineStr">
        <is>
          <t>SÖDERMANLANDS LÄN</t>
        </is>
      </c>
      <c r="E89" t="inlineStr">
        <is>
          <t>ESKILSTUNA</t>
        </is>
      </c>
      <c r="G89" t="n">
        <v>6.5</v>
      </c>
      <c r="H89" t="n">
        <v>3</v>
      </c>
      <c r="I89" t="n">
        <v>1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4</v>
      </c>
      <c r="R89" s="2" t="inlineStr">
        <is>
          <t>Knärot
Mindre märgborre
Blåsippa
Mattlummer</t>
        </is>
      </c>
      <c r="S89">
        <f>HYPERLINK("https://klasma.github.io/Logging_ESKILSTUNA/artfynd/A 33699-2022.xlsx", "A 33699-2022")</f>
        <v/>
      </c>
      <c r="T89">
        <f>HYPERLINK("https://klasma.github.io/Logging_ESKILSTUNA/kartor/A 33699-2022.png", "A 33699-2022")</f>
        <v/>
      </c>
      <c r="U89">
        <f>HYPERLINK("https://klasma.github.io/Logging_ESKILSTUNA/knärot/A 33699-2022.png", "A 33699-2022")</f>
        <v/>
      </c>
      <c r="V89">
        <f>HYPERLINK("https://klasma.github.io/Logging_ESKILSTUNA/klagomål/A 33699-2022.docx", "A 33699-2022")</f>
        <v/>
      </c>
      <c r="W89">
        <f>HYPERLINK("https://klasma.github.io/Logging_ESKILSTUNA/klagomålsmail/A 33699-2022.docx", "A 33699-2022")</f>
        <v/>
      </c>
      <c r="X89">
        <f>HYPERLINK("https://klasma.github.io/Logging_ESKILSTUNA/tillsyn/A 33699-2022.docx", "A 33699-2022")</f>
        <v/>
      </c>
      <c r="Y89">
        <f>HYPERLINK("https://klasma.github.io/Logging_ESKILSTUNA/tillsynsmail/A 33699-2022.docx", "A 33699-2022")</f>
        <v/>
      </c>
    </row>
    <row r="90" ht="15" customHeight="1">
      <c r="A90" t="inlineStr">
        <is>
          <t>A 4219-2023</t>
        </is>
      </c>
      <c r="B90" s="1" t="n">
        <v>44953</v>
      </c>
      <c r="C90" s="1" t="n">
        <v>45186</v>
      </c>
      <c r="D90" t="inlineStr">
        <is>
          <t>SÖDERMANLANDS LÄN</t>
        </is>
      </c>
      <c r="E90" t="inlineStr">
        <is>
          <t>ESKILSTUNA</t>
        </is>
      </c>
      <c r="F90" t="inlineStr">
        <is>
          <t>Kyrkan</t>
        </is>
      </c>
      <c r="G90" t="n">
        <v>0.6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Leptoporus erubescens
Talltita
Mindre märgborre</t>
        </is>
      </c>
      <c r="S90">
        <f>HYPERLINK("https://klasma.github.io/Logging_ESKILSTUNA/artfynd/A 4219-2023.xlsx", "A 4219-2023")</f>
        <v/>
      </c>
      <c r="T90">
        <f>HYPERLINK("https://klasma.github.io/Logging_ESKILSTUNA/kartor/A 4219-2023.png", "A 4219-2023")</f>
        <v/>
      </c>
      <c r="U90">
        <f>HYPERLINK("https://klasma.github.io/Logging_ESKILSTUNA/knärot/A 4219-2023.png", "A 4219-2023")</f>
        <v/>
      </c>
      <c r="V90">
        <f>HYPERLINK("https://klasma.github.io/Logging_ESKILSTUNA/klagomål/A 4219-2023.docx", "A 4219-2023")</f>
        <v/>
      </c>
      <c r="W90">
        <f>HYPERLINK("https://klasma.github.io/Logging_ESKILSTUNA/klagomålsmail/A 4219-2023.docx", "A 4219-2023")</f>
        <v/>
      </c>
      <c r="X90">
        <f>HYPERLINK("https://klasma.github.io/Logging_ESKILSTUNA/tillsyn/A 4219-2023.docx", "A 4219-2023")</f>
        <v/>
      </c>
      <c r="Y90">
        <f>HYPERLINK("https://klasma.github.io/Logging_ESKILSTUNA/tillsynsmail/A 4219-2023.docx", "A 4219-2023")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45186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16985-2019.xlsx", "A 16985-2019")</f>
        <v/>
      </c>
      <c r="T91">
        <f>HYPERLINK("https://klasma.github.io/Logging_NYKOPING/kartor/A 16985-2019.png", "A 16985-2019")</f>
        <v/>
      </c>
      <c r="V91">
        <f>HYPERLINK("https://klasma.github.io/Logging_NYKOPING/klagomål/A 16985-2019.docx", "A 16985-2019")</f>
        <v/>
      </c>
      <c r="W91">
        <f>HYPERLINK("https://klasma.github.io/Logging_NYKOPING/klagomålsmail/A 16985-2019.docx", "A 16985-2019")</f>
        <v/>
      </c>
      <c r="X91">
        <f>HYPERLINK("https://klasma.github.io/Logging_NYKOPING/tillsyn/A 16985-2019.docx", "A 16985-2019")</f>
        <v/>
      </c>
      <c r="Y91">
        <f>HYPERLINK("https://klasma.github.io/Logging_NYKOPING/tillsynsmail/A 16985-2019.docx", "A 16985-2019")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45186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34145-2019.xlsx", "A 34145-2019")</f>
        <v/>
      </c>
      <c r="T92">
        <f>HYPERLINK("https://klasma.github.io/Logging_STRANGNAS/kartor/A 34145-2019.png", "A 34145-2019")</f>
        <v/>
      </c>
      <c r="U92">
        <f>HYPERLINK("https://klasma.github.io/Logging_STRANGNAS/knärot/A 34145-2019.png", "A 34145-2019")</f>
        <v/>
      </c>
      <c r="V92">
        <f>HYPERLINK("https://klasma.github.io/Logging_STRANGNAS/klagomål/A 34145-2019.docx", "A 34145-2019")</f>
        <v/>
      </c>
      <c r="W92">
        <f>HYPERLINK("https://klasma.github.io/Logging_STRANGNAS/klagomålsmail/A 34145-2019.docx", "A 34145-2019")</f>
        <v/>
      </c>
      <c r="X92">
        <f>HYPERLINK("https://klasma.github.io/Logging_STRANGNAS/tillsyn/A 34145-2019.docx", "A 34145-2019")</f>
        <v/>
      </c>
      <c r="Y92">
        <f>HYPERLINK("https://klasma.github.io/Logging_STRANGNAS/tillsynsmail/A 34145-2019.docx", "A 34145-2019")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45186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36133-2019.xlsx", "A 36133-2019")</f>
        <v/>
      </c>
      <c r="T93">
        <f>HYPERLINK("https://klasma.github.io/Logging_FLEN/kartor/A 36133-2019.png", "A 36133-2019")</f>
        <v/>
      </c>
      <c r="V93">
        <f>HYPERLINK("https://klasma.github.io/Logging_FLEN/klagomål/A 36133-2019.docx", "A 36133-2019")</f>
        <v/>
      </c>
      <c r="W93">
        <f>HYPERLINK("https://klasma.github.io/Logging_FLEN/klagomålsmail/A 36133-2019.docx", "A 36133-2019")</f>
        <v/>
      </c>
      <c r="X93">
        <f>HYPERLINK("https://klasma.github.io/Logging_FLEN/tillsyn/A 36133-2019.docx", "A 36133-2019")</f>
        <v/>
      </c>
      <c r="Y93">
        <f>HYPERLINK("https://klasma.github.io/Logging_FLEN/tillsynsmail/A 36133-2019.docx", "A 36133-2019")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45186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38735-2019.xlsx", "A 38735-2019")</f>
        <v/>
      </c>
      <c r="T94">
        <f>HYPERLINK("https://klasma.github.io/Logging_NYKOPING/kartor/A 38735-2019.png", "A 38735-2019")</f>
        <v/>
      </c>
      <c r="V94">
        <f>HYPERLINK("https://klasma.github.io/Logging_NYKOPING/klagomål/A 38735-2019.docx", "A 38735-2019")</f>
        <v/>
      </c>
      <c r="W94">
        <f>HYPERLINK("https://klasma.github.io/Logging_NYKOPING/klagomålsmail/A 38735-2019.docx", "A 38735-2019")</f>
        <v/>
      </c>
      <c r="X94">
        <f>HYPERLINK("https://klasma.github.io/Logging_NYKOPING/tillsyn/A 38735-2019.docx", "A 38735-2019")</f>
        <v/>
      </c>
      <c r="Y94">
        <f>HYPERLINK("https://klasma.github.io/Logging_NYKOPING/tillsynsmail/A 38735-2019.docx", "A 38735-2019")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45186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43401-2019.xlsx", "A 43401-2019")</f>
        <v/>
      </c>
      <c r="T95">
        <f>HYPERLINK("https://klasma.github.io/Logging_ESKILSTUNA/kartor/A 43401-2019.png", "A 43401-2019")</f>
        <v/>
      </c>
      <c r="V95">
        <f>HYPERLINK("https://klasma.github.io/Logging_ESKILSTUNA/klagomål/A 43401-2019.docx", "A 43401-2019")</f>
        <v/>
      </c>
      <c r="W95">
        <f>HYPERLINK("https://klasma.github.io/Logging_ESKILSTUNA/klagomålsmail/A 43401-2019.docx", "A 43401-2019")</f>
        <v/>
      </c>
      <c r="X95">
        <f>HYPERLINK("https://klasma.github.io/Logging_ESKILSTUNA/tillsyn/A 43401-2019.docx", "A 43401-2019")</f>
        <v/>
      </c>
      <c r="Y95">
        <f>HYPERLINK("https://klasma.github.io/Logging_ESKILSTUNA/tillsynsmail/A 43401-2019.docx", "A 43401-2019")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45186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51649-2019.xlsx", "A 51649-2019")</f>
        <v/>
      </c>
      <c r="T96">
        <f>HYPERLINK("https://klasma.github.io/Logging_ESKILSTUNA/kartor/A 51649-2019.png", "A 51649-2019")</f>
        <v/>
      </c>
      <c r="U96">
        <f>HYPERLINK("https://klasma.github.io/Logging_ESKILSTUNA/knärot/A 51649-2019.png", "A 51649-2019")</f>
        <v/>
      </c>
      <c r="V96">
        <f>HYPERLINK("https://klasma.github.io/Logging_ESKILSTUNA/klagomål/A 51649-2019.docx", "A 51649-2019")</f>
        <v/>
      </c>
      <c r="W96">
        <f>HYPERLINK("https://klasma.github.io/Logging_ESKILSTUNA/klagomålsmail/A 51649-2019.docx", "A 51649-2019")</f>
        <v/>
      </c>
      <c r="X96">
        <f>HYPERLINK("https://klasma.github.io/Logging_ESKILSTUNA/tillsyn/A 51649-2019.docx", "A 51649-2019")</f>
        <v/>
      </c>
      <c r="Y96">
        <f>HYPERLINK("https://klasma.github.io/Logging_ESKILSTUNA/tillsynsmail/A 51649-2019.docx", "A 51649-2019")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45186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1892-2020.xlsx", "A 1892-2020")</f>
        <v/>
      </c>
      <c r="T97">
        <f>HYPERLINK("https://klasma.github.io/Logging_NYKOPING/kartor/A 1892-2020.png", "A 1892-2020")</f>
        <v/>
      </c>
      <c r="V97">
        <f>HYPERLINK("https://klasma.github.io/Logging_NYKOPING/klagomål/A 1892-2020.docx", "A 1892-2020")</f>
        <v/>
      </c>
      <c r="W97">
        <f>HYPERLINK("https://klasma.github.io/Logging_NYKOPING/klagomålsmail/A 1892-2020.docx", "A 1892-2020")</f>
        <v/>
      </c>
      <c r="X97">
        <f>HYPERLINK("https://klasma.github.io/Logging_NYKOPING/tillsyn/A 1892-2020.docx", "A 1892-2020")</f>
        <v/>
      </c>
      <c r="Y97">
        <f>HYPERLINK("https://klasma.github.io/Logging_NYKOPING/tillsynsmail/A 1892-2020.docx", "A 1892-2020")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45186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14667-2020.xlsx", "A 14667-2020")</f>
        <v/>
      </c>
      <c r="T98">
        <f>HYPERLINK("https://klasma.github.io/Logging_NYKOPING/kartor/A 14667-2020.png", "A 14667-2020")</f>
        <v/>
      </c>
      <c r="V98">
        <f>HYPERLINK("https://klasma.github.io/Logging_NYKOPING/klagomål/A 14667-2020.docx", "A 14667-2020")</f>
        <v/>
      </c>
      <c r="W98">
        <f>HYPERLINK("https://klasma.github.io/Logging_NYKOPING/klagomålsmail/A 14667-2020.docx", "A 14667-2020")</f>
        <v/>
      </c>
      <c r="X98">
        <f>HYPERLINK("https://klasma.github.io/Logging_NYKOPING/tillsyn/A 14667-2020.docx", "A 14667-2020")</f>
        <v/>
      </c>
      <c r="Y98">
        <f>HYPERLINK("https://klasma.github.io/Logging_NYKOPING/tillsynsmail/A 14667-2020.docx", "A 14667-2020")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45186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20402-2020.xlsx", "A 20402-2020")</f>
        <v/>
      </c>
      <c r="T99">
        <f>HYPERLINK("https://klasma.github.io/Logging_GNESTA/kartor/A 20402-2020.png", "A 20402-2020")</f>
        <v/>
      </c>
      <c r="V99">
        <f>HYPERLINK("https://klasma.github.io/Logging_GNESTA/klagomål/A 20402-2020.docx", "A 20402-2020")</f>
        <v/>
      </c>
      <c r="W99">
        <f>HYPERLINK("https://klasma.github.io/Logging_GNESTA/klagomålsmail/A 20402-2020.docx", "A 20402-2020")</f>
        <v/>
      </c>
      <c r="X99">
        <f>HYPERLINK("https://klasma.github.io/Logging_GNESTA/tillsyn/A 20402-2020.docx", "A 20402-2020")</f>
        <v/>
      </c>
      <c r="Y99">
        <f>HYPERLINK("https://klasma.github.io/Logging_GNESTA/tillsynsmail/A 20402-2020.docx", "A 20402-2020")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45186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37380-2020.xlsx", "A 37380-2020")</f>
        <v/>
      </c>
      <c r="T100">
        <f>HYPERLINK("https://klasma.github.io/Logging_STRANGNAS/kartor/A 37380-2020.png", "A 37380-2020")</f>
        <v/>
      </c>
      <c r="V100">
        <f>HYPERLINK("https://klasma.github.io/Logging_STRANGNAS/klagomål/A 37380-2020.docx", "A 37380-2020")</f>
        <v/>
      </c>
      <c r="W100">
        <f>HYPERLINK("https://klasma.github.io/Logging_STRANGNAS/klagomålsmail/A 37380-2020.docx", "A 37380-2020")</f>
        <v/>
      </c>
      <c r="X100">
        <f>HYPERLINK("https://klasma.github.io/Logging_STRANGNAS/tillsyn/A 37380-2020.docx", "A 37380-2020")</f>
        <v/>
      </c>
      <c r="Y100">
        <f>HYPERLINK("https://klasma.github.io/Logging_STRANGNAS/tillsynsmail/A 37380-2020.docx", "A 37380-2020")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45186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41793-2020.xlsx", "A 41793-2020")</f>
        <v/>
      </c>
      <c r="T101">
        <f>HYPERLINK("https://klasma.github.io/Logging_FLEN/kartor/A 41793-2020.png", "A 41793-2020")</f>
        <v/>
      </c>
      <c r="V101">
        <f>HYPERLINK("https://klasma.github.io/Logging_FLEN/klagomål/A 41793-2020.docx", "A 41793-2020")</f>
        <v/>
      </c>
      <c r="W101">
        <f>HYPERLINK("https://klasma.github.io/Logging_FLEN/klagomålsmail/A 41793-2020.docx", "A 41793-2020")</f>
        <v/>
      </c>
      <c r="X101">
        <f>HYPERLINK("https://klasma.github.io/Logging_FLEN/tillsyn/A 41793-2020.docx", "A 41793-2020")</f>
        <v/>
      </c>
      <c r="Y101">
        <f>HYPERLINK("https://klasma.github.io/Logging_FLEN/tillsynsmail/A 41793-2020.docx", "A 41793-2020")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45186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45296-2020.xlsx", "A 45296-2020")</f>
        <v/>
      </c>
      <c r="T102">
        <f>HYPERLINK("https://klasma.github.io/Logging_TROSA/kartor/A 45296-2020.png", "A 45296-2020")</f>
        <v/>
      </c>
      <c r="V102">
        <f>HYPERLINK("https://klasma.github.io/Logging_TROSA/klagomål/A 45296-2020.docx", "A 45296-2020")</f>
        <v/>
      </c>
      <c r="W102">
        <f>HYPERLINK("https://klasma.github.io/Logging_TROSA/klagomålsmail/A 45296-2020.docx", "A 45296-2020")</f>
        <v/>
      </c>
      <c r="X102">
        <f>HYPERLINK("https://klasma.github.io/Logging_TROSA/tillsyn/A 45296-2020.docx", "A 45296-2020")</f>
        <v/>
      </c>
      <c r="Y102">
        <f>HYPERLINK("https://klasma.github.io/Logging_TROSA/tillsynsmail/A 45296-2020.docx", "A 45296-2020")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45186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57180-2020.xlsx", "A 57180-2020")</f>
        <v/>
      </c>
      <c r="T103">
        <f>HYPERLINK("https://klasma.github.io/Logging_ESKILSTUNA/kartor/A 57180-2020.png", "A 57180-2020")</f>
        <v/>
      </c>
      <c r="V103">
        <f>HYPERLINK("https://klasma.github.io/Logging_ESKILSTUNA/klagomål/A 57180-2020.docx", "A 57180-2020")</f>
        <v/>
      </c>
      <c r="W103">
        <f>HYPERLINK("https://klasma.github.io/Logging_ESKILSTUNA/klagomålsmail/A 57180-2020.docx", "A 57180-2020")</f>
        <v/>
      </c>
      <c r="X103">
        <f>HYPERLINK("https://klasma.github.io/Logging_ESKILSTUNA/tillsyn/A 57180-2020.docx", "A 57180-2020")</f>
        <v/>
      </c>
      <c r="Y103">
        <f>HYPERLINK("https://klasma.github.io/Logging_ESKILSTUNA/tillsynsmail/A 57180-2020.docx", "A 57180-2020")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45186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66048-2020.xlsx", "A 66048-2020")</f>
        <v/>
      </c>
      <c r="T104">
        <f>HYPERLINK("https://klasma.github.io/Logging_STRANGNAS/kartor/A 66048-2020.png", "A 66048-2020")</f>
        <v/>
      </c>
      <c r="V104">
        <f>HYPERLINK("https://klasma.github.io/Logging_STRANGNAS/klagomål/A 66048-2020.docx", "A 66048-2020")</f>
        <v/>
      </c>
      <c r="W104">
        <f>HYPERLINK("https://klasma.github.io/Logging_STRANGNAS/klagomålsmail/A 66048-2020.docx", "A 66048-2020")</f>
        <v/>
      </c>
      <c r="X104">
        <f>HYPERLINK("https://klasma.github.io/Logging_STRANGNAS/tillsyn/A 66048-2020.docx", "A 66048-2020")</f>
        <v/>
      </c>
      <c r="Y104">
        <f>HYPERLINK("https://klasma.github.io/Logging_STRANGNAS/tillsynsmail/A 66048-2020.docx", "A 66048-2020")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45186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15323-2021.xlsx", "A 15323-2021")</f>
        <v/>
      </c>
      <c r="T105">
        <f>HYPERLINK("https://klasma.github.io/Logging_ESKILSTUNA/kartor/A 15323-2021.png", "A 15323-2021")</f>
        <v/>
      </c>
      <c r="U105">
        <f>HYPERLINK("https://klasma.github.io/Logging_ESKILSTUNA/knärot/A 15323-2021.png", "A 15323-2021")</f>
        <v/>
      </c>
      <c r="V105">
        <f>HYPERLINK("https://klasma.github.io/Logging_ESKILSTUNA/klagomål/A 15323-2021.docx", "A 15323-2021")</f>
        <v/>
      </c>
      <c r="W105">
        <f>HYPERLINK("https://klasma.github.io/Logging_ESKILSTUNA/klagomålsmail/A 15323-2021.docx", "A 15323-2021")</f>
        <v/>
      </c>
      <c r="X105">
        <f>HYPERLINK("https://klasma.github.io/Logging_ESKILSTUNA/tillsyn/A 15323-2021.docx", "A 15323-2021")</f>
        <v/>
      </c>
      <c r="Y105">
        <f>HYPERLINK("https://klasma.github.io/Logging_ESKILSTUNA/tillsynsmail/A 15323-2021.docx", "A 15323-2021")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45186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43704-2021.xlsx", "A 43704-2021")</f>
        <v/>
      </c>
      <c r="T106">
        <f>HYPERLINK("https://klasma.github.io/Logging_VINGAKER/kartor/A 43704-2021.png", "A 43704-2021")</f>
        <v/>
      </c>
      <c r="V106">
        <f>HYPERLINK("https://klasma.github.io/Logging_VINGAKER/klagomål/A 43704-2021.docx", "A 43704-2021")</f>
        <v/>
      </c>
      <c r="W106">
        <f>HYPERLINK("https://klasma.github.io/Logging_VINGAKER/klagomålsmail/A 43704-2021.docx", "A 43704-2021")</f>
        <v/>
      </c>
      <c r="X106">
        <f>HYPERLINK("https://klasma.github.io/Logging_VINGAKER/tillsyn/A 43704-2021.docx", "A 43704-2021")</f>
        <v/>
      </c>
      <c r="Y106">
        <f>HYPERLINK("https://klasma.github.io/Logging_VINGAKER/tillsynsmail/A 43704-2021.docx", "A 43704-2021")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45186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55963-2021.xlsx", "A 55963-2021")</f>
        <v/>
      </c>
      <c r="T107">
        <f>HYPERLINK("https://klasma.github.io/Logging_NYKOPING/kartor/A 55963-2021.png", "A 55963-2021")</f>
        <v/>
      </c>
      <c r="V107">
        <f>HYPERLINK("https://klasma.github.io/Logging_NYKOPING/klagomål/A 55963-2021.docx", "A 55963-2021")</f>
        <v/>
      </c>
      <c r="W107">
        <f>HYPERLINK("https://klasma.github.io/Logging_NYKOPING/klagomålsmail/A 55963-2021.docx", "A 55963-2021")</f>
        <v/>
      </c>
      <c r="X107">
        <f>HYPERLINK("https://klasma.github.io/Logging_NYKOPING/tillsyn/A 55963-2021.docx", "A 55963-2021")</f>
        <v/>
      </c>
      <c r="Y107">
        <f>HYPERLINK("https://klasma.github.io/Logging_NYKOPING/tillsynsmail/A 55963-2021.docx", "A 55963-2021")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45186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2203-2022.xlsx", "A 2203-2022")</f>
        <v/>
      </c>
      <c r="T108">
        <f>HYPERLINK("https://klasma.github.io/Logging_FLEN/kartor/A 2203-2022.png", "A 2203-2022")</f>
        <v/>
      </c>
      <c r="U108">
        <f>HYPERLINK("https://klasma.github.io/Logging_FLEN/knärot/A 2203-2022.png", "A 2203-2022")</f>
        <v/>
      </c>
      <c r="V108">
        <f>HYPERLINK("https://klasma.github.io/Logging_FLEN/klagomål/A 2203-2022.docx", "A 2203-2022")</f>
        <v/>
      </c>
      <c r="W108">
        <f>HYPERLINK("https://klasma.github.io/Logging_FLEN/klagomålsmail/A 2203-2022.docx", "A 2203-2022")</f>
        <v/>
      </c>
      <c r="X108">
        <f>HYPERLINK("https://klasma.github.io/Logging_FLEN/tillsyn/A 2203-2022.docx", "A 2203-2022")</f>
        <v/>
      </c>
      <c r="Y108">
        <f>HYPERLINK("https://klasma.github.io/Logging_FLEN/tillsynsmail/A 2203-2022.docx", "A 2203-2022")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45186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14098-2022.xlsx", "A 14098-2022")</f>
        <v/>
      </c>
      <c r="T109">
        <f>HYPERLINK("https://klasma.github.io/Logging_VINGAKER/kartor/A 14098-2022.png", "A 14098-2022")</f>
        <v/>
      </c>
      <c r="V109">
        <f>HYPERLINK("https://klasma.github.io/Logging_VINGAKER/klagomål/A 14098-2022.docx", "A 14098-2022")</f>
        <v/>
      </c>
      <c r="W109">
        <f>HYPERLINK("https://klasma.github.io/Logging_VINGAKER/klagomålsmail/A 14098-2022.docx", "A 14098-2022")</f>
        <v/>
      </c>
      <c r="X109">
        <f>HYPERLINK("https://klasma.github.io/Logging_VINGAKER/tillsyn/A 14098-2022.docx", "A 14098-2022")</f>
        <v/>
      </c>
      <c r="Y109">
        <f>HYPERLINK("https://klasma.github.io/Logging_VINGAKER/tillsynsmail/A 14098-2022.docx", "A 14098-2022")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45186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15060-2022.xlsx", "A 15060-2022")</f>
        <v/>
      </c>
      <c r="T110">
        <f>HYPERLINK("https://klasma.github.io/Logging_ESKILSTUNA/kartor/A 15060-2022.png", "A 15060-2022")</f>
        <v/>
      </c>
      <c r="V110">
        <f>HYPERLINK("https://klasma.github.io/Logging_ESKILSTUNA/klagomål/A 15060-2022.docx", "A 15060-2022")</f>
        <v/>
      </c>
      <c r="W110">
        <f>HYPERLINK("https://klasma.github.io/Logging_ESKILSTUNA/klagomålsmail/A 15060-2022.docx", "A 15060-2022")</f>
        <v/>
      </c>
      <c r="X110">
        <f>HYPERLINK("https://klasma.github.io/Logging_ESKILSTUNA/tillsyn/A 15060-2022.docx", "A 15060-2022")</f>
        <v/>
      </c>
      <c r="Y110">
        <f>HYPERLINK("https://klasma.github.io/Logging_ESKILSTUNA/tillsynsmail/A 15060-2022.docx", "A 15060-2022")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45186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20124-2022.xlsx", "A 20124-2022")</f>
        <v/>
      </c>
      <c r="T111">
        <f>HYPERLINK("https://klasma.github.io/Logging_GNESTA/kartor/A 20124-2022.png", "A 20124-2022")</f>
        <v/>
      </c>
      <c r="V111">
        <f>HYPERLINK("https://klasma.github.io/Logging_GNESTA/klagomål/A 20124-2022.docx", "A 20124-2022")</f>
        <v/>
      </c>
      <c r="W111">
        <f>HYPERLINK("https://klasma.github.io/Logging_GNESTA/klagomålsmail/A 20124-2022.docx", "A 20124-2022")</f>
        <v/>
      </c>
      <c r="X111">
        <f>HYPERLINK("https://klasma.github.io/Logging_GNESTA/tillsyn/A 20124-2022.docx", "A 20124-2022")</f>
        <v/>
      </c>
      <c r="Y111">
        <f>HYPERLINK("https://klasma.github.io/Logging_GNESTA/tillsynsmail/A 20124-2022.docx", "A 20124-2022")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45186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21966-2022.xlsx", "A 21966-2022")</f>
        <v/>
      </c>
      <c r="T112">
        <f>HYPERLINK("https://klasma.github.io/Logging_STRANGNAS/kartor/A 21966-2022.png", "A 21966-2022")</f>
        <v/>
      </c>
      <c r="V112">
        <f>HYPERLINK("https://klasma.github.io/Logging_STRANGNAS/klagomål/A 21966-2022.docx", "A 21966-2022")</f>
        <v/>
      </c>
      <c r="W112">
        <f>HYPERLINK("https://klasma.github.io/Logging_STRANGNAS/klagomålsmail/A 21966-2022.docx", "A 21966-2022")</f>
        <v/>
      </c>
      <c r="X112">
        <f>HYPERLINK("https://klasma.github.io/Logging_STRANGNAS/tillsyn/A 21966-2022.docx", "A 21966-2022")</f>
        <v/>
      </c>
      <c r="Y112">
        <f>HYPERLINK("https://klasma.github.io/Logging_STRANGNAS/tillsynsmail/A 21966-2022.docx", "A 21966-2022")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45186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60599-2022.xlsx", "A 60599-2022")</f>
        <v/>
      </c>
      <c r="T113">
        <f>HYPERLINK("https://klasma.github.io/Logging_VINGAKER/kartor/A 60599-2022.png", "A 60599-2022")</f>
        <v/>
      </c>
      <c r="V113">
        <f>HYPERLINK("https://klasma.github.io/Logging_VINGAKER/klagomål/A 60599-2022.docx", "A 60599-2022")</f>
        <v/>
      </c>
      <c r="W113">
        <f>HYPERLINK("https://klasma.github.io/Logging_VINGAKER/klagomålsmail/A 60599-2022.docx", "A 60599-2022")</f>
        <v/>
      </c>
      <c r="X113">
        <f>HYPERLINK("https://klasma.github.io/Logging_VINGAKER/tillsyn/A 60599-2022.docx", "A 60599-2022")</f>
        <v/>
      </c>
      <c r="Y113">
        <f>HYPERLINK("https://klasma.github.io/Logging_VINGAKER/tillsynsmail/A 60599-2022.docx", "A 60599-2022")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45186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61503-2022.xlsx", "A 61503-2022")</f>
        <v/>
      </c>
      <c r="T114">
        <f>HYPERLINK("https://klasma.github.io/Logging_ESKILSTUNA/kartor/A 61503-2022.png", "A 61503-2022")</f>
        <v/>
      </c>
      <c r="V114">
        <f>HYPERLINK("https://klasma.github.io/Logging_ESKILSTUNA/klagomål/A 61503-2022.docx", "A 61503-2022")</f>
        <v/>
      </c>
      <c r="W114">
        <f>HYPERLINK("https://klasma.github.io/Logging_ESKILSTUNA/klagomålsmail/A 61503-2022.docx", "A 61503-2022")</f>
        <v/>
      </c>
      <c r="X114">
        <f>HYPERLINK("https://klasma.github.io/Logging_ESKILSTUNA/tillsyn/A 61503-2022.docx", "A 61503-2022")</f>
        <v/>
      </c>
      <c r="Y114">
        <f>HYPERLINK("https://klasma.github.io/Logging_ESKILSTUNA/tillsynsmail/A 61503-2022.docx", "A 61503-2022")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45186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4212-2023.xlsx", "A 4212-2023")</f>
        <v/>
      </c>
      <c r="T115">
        <f>HYPERLINK("https://klasma.github.io/Logging_ESKILSTUNA/kartor/A 4212-2023.png", "A 4212-2023")</f>
        <v/>
      </c>
      <c r="U115">
        <f>HYPERLINK("https://klasma.github.io/Logging_ESKILSTUNA/knärot/A 4212-2023.png", "A 4212-2023")</f>
        <v/>
      </c>
      <c r="V115">
        <f>HYPERLINK("https://klasma.github.io/Logging_ESKILSTUNA/klagomål/A 4212-2023.docx", "A 4212-2023")</f>
        <v/>
      </c>
      <c r="W115">
        <f>HYPERLINK("https://klasma.github.io/Logging_ESKILSTUNA/klagomålsmail/A 4212-2023.docx", "A 4212-2023")</f>
        <v/>
      </c>
      <c r="X115">
        <f>HYPERLINK("https://klasma.github.io/Logging_ESKILSTUNA/tillsyn/A 4212-2023.docx", "A 4212-2023")</f>
        <v/>
      </c>
      <c r="Y115">
        <f>HYPERLINK("https://klasma.github.io/Logging_ESKILSTUNA/tillsynsmail/A 4212-2023.docx", "A 4212-2023")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45186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5532-2023.xlsx", "A 5532-2023")</f>
        <v/>
      </c>
      <c r="T116">
        <f>HYPERLINK("https://klasma.github.io/Logging_NYKOPING/kartor/A 5532-2023.png", "A 5532-2023")</f>
        <v/>
      </c>
      <c r="V116">
        <f>HYPERLINK("https://klasma.github.io/Logging_NYKOPING/klagomål/A 5532-2023.docx", "A 5532-2023")</f>
        <v/>
      </c>
      <c r="W116">
        <f>HYPERLINK("https://klasma.github.io/Logging_NYKOPING/klagomålsmail/A 5532-2023.docx", "A 5532-2023")</f>
        <v/>
      </c>
      <c r="X116">
        <f>HYPERLINK("https://klasma.github.io/Logging_NYKOPING/tillsyn/A 5532-2023.docx", "A 5532-2023")</f>
        <v/>
      </c>
      <c r="Y116">
        <f>HYPERLINK("https://klasma.github.io/Logging_NYKOPING/tillsynsmail/A 5532-2023.docx", "A 5532-2023")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45186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7585-2023.xlsx", "A 7585-2023")</f>
        <v/>
      </c>
      <c r="T117">
        <f>HYPERLINK("https://klasma.github.io/Logging_KATRINEHOLM/kartor/A 7585-2023.png", "A 7585-2023")</f>
        <v/>
      </c>
      <c r="V117">
        <f>HYPERLINK("https://klasma.github.io/Logging_KATRINEHOLM/klagomål/A 7585-2023.docx", "A 7585-2023")</f>
        <v/>
      </c>
      <c r="W117">
        <f>HYPERLINK("https://klasma.github.io/Logging_KATRINEHOLM/klagomålsmail/A 7585-2023.docx", "A 7585-2023")</f>
        <v/>
      </c>
      <c r="X117">
        <f>HYPERLINK("https://klasma.github.io/Logging_KATRINEHOLM/tillsyn/A 7585-2023.docx", "A 7585-2023")</f>
        <v/>
      </c>
      <c r="Y117">
        <f>HYPERLINK("https://klasma.github.io/Logging_KATRINEHOLM/tillsynsmail/A 7585-2023.docx", "A 7585-2023")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45186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8757-2023.xlsx", "A 8757-2023")</f>
        <v/>
      </c>
      <c r="T118">
        <f>HYPERLINK("https://klasma.github.io/Logging_ESKILSTUNA/kartor/A 8757-2023.png", "A 8757-2023")</f>
        <v/>
      </c>
      <c r="U118">
        <f>HYPERLINK("https://klasma.github.io/Logging_ESKILSTUNA/knärot/A 8757-2023.png", "A 8757-2023")</f>
        <v/>
      </c>
      <c r="V118">
        <f>HYPERLINK("https://klasma.github.io/Logging_ESKILSTUNA/klagomål/A 8757-2023.docx", "A 8757-2023")</f>
        <v/>
      </c>
      <c r="W118">
        <f>HYPERLINK("https://klasma.github.io/Logging_ESKILSTUNA/klagomålsmail/A 8757-2023.docx", "A 8757-2023")</f>
        <v/>
      </c>
      <c r="X118">
        <f>HYPERLINK("https://klasma.github.io/Logging_ESKILSTUNA/tillsyn/A 8757-2023.docx", "A 8757-2023")</f>
        <v/>
      </c>
      <c r="Y118">
        <f>HYPERLINK("https://klasma.github.io/Logging_ESKILSTUNA/tillsynsmail/A 8757-2023.docx", "A 8757-2023")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45186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13230-2023.xlsx", "A 13230-2023")</f>
        <v/>
      </c>
      <c r="T119">
        <f>HYPERLINK("https://klasma.github.io/Logging_FLEN/kartor/A 13230-2023.png", "A 13230-2023")</f>
        <v/>
      </c>
      <c r="V119">
        <f>HYPERLINK("https://klasma.github.io/Logging_FLEN/klagomål/A 13230-2023.docx", "A 13230-2023")</f>
        <v/>
      </c>
      <c r="W119">
        <f>HYPERLINK("https://klasma.github.io/Logging_FLEN/klagomålsmail/A 13230-2023.docx", "A 13230-2023")</f>
        <v/>
      </c>
      <c r="X119">
        <f>HYPERLINK("https://klasma.github.io/Logging_FLEN/tillsyn/A 13230-2023.docx", "A 13230-2023")</f>
        <v/>
      </c>
      <c r="Y119">
        <f>HYPERLINK("https://klasma.github.io/Logging_FLEN/tillsynsmail/A 13230-2023.docx", "A 13230-2023")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45186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18078-2023.xlsx", "A 18078-2023")</f>
        <v/>
      </c>
      <c r="T120">
        <f>HYPERLINK("https://klasma.github.io/Logging_FLEN/kartor/A 18078-2023.png", "A 18078-2023")</f>
        <v/>
      </c>
      <c r="V120">
        <f>HYPERLINK("https://klasma.github.io/Logging_FLEN/klagomål/A 18078-2023.docx", "A 18078-2023")</f>
        <v/>
      </c>
      <c r="W120">
        <f>HYPERLINK("https://klasma.github.io/Logging_FLEN/klagomålsmail/A 18078-2023.docx", "A 18078-2023")</f>
        <v/>
      </c>
      <c r="X120">
        <f>HYPERLINK("https://klasma.github.io/Logging_FLEN/tillsyn/A 18078-2023.docx", "A 18078-2023")</f>
        <v/>
      </c>
      <c r="Y120">
        <f>HYPERLINK("https://klasma.github.io/Logging_FLEN/tillsynsmail/A 18078-2023.docx", "A 18078-2023")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45186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18968-2023.xlsx", "A 18968-2023")</f>
        <v/>
      </c>
      <c r="T121">
        <f>HYPERLINK("https://klasma.github.io/Logging_ESKILSTUNA/kartor/A 18968-2023.png", "A 18968-2023")</f>
        <v/>
      </c>
      <c r="V121">
        <f>HYPERLINK("https://klasma.github.io/Logging_ESKILSTUNA/klagomål/A 18968-2023.docx", "A 18968-2023")</f>
        <v/>
      </c>
      <c r="W121">
        <f>HYPERLINK("https://klasma.github.io/Logging_ESKILSTUNA/klagomålsmail/A 18968-2023.docx", "A 18968-2023")</f>
        <v/>
      </c>
      <c r="X121">
        <f>HYPERLINK("https://klasma.github.io/Logging_ESKILSTUNA/tillsyn/A 18968-2023.docx", "A 18968-2023")</f>
        <v/>
      </c>
      <c r="Y121">
        <f>HYPERLINK("https://klasma.github.io/Logging_ESKILSTUNA/tillsynsmail/A 18968-2023.docx", "A 18968-2023")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45186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18962-2023.xlsx", "A 18962-2023")</f>
        <v/>
      </c>
      <c r="T122">
        <f>HYPERLINK("https://klasma.github.io/Logging_ESKILSTUNA/kartor/A 18962-2023.png", "A 18962-2023")</f>
        <v/>
      </c>
      <c r="U122">
        <f>HYPERLINK("https://klasma.github.io/Logging_ESKILSTUNA/knärot/A 18962-2023.png", "A 18962-2023")</f>
        <v/>
      </c>
      <c r="V122">
        <f>HYPERLINK("https://klasma.github.io/Logging_ESKILSTUNA/klagomål/A 18962-2023.docx", "A 18962-2023")</f>
        <v/>
      </c>
      <c r="W122">
        <f>HYPERLINK("https://klasma.github.io/Logging_ESKILSTUNA/klagomålsmail/A 18962-2023.docx", "A 18962-2023")</f>
        <v/>
      </c>
      <c r="X122">
        <f>HYPERLINK("https://klasma.github.io/Logging_ESKILSTUNA/tillsyn/A 18962-2023.docx", "A 18962-2023")</f>
        <v/>
      </c>
      <c r="Y122">
        <f>HYPERLINK("https://klasma.github.io/Logging_ESKILSTUNA/tillsynsmail/A 18962-2023.docx", "A 18962-2023")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45186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29138-2023.xlsx", "A 29138-2023")</f>
        <v/>
      </c>
      <c r="T123">
        <f>HYPERLINK("https://klasma.github.io/Logging_FLEN/kartor/A 29138-2023.png", "A 29138-2023")</f>
        <v/>
      </c>
      <c r="V123">
        <f>HYPERLINK("https://klasma.github.io/Logging_FLEN/klagomål/A 29138-2023.docx", "A 29138-2023")</f>
        <v/>
      </c>
      <c r="W123">
        <f>HYPERLINK("https://klasma.github.io/Logging_FLEN/klagomålsmail/A 29138-2023.docx", "A 29138-2023")</f>
        <v/>
      </c>
      <c r="X123">
        <f>HYPERLINK("https://klasma.github.io/Logging_FLEN/tillsyn/A 29138-2023.docx", "A 29138-2023")</f>
        <v/>
      </c>
      <c r="Y123">
        <f>HYPERLINK("https://klasma.github.io/Logging_FLEN/tillsynsmail/A 29138-2023.docx", "A 29138-2023")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45186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34985-2023.xlsx", "A 34985-2023")</f>
        <v/>
      </c>
      <c r="T124">
        <f>HYPERLINK("https://klasma.github.io/Logging_FLEN/kartor/A 34985-2023.png", "A 34985-2023")</f>
        <v/>
      </c>
      <c r="U124">
        <f>HYPERLINK("https://klasma.github.io/Logging_FLEN/knärot/A 34985-2023.png", "A 34985-2023")</f>
        <v/>
      </c>
      <c r="V124">
        <f>HYPERLINK("https://klasma.github.io/Logging_FLEN/klagomål/A 34985-2023.docx", "A 34985-2023")</f>
        <v/>
      </c>
      <c r="W124">
        <f>HYPERLINK("https://klasma.github.io/Logging_FLEN/klagomålsmail/A 34985-2023.docx", "A 34985-2023")</f>
        <v/>
      </c>
      <c r="X124">
        <f>HYPERLINK("https://klasma.github.io/Logging_FLEN/tillsyn/A 34985-2023.docx", "A 34985-2023")</f>
        <v/>
      </c>
      <c r="Y124">
        <f>HYPERLINK("https://klasma.github.io/Logging_FLEN/tillsynsmail/A 34985-2023.docx", "A 34985-2023")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45186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46853-2018.xlsx", "A 46853-2018")</f>
        <v/>
      </c>
      <c r="T125">
        <f>HYPERLINK("https://klasma.github.io/Logging_STRANGNAS/kartor/A 46853-2018.png", "A 46853-2018")</f>
        <v/>
      </c>
      <c r="V125">
        <f>HYPERLINK("https://klasma.github.io/Logging_STRANGNAS/klagomål/A 46853-2018.docx", "A 46853-2018")</f>
        <v/>
      </c>
      <c r="W125">
        <f>HYPERLINK("https://klasma.github.io/Logging_STRANGNAS/klagomålsmail/A 46853-2018.docx", "A 46853-2018")</f>
        <v/>
      </c>
      <c r="X125">
        <f>HYPERLINK("https://klasma.github.io/Logging_STRANGNAS/tillsyn/A 46853-2018.docx", "A 46853-2018")</f>
        <v/>
      </c>
      <c r="Y125">
        <f>HYPERLINK("https://klasma.github.io/Logging_STRANGNAS/tillsynsmail/A 46853-2018.docx", "A 46853-2018")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45186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46863-2018.xlsx", "A 46863-2018")</f>
        <v/>
      </c>
      <c r="T126">
        <f>HYPERLINK("https://klasma.github.io/Logging_STRANGNAS/kartor/A 46863-2018.png", "A 46863-2018")</f>
        <v/>
      </c>
      <c r="V126">
        <f>HYPERLINK("https://klasma.github.io/Logging_STRANGNAS/klagomål/A 46863-2018.docx", "A 46863-2018")</f>
        <v/>
      </c>
      <c r="W126">
        <f>HYPERLINK("https://klasma.github.io/Logging_STRANGNAS/klagomålsmail/A 46863-2018.docx", "A 46863-2018")</f>
        <v/>
      </c>
      <c r="X126">
        <f>HYPERLINK("https://klasma.github.io/Logging_STRANGNAS/tillsyn/A 46863-2018.docx", "A 46863-2018")</f>
        <v/>
      </c>
      <c r="Y126">
        <f>HYPERLINK("https://klasma.github.io/Logging_STRANGNAS/tillsynsmail/A 46863-2018.docx", "A 46863-2018")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45186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64967-2018.xlsx", "A 64967-2018")</f>
        <v/>
      </c>
      <c r="T127">
        <f>HYPERLINK("https://klasma.github.io/Logging_NYKOPING/kartor/A 64967-2018.png", "A 64967-2018")</f>
        <v/>
      </c>
      <c r="V127">
        <f>HYPERLINK("https://klasma.github.io/Logging_NYKOPING/klagomål/A 64967-2018.docx", "A 64967-2018")</f>
        <v/>
      </c>
      <c r="W127">
        <f>HYPERLINK("https://klasma.github.io/Logging_NYKOPING/klagomålsmail/A 64967-2018.docx", "A 64967-2018")</f>
        <v/>
      </c>
      <c r="X127">
        <f>HYPERLINK("https://klasma.github.io/Logging_NYKOPING/tillsyn/A 64967-2018.docx", "A 64967-2018")</f>
        <v/>
      </c>
      <c r="Y127">
        <f>HYPERLINK("https://klasma.github.io/Logging_NYKOPING/tillsynsmail/A 64967-2018.docx", "A 64967-2018")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45186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64968-2018.xlsx", "A 64968-2018")</f>
        <v/>
      </c>
      <c r="T128">
        <f>HYPERLINK("https://klasma.github.io/Logging_NYKOPING/kartor/A 64968-2018.png", "A 64968-2018")</f>
        <v/>
      </c>
      <c r="V128">
        <f>HYPERLINK("https://klasma.github.io/Logging_NYKOPING/klagomål/A 64968-2018.docx", "A 64968-2018")</f>
        <v/>
      </c>
      <c r="W128">
        <f>HYPERLINK("https://klasma.github.io/Logging_NYKOPING/klagomålsmail/A 64968-2018.docx", "A 64968-2018")</f>
        <v/>
      </c>
      <c r="X128">
        <f>HYPERLINK("https://klasma.github.io/Logging_NYKOPING/tillsyn/A 64968-2018.docx", "A 64968-2018")</f>
        <v/>
      </c>
      <c r="Y128">
        <f>HYPERLINK("https://klasma.github.io/Logging_NYKOPING/tillsynsmail/A 64968-2018.docx", "A 64968-2018")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45186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4049-2019.xlsx", "A 4049-2019")</f>
        <v/>
      </c>
      <c r="T129">
        <f>HYPERLINK("https://klasma.github.io/Logging_NYKOPING/kartor/A 4049-2019.png", "A 4049-2019")</f>
        <v/>
      </c>
      <c r="V129">
        <f>HYPERLINK("https://klasma.github.io/Logging_NYKOPING/klagomål/A 4049-2019.docx", "A 4049-2019")</f>
        <v/>
      </c>
      <c r="W129">
        <f>HYPERLINK("https://klasma.github.io/Logging_NYKOPING/klagomålsmail/A 4049-2019.docx", "A 4049-2019")</f>
        <v/>
      </c>
      <c r="X129">
        <f>HYPERLINK("https://klasma.github.io/Logging_NYKOPING/tillsyn/A 4049-2019.docx", "A 4049-2019")</f>
        <v/>
      </c>
      <c r="Y129">
        <f>HYPERLINK("https://klasma.github.io/Logging_NYKOPING/tillsynsmail/A 4049-2019.docx", "A 4049-2019")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45186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15738-2019.xlsx", "A 15738-2019")</f>
        <v/>
      </c>
      <c r="T130">
        <f>HYPERLINK("https://klasma.github.io/Logging_NYKOPING/kartor/A 15738-2019.png", "A 15738-2019")</f>
        <v/>
      </c>
      <c r="V130">
        <f>HYPERLINK("https://klasma.github.io/Logging_NYKOPING/klagomål/A 15738-2019.docx", "A 15738-2019")</f>
        <v/>
      </c>
      <c r="W130">
        <f>HYPERLINK("https://klasma.github.io/Logging_NYKOPING/klagomålsmail/A 15738-2019.docx", "A 15738-2019")</f>
        <v/>
      </c>
      <c r="X130">
        <f>HYPERLINK("https://klasma.github.io/Logging_NYKOPING/tillsyn/A 15738-2019.docx", "A 15738-2019")</f>
        <v/>
      </c>
      <c r="Y130">
        <f>HYPERLINK("https://klasma.github.io/Logging_NYKOPING/tillsynsmail/A 15738-2019.docx", "A 15738-2019")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45186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17136-2019.xlsx", "A 17136-2019")</f>
        <v/>
      </c>
      <c r="T131">
        <f>HYPERLINK("https://klasma.github.io/Logging_ESKILSTUNA/kartor/A 17136-2019.png", "A 17136-2019")</f>
        <v/>
      </c>
      <c r="V131">
        <f>HYPERLINK("https://klasma.github.io/Logging_ESKILSTUNA/klagomål/A 17136-2019.docx", "A 17136-2019")</f>
        <v/>
      </c>
      <c r="W131">
        <f>HYPERLINK("https://klasma.github.io/Logging_ESKILSTUNA/klagomålsmail/A 17136-2019.docx", "A 17136-2019")</f>
        <v/>
      </c>
      <c r="X131">
        <f>HYPERLINK("https://klasma.github.io/Logging_ESKILSTUNA/tillsyn/A 17136-2019.docx", "A 17136-2019")</f>
        <v/>
      </c>
      <c r="Y131">
        <f>HYPERLINK("https://klasma.github.io/Logging_ESKILSTUNA/tillsynsmail/A 17136-2019.docx", "A 17136-2019")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45186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18443-2019.xlsx", "A 18443-2019")</f>
        <v/>
      </c>
      <c r="T132">
        <f>HYPERLINK("https://klasma.github.io/Logging_NYKOPING/kartor/A 18443-2019.png", "A 18443-2019")</f>
        <v/>
      </c>
      <c r="V132">
        <f>HYPERLINK("https://klasma.github.io/Logging_NYKOPING/klagomål/A 18443-2019.docx", "A 18443-2019")</f>
        <v/>
      </c>
      <c r="W132">
        <f>HYPERLINK("https://klasma.github.io/Logging_NYKOPING/klagomålsmail/A 18443-2019.docx", "A 18443-2019")</f>
        <v/>
      </c>
      <c r="X132">
        <f>HYPERLINK("https://klasma.github.io/Logging_NYKOPING/tillsyn/A 18443-2019.docx", "A 18443-2019")</f>
        <v/>
      </c>
      <c r="Y132">
        <f>HYPERLINK("https://klasma.github.io/Logging_NYKOPING/tillsynsmail/A 18443-2019.docx", "A 18443-2019")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45186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28642-2019.xlsx", "A 28642-2019")</f>
        <v/>
      </c>
      <c r="T133">
        <f>HYPERLINK("https://klasma.github.io/Logging_NYKOPING/kartor/A 28642-2019.png", "A 28642-2019")</f>
        <v/>
      </c>
      <c r="V133">
        <f>HYPERLINK("https://klasma.github.io/Logging_NYKOPING/klagomål/A 28642-2019.docx", "A 28642-2019")</f>
        <v/>
      </c>
      <c r="W133">
        <f>HYPERLINK("https://klasma.github.io/Logging_NYKOPING/klagomålsmail/A 28642-2019.docx", "A 28642-2019")</f>
        <v/>
      </c>
      <c r="X133">
        <f>HYPERLINK("https://klasma.github.io/Logging_NYKOPING/tillsyn/A 28642-2019.docx", "A 28642-2019")</f>
        <v/>
      </c>
      <c r="Y133">
        <f>HYPERLINK("https://klasma.github.io/Logging_NYKOPING/tillsynsmail/A 28642-2019.docx", "A 28642-2019")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45186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32879-2019.xlsx", "A 32879-2019")</f>
        <v/>
      </c>
      <c r="T134">
        <f>HYPERLINK("https://klasma.github.io/Logging_FLEN/kartor/A 32879-2019.png", "A 32879-2019")</f>
        <v/>
      </c>
      <c r="V134">
        <f>HYPERLINK("https://klasma.github.io/Logging_FLEN/klagomål/A 32879-2019.docx", "A 32879-2019")</f>
        <v/>
      </c>
      <c r="W134">
        <f>HYPERLINK("https://klasma.github.io/Logging_FLEN/klagomålsmail/A 32879-2019.docx", "A 32879-2019")</f>
        <v/>
      </c>
      <c r="X134">
        <f>HYPERLINK("https://klasma.github.io/Logging_FLEN/tillsyn/A 32879-2019.docx", "A 32879-2019")</f>
        <v/>
      </c>
      <c r="Y134">
        <f>HYPERLINK("https://klasma.github.io/Logging_FLEN/tillsynsmail/A 32879-2019.docx", "A 32879-2019")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45186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37714-2019.xlsx", "A 37714-2019")</f>
        <v/>
      </c>
      <c r="T135">
        <f>HYPERLINK("https://klasma.github.io/Logging_GNESTA/kartor/A 37714-2019.png", "A 37714-2019")</f>
        <v/>
      </c>
      <c r="V135">
        <f>HYPERLINK("https://klasma.github.io/Logging_GNESTA/klagomål/A 37714-2019.docx", "A 37714-2019")</f>
        <v/>
      </c>
      <c r="W135">
        <f>HYPERLINK("https://klasma.github.io/Logging_GNESTA/klagomålsmail/A 37714-2019.docx", "A 37714-2019")</f>
        <v/>
      </c>
      <c r="X135">
        <f>HYPERLINK("https://klasma.github.io/Logging_GNESTA/tillsyn/A 37714-2019.docx", "A 37714-2019")</f>
        <v/>
      </c>
      <c r="Y135">
        <f>HYPERLINK("https://klasma.github.io/Logging_GNESTA/tillsynsmail/A 37714-2019.docx", "A 37714-2019")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45186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41919-2019.xlsx", "A 41919-2019")</f>
        <v/>
      </c>
      <c r="T136">
        <f>HYPERLINK("https://klasma.github.io/Logging_TROSA/kartor/A 41919-2019.png", "A 41919-2019")</f>
        <v/>
      </c>
      <c r="U136">
        <f>HYPERLINK("https://klasma.github.io/Logging_TROSA/knärot/A 41919-2019.png", "A 41919-2019")</f>
        <v/>
      </c>
      <c r="V136">
        <f>HYPERLINK("https://klasma.github.io/Logging_TROSA/klagomål/A 41919-2019.docx", "A 41919-2019")</f>
        <v/>
      </c>
      <c r="W136">
        <f>HYPERLINK("https://klasma.github.io/Logging_TROSA/klagomålsmail/A 41919-2019.docx", "A 41919-2019")</f>
        <v/>
      </c>
      <c r="X136">
        <f>HYPERLINK("https://klasma.github.io/Logging_TROSA/tillsyn/A 41919-2019.docx", "A 41919-2019")</f>
        <v/>
      </c>
      <c r="Y136">
        <f>HYPERLINK("https://klasma.github.io/Logging_TROSA/tillsynsmail/A 41919-2019.docx", "A 41919-2019")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45186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43373-2019.xlsx", "A 43373-2019")</f>
        <v/>
      </c>
      <c r="T137">
        <f>HYPERLINK("https://klasma.github.io/Logging_FLEN/kartor/A 43373-2019.png", "A 43373-2019")</f>
        <v/>
      </c>
      <c r="V137">
        <f>HYPERLINK("https://klasma.github.io/Logging_FLEN/klagomål/A 43373-2019.docx", "A 43373-2019")</f>
        <v/>
      </c>
      <c r="W137">
        <f>HYPERLINK("https://klasma.github.io/Logging_FLEN/klagomålsmail/A 43373-2019.docx", "A 43373-2019")</f>
        <v/>
      </c>
      <c r="X137">
        <f>HYPERLINK("https://klasma.github.io/Logging_FLEN/tillsyn/A 43373-2019.docx", "A 43373-2019")</f>
        <v/>
      </c>
      <c r="Y137">
        <f>HYPERLINK("https://klasma.github.io/Logging_FLEN/tillsynsmail/A 43373-2019.docx", "A 43373-2019")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45186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42501-2019.xlsx", "A 42501-2019")</f>
        <v/>
      </c>
      <c r="T138">
        <f>HYPERLINK("https://klasma.github.io/Logging_NYKOPING/kartor/A 42501-2019.png", "A 42501-2019")</f>
        <v/>
      </c>
      <c r="V138">
        <f>HYPERLINK("https://klasma.github.io/Logging_NYKOPING/klagomål/A 42501-2019.docx", "A 42501-2019")</f>
        <v/>
      </c>
      <c r="W138">
        <f>HYPERLINK("https://klasma.github.io/Logging_NYKOPING/klagomålsmail/A 42501-2019.docx", "A 42501-2019")</f>
        <v/>
      </c>
      <c r="X138">
        <f>HYPERLINK("https://klasma.github.io/Logging_NYKOPING/tillsyn/A 42501-2019.docx", "A 42501-2019")</f>
        <v/>
      </c>
      <c r="Y138">
        <f>HYPERLINK("https://klasma.github.io/Logging_NYKOPING/tillsynsmail/A 42501-2019.docx", "A 42501-2019")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45186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51654-2019.xlsx", "A 51654-2019")</f>
        <v/>
      </c>
      <c r="T139">
        <f>HYPERLINK("https://klasma.github.io/Logging_ESKILSTUNA/kartor/A 51654-2019.png", "A 51654-2019")</f>
        <v/>
      </c>
      <c r="V139">
        <f>HYPERLINK("https://klasma.github.io/Logging_ESKILSTUNA/klagomål/A 51654-2019.docx", "A 51654-2019")</f>
        <v/>
      </c>
      <c r="W139">
        <f>HYPERLINK("https://klasma.github.io/Logging_ESKILSTUNA/klagomålsmail/A 51654-2019.docx", "A 51654-2019")</f>
        <v/>
      </c>
      <c r="X139">
        <f>HYPERLINK("https://klasma.github.io/Logging_ESKILSTUNA/tillsyn/A 51654-2019.docx", "A 51654-2019")</f>
        <v/>
      </c>
      <c r="Y139">
        <f>HYPERLINK("https://klasma.github.io/Logging_ESKILSTUNA/tillsynsmail/A 51654-2019.docx", "A 51654-2019")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45186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59598-2019.xlsx", "A 59598-2019")</f>
        <v/>
      </c>
      <c r="T140">
        <f>HYPERLINK("https://klasma.github.io/Logging_NYKOPING/kartor/A 59598-2019.png", "A 59598-2019")</f>
        <v/>
      </c>
      <c r="V140">
        <f>HYPERLINK("https://klasma.github.io/Logging_NYKOPING/klagomål/A 59598-2019.docx", "A 59598-2019")</f>
        <v/>
      </c>
      <c r="W140">
        <f>HYPERLINK("https://klasma.github.io/Logging_NYKOPING/klagomålsmail/A 59598-2019.docx", "A 59598-2019")</f>
        <v/>
      </c>
      <c r="X140">
        <f>HYPERLINK("https://klasma.github.io/Logging_NYKOPING/tillsyn/A 59598-2019.docx", "A 59598-2019")</f>
        <v/>
      </c>
      <c r="Y140">
        <f>HYPERLINK("https://klasma.github.io/Logging_NYKOPING/tillsynsmail/A 59598-2019.docx", "A 59598-2019")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45186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60748-2019.xlsx", "A 60748-2019")</f>
        <v/>
      </c>
      <c r="T141">
        <f>HYPERLINK("https://klasma.github.io/Logging_TROSA/kartor/A 60748-2019.png", "A 60748-2019")</f>
        <v/>
      </c>
      <c r="V141">
        <f>HYPERLINK("https://klasma.github.io/Logging_TROSA/klagomål/A 60748-2019.docx", "A 60748-2019")</f>
        <v/>
      </c>
      <c r="W141">
        <f>HYPERLINK("https://klasma.github.io/Logging_TROSA/klagomålsmail/A 60748-2019.docx", "A 60748-2019")</f>
        <v/>
      </c>
      <c r="X141">
        <f>HYPERLINK("https://klasma.github.io/Logging_TROSA/tillsyn/A 60748-2019.docx", "A 60748-2019")</f>
        <v/>
      </c>
      <c r="Y141">
        <f>HYPERLINK("https://klasma.github.io/Logging_TROSA/tillsynsmail/A 60748-2019.docx", "A 60748-2019")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45186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64948-2019.xlsx", "A 64948-2019")</f>
        <v/>
      </c>
      <c r="T142">
        <f>HYPERLINK("https://klasma.github.io/Logging_NYKOPING/kartor/A 64948-2019.png", "A 64948-2019")</f>
        <v/>
      </c>
      <c r="V142">
        <f>HYPERLINK("https://klasma.github.io/Logging_NYKOPING/klagomål/A 64948-2019.docx", "A 64948-2019")</f>
        <v/>
      </c>
      <c r="W142">
        <f>HYPERLINK("https://klasma.github.io/Logging_NYKOPING/klagomålsmail/A 64948-2019.docx", "A 64948-2019")</f>
        <v/>
      </c>
      <c r="X142">
        <f>HYPERLINK("https://klasma.github.io/Logging_NYKOPING/tillsyn/A 64948-2019.docx", "A 64948-2019")</f>
        <v/>
      </c>
      <c r="Y142">
        <f>HYPERLINK("https://klasma.github.io/Logging_NYKOPING/tillsynsmail/A 64948-2019.docx", "A 64948-2019")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45186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69146-2019.xlsx", "A 69146-2019")</f>
        <v/>
      </c>
      <c r="T143">
        <f>HYPERLINK("https://klasma.github.io/Logging_ESKILSTUNA/kartor/A 69146-2019.png", "A 69146-2019")</f>
        <v/>
      </c>
      <c r="V143">
        <f>HYPERLINK("https://klasma.github.io/Logging_ESKILSTUNA/klagomål/A 69146-2019.docx", "A 69146-2019")</f>
        <v/>
      </c>
      <c r="W143">
        <f>HYPERLINK("https://klasma.github.io/Logging_ESKILSTUNA/klagomålsmail/A 69146-2019.docx", "A 69146-2019")</f>
        <v/>
      </c>
      <c r="X143">
        <f>HYPERLINK("https://klasma.github.io/Logging_ESKILSTUNA/tillsyn/A 69146-2019.docx", "A 69146-2019")</f>
        <v/>
      </c>
      <c r="Y143">
        <f>HYPERLINK("https://klasma.github.io/Logging_ESKILSTUNA/tillsynsmail/A 69146-2019.docx", "A 69146-2019")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45186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3683-2020.xlsx", "A 3683-2020")</f>
        <v/>
      </c>
      <c r="T144">
        <f>HYPERLINK("https://klasma.github.io/Logging_ESKILSTUNA/kartor/A 3683-2020.png", "A 3683-2020")</f>
        <v/>
      </c>
      <c r="U144">
        <f>HYPERLINK("https://klasma.github.io/Logging_ESKILSTUNA/knärot/A 3683-2020.png", "A 3683-2020")</f>
        <v/>
      </c>
      <c r="V144">
        <f>HYPERLINK("https://klasma.github.io/Logging_ESKILSTUNA/klagomål/A 3683-2020.docx", "A 3683-2020")</f>
        <v/>
      </c>
      <c r="W144">
        <f>HYPERLINK("https://klasma.github.io/Logging_ESKILSTUNA/klagomålsmail/A 3683-2020.docx", "A 3683-2020")</f>
        <v/>
      </c>
      <c r="X144">
        <f>HYPERLINK("https://klasma.github.io/Logging_ESKILSTUNA/tillsyn/A 3683-2020.docx", "A 3683-2020")</f>
        <v/>
      </c>
      <c r="Y144">
        <f>HYPERLINK("https://klasma.github.io/Logging_ESKILSTUNA/tillsynsmail/A 3683-2020.docx", "A 3683-2020")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45186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5581-2020.xlsx", "A 5581-2020")</f>
        <v/>
      </c>
      <c r="T145">
        <f>HYPERLINK("https://klasma.github.io/Logging_ESKILSTUNA/kartor/A 5581-2020.png", "A 5581-2020")</f>
        <v/>
      </c>
      <c r="V145">
        <f>HYPERLINK("https://klasma.github.io/Logging_ESKILSTUNA/klagomål/A 5581-2020.docx", "A 5581-2020")</f>
        <v/>
      </c>
      <c r="W145">
        <f>HYPERLINK("https://klasma.github.io/Logging_ESKILSTUNA/klagomålsmail/A 5581-2020.docx", "A 5581-2020")</f>
        <v/>
      </c>
      <c r="X145">
        <f>HYPERLINK("https://klasma.github.io/Logging_ESKILSTUNA/tillsyn/A 5581-2020.docx", "A 5581-2020")</f>
        <v/>
      </c>
      <c r="Y145">
        <f>HYPERLINK("https://klasma.github.io/Logging_ESKILSTUNA/tillsynsmail/A 5581-2020.docx", "A 5581-2020")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45186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15474-2020.xlsx", "A 15474-2020")</f>
        <v/>
      </c>
      <c r="T146">
        <f>HYPERLINK("https://klasma.github.io/Logging_KATRINEHOLM/kartor/A 15474-2020.png", "A 15474-2020")</f>
        <v/>
      </c>
      <c r="V146">
        <f>HYPERLINK("https://klasma.github.io/Logging_KATRINEHOLM/klagomål/A 15474-2020.docx", "A 15474-2020")</f>
        <v/>
      </c>
      <c r="W146">
        <f>HYPERLINK("https://klasma.github.io/Logging_KATRINEHOLM/klagomålsmail/A 15474-2020.docx", "A 15474-2020")</f>
        <v/>
      </c>
      <c r="X146">
        <f>HYPERLINK("https://klasma.github.io/Logging_KATRINEHOLM/tillsyn/A 15474-2020.docx", "A 15474-2020")</f>
        <v/>
      </c>
      <c r="Y146">
        <f>HYPERLINK("https://klasma.github.io/Logging_KATRINEHOLM/tillsynsmail/A 15474-2020.docx", "A 15474-2020")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45186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40257-2020.xlsx", "A 40257-2020")</f>
        <v/>
      </c>
      <c r="T147">
        <f>HYPERLINK("https://klasma.github.io/Logging_KATRINEHOLM/kartor/A 40257-2020.png", "A 40257-2020")</f>
        <v/>
      </c>
      <c r="V147">
        <f>HYPERLINK("https://klasma.github.io/Logging_KATRINEHOLM/klagomål/A 40257-2020.docx", "A 40257-2020")</f>
        <v/>
      </c>
      <c r="W147">
        <f>HYPERLINK("https://klasma.github.io/Logging_KATRINEHOLM/klagomålsmail/A 40257-2020.docx", "A 40257-2020")</f>
        <v/>
      </c>
      <c r="X147">
        <f>HYPERLINK("https://klasma.github.io/Logging_KATRINEHOLM/tillsyn/A 40257-2020.docx", "A 40257-2020")</f>
        <v/>
      </c>
      <c r="Y147">
        <f>HYPERLINK("https://klasma.github.io/Logging_KATRINEHOLM/tillsynsmail/A 40257-2020.docx", "A 40257-2020")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45186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40489-2020.xlsx", "A 40489-2020")</f>
        <v/>
      </c>
      <c r="T148">
        <f>HYPERLINK("https://klasma.github.io/Logging_TROSA/kartor/A 40489-2020.png", "A 40489-2020")</f>
        <v/>
      </c>
      <c r="V148">
        <f>HYPERLINK("https://klasma.github.io/Logging_TROSA/klagomål/A 40489-2020.docx", "A 40489-2020")</f>
        <v/>
      </c>
      <c r="W148">
        <f>HYPERLINK("https://klasma.github.io/Logging_TROSA/klagomålsmail/A 40489-2020.docx", "A 40489-2020")</f>
        <v/>
      </c>
      <c r="X148">
        <f>HYPERLINK("https://klasma.github.io/Logging_TROSA/tillsyn/A 40489-2020.docx", "A 40489-2020")</f>
        <v/>
      </c>
      <c r="Y148">
        <f>HYPERLINK("https://klasma.github.io/Logging_TROSA/tillsynsmail/A 40489-2020.docx", "A 40489-2020")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45186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46353-2020.xlsx", "A 46353-2020")</f>
        <v/>
      </c>
      <c r="T149">
        <f>HYPERLINK("https://klasma.github.io/Logging_ESKILSTUNA/kartor/A 46353-2020.png", "A 46353-2020")</f>
        <v/>
      </c>
      <c r="V149">
        <f>HYPERLINK("https://klasma.github.io/Logging_ESKILSTUNA/klagomål/A 46353-2020.docx", "A 46353-2020")</f>
        <v/>
      </c>
      <c r="W149">
        <f>HYPERLINK("https://klasma.github.io/Logging_ESKILSTUNA/klagomålsmail/A 46353-2020.docx", "A 46353-2020")</f>
        <v/>
      </c>
      <c r="X149">
        <f>HYPERLINK("https://klasma.github.io/Logging_ESKILSTUNA/tillsyn/A 46353-2020.docx", "A 46353-2020")</f>
        <v/>
      </c>
      <c r="Y149">
        <f>HYPERLINK("https://klasma.github.io/Logging_ESKILSTUNA/tillsynsmail/A 46353-2020.docx", "A 46353-2020")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45186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56191-2020.xlsx", "A 56191-2020")</f>
        <v/>
      </c>
      <c r="T150">
        <f>HYPERLINK("https://klasma.github.io/Logging_ESKILSTUNA/kartor/A 56191-2020.png", "A 56191-2020")</f>
        <v/>
      </c>
      <c r="V150">
        <f>HYPERLINK("https://klasma.github.io/Logging_ESKILSTUNA/klagomål/A 56191-2020.docx", "A 56191-2020")</f>
        <v/>
      </c>
      <c r="W150">
        <f>HYPERLINK("https://klasma.github.io/Logging_ESKILSTUNA/klagomålsmail/A 56191-2020.docx", "A 56191-2020")</f>
        <v/>
      </c>
      <c r="X150">
        <f>HYPERLINK("https://klasma.github.io/Logging_ESKILSTUNA/tillsyn/A 56191-2020.docx", "A 56191-2020")</f>
        <v/>
      </c>
      <c r="Y150">
        <f>HYPERLINK("https://klasma.github.io/Logging_ESKILSTUNA/tillsynsmail/A 56191-2020.docx", "A 56191-2020")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45186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65111-2020.xlsx", "A 65111-2020")</f>
        <v/>
      </c>
      <c r="T151">
        <f>HYPERLINK("https://klasma.github.io/Logging_KATRINEHOLM/kartor/A 65111-2020.png", "A 65111-2020")</f>
        <v/>
      </c>
      <c r="V151">
        <f>HYPERLINK("https://klasma.github.io/Logging_KATRINEHOLM/klagomål/A 65111-2020.docx", "A 65111-2020")</f>
        <v/>
      </c>
      <c r="W151">
        <f>HYPERLINK("https://klasma.github.io/Logging_KATRINEHOLM/klagomålsmail/A 65111-2020.docx", "A 65111-2020")</f>
        <v/>
      </c>
      <c r="X151">
        <f>HYPERLINK("https://klasma.github.io/Logging_KATRINEHOLM/tillsyn/A 65111-2020.docx", "A 65111-2020")</f>
        <v/>
      </c>
      <c r="Y151">
        <f>HYPERLINK("https://klasma.github.io/Logging_KATRINEHOLM/tillsynsmail/A 65111-2020.docx", "A 65111-2020")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45186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68920-2020.xlsx", "A 68920-2020")</f>
        <v/>
      </c>
      <c r="T152">
        <f>HYPERLINK("https://klasma.github.io/Logging_NYKOPING/kartor/A 68920-2020.png", "A 68920-2020")</f>
        <v/>
      </c>
      <c r="V152">
        <f>HYPERLINK("https://klasma.github.io/Logging_NYKOPING/klagomål/A 68920-2020.docx", "A 68920-2020")</f>
        <v/>
      </c>
      <c r="W152">
        <f>HYPERLINK("https://klasma.github.io/Logging_NYKOPING/klagomålsmail/A 68920-2020.docx", "A 68920-2020")</f>
        <v/>
      </c>
      <c r="X152">
        <f>HYPERLINK("https://klasma.github.io/Logging_NYKOPING/tillsyn/A 68920-2020.docx", "A 68920-2020")</f>
        <v/>
      </c>
      <c r="Y152">
        <f>HYPERLINK("https://klasma.github.io/Logging_NYKOPING/tillsynsmail/A 68920-2020.docx", "A 68920-2020")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45186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12952-2021.xlsx", "A 12952-2021")</f>
        <v/>
      </c>
      <c r="T153">
        <f>HYPERLINK("https://klasma.github.io/Logging_NYKOPING/kartor/A 12952-2021.png", "A 12952-2021")</f>
        <v/>
      </c>
      <c r="V153">
        <f>HYPERLINK("https://klasma.github.io/Logging_NYKOPING/klagomål/A 12952-2021.docx", "A 12952-2021")</f>
        <v/>
      </c>
      <c r="W153">
        <f>HYPERLINK("https://klasma.github.io/Logging_NYKOPING/klagomålsmail/A 12952-2021.docx", "A 12952-2021")</f>
        <v/>
      </c>
      <c r="X153">
        <f>HYPERLINK("https://klasma.github.io/Logging_NYKOPING/tillsyn/A 12952-2021.docx", "A 12952-2021")</f>
        <v/>
      </c>
      <c r="Y153">
        <f>HYPERLINK("https://klasma.github.io/Logging_NYKOPING/tillsynsmail/A 12952-2021.docx", "A 12952-2021")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45186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38418-2021.xlsx", "A 38418-2021")</f>
        <v/>
      </c>
      <c r="T154">
        <f>HYPERLINK("https://klasma.github.io/Logging_NYKOPING/kartor/A 38418-2021.png", "A 38418-2021")</f>
        <v/>
      </c>
      <c r="V154">
        <f>HYPERLINK("https://klasma.github.io/Logging_NYKOPING/klagomål/A 38418-2021.docx", "A 38418-2021")</f>
        <v/>
      </c>
      <c r="W154">
        <f>HYPERLINK("https://klasma.github.io/Logging_NYKOPING/klagomålsmail/A 38418-2021.docx", "A 38418-2021")</f>
        <v/>
      </c>
      <c r="X154">
        <f>HYPERLINK("https://klasma.github.io/Logging_NYKOPING/tillsyn/A 38418-2021.docx", "A 38418-2021")</f>
        <v/>
      </c>
      <c r="Y154">
        <f>HYPERLINK("https://klasma.github.io/Logging_NYKOPING/tillsynsmail/A 38418-2021.docx", "A 38418-2021")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45186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38882-2021.xlsx", "A 38882-2021")</f>
        <v/>
      </c>
      <c r="T155">
        <f>HYPERLINK("https://klasma.github.io/Logging_FLEN/kartor/A 38882-2021.png", "A 38882-2021")</f>
        <v/>
      </c>
      <c r="U155">
        <f>HYPERLINK("https://klasma.github.io/Logging_FLEN/knärot/A 38882-2021.png", "A 38882-2021")</f>
        <v/>
      </c>
      <c r="V155">
        <f>HYPERLINK("https://klasma.github.io/Logging_FLEN/klagomål/A 38882-2021.docx", "A 38882-2021")</f>
        <v/>
      </c>
      <c r="W155">
        <f>HYPERLINK("https://klasma.github.io/Logging_FLEN/klagomålsmail/A 38882-2021.docx", "A 38882-2021")</f>
        <v/>
      </c>
      <c r="X155">
        <f>HYPERLINK("https://klasma.github.io/Logging_FLEN/tillsyn/A 38882-2021.docx", "A 38882-2021")</f>
        <v/>
      </c>
      <c r="Y155">
        <f>HYPERLINK("https://klasma.github.io/Logging_FLEN/tillsynsmail/A 38882-2021.docx", "A 38882-2021")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45186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51697-2021.xlsx", "A 51697-2021")</f>
        <v/>
      </c>
      <c r="T156">
        <f>HYPERLINK("https://klasma.github.io/Logging_NYKOPING/kartor/A 51697-2021.png", "A 51697-2021")</f>
        <v/>
      </c>
      <c r="V156">
        <f>HYPERLINK("https://klasma.github.io/Logging_NYKOPING/klagomål/A 51697-2021.docx", "A 51697-2021")</f>
        <v/>
      </c>
      <c r="W156">
        <f>HYPERLINK("https://klasma.github.io/Logging_NYKOPING/klagomålsmail/A 51697-2021.docx", "A 51697-2021")</f>
        <v/>
      </c>
      <c r="X156">
        <f>HYPERLINK("https://klasma.github.io/Logging_NYKOPING/tillsyn/A 51697-2021.docx", "A 51697-2021")</f>
        <v/>
      </c>
      <c r="Y156">
        <f>HYPERLINK("https://klasma.github.io/Logging_NYKOPING/tillsynsmail/A 51697-2021.docx", "A 51697-2021")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45186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51705-2021.xlsx", "A 51705-2021")</f>
        <v/>
      </c>
      <c r="T157">
        <f>HYPERLINK("https://klasma.github.io/Logging_NYKOPING/kartor/A 51705-2021.png", "A 51705-2021")</f>
        <v/>
      </c>
      <c r="V157">
        <f>HYPERLINK("https://klasma.github.io/Logging_NYKOPING/klagomål/A 51705-2021.docx", "A 51705-2021")</f>
        <v/>
      </c>
      <c r="W157">
        <f>HYPERLINK("https://klasma.github.io/Logging_NYKOPING/klagomålsmail/A 51705-2021.docx", "A 51705-2021")</f>
        <v/>
      </c>
      <c r="X157">
        <f>HYPERLINK("https://klasma.github.io/Logging_NYKOPING/tillsyn/A 51705-2021.docx", "A 51705-2021")</f>
        <v/>
      </c>
      <c r="Y157">
        <f>HYPERLINK("https://klasma.github.io/Logging_NYKOPING/tillsynsmail/A 51705-2021.docx", "A 51705-2021")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45186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54930-2021.xlsx", "A 54930-2021")</f>
        <v/>
      </c>
      <c r="T158">
        <f>HYPERLINK("https://klasma.github.io/Logging_NYKOPING/kartor/A 54930-2021.png", "A 54930-2021")</f>
        <v/>
      </c>
      <c r="U158">
        <f>HYPERLINK("https://klasma.github.io/Logging_NYKOPING/knärot/A 54930-2021.png", "A 54930-2021")</f>
        <v/>
      </c>
      <c r="V158">
        <f>HYPERLINK("https://klasma.github.io/Logging_NYKOPING/klagomål/A 54930-2021.docx", "A 54930-2021")</f>
        <v/>
      </c>
      <c r="W158">
        <f>HYPERLINK("https://klasma.github.io/Logging_NYKOPING/klagomålsmail/A 54930-2021.docx", "A 54930-2021")</f>
        <v/>
      </c>
      <c r="X158">
        <f>HYPERLINK("https://klasma.github.io/Logging_NYKOPING/tillsyn/A 54930-2021.docx", "A 54930-2021")</f>
        <v/>
      </c>
      <c r="Y158">
        <f>HYPERLINK("https://klasma.github.io/Logging_NYKOPING/tillsynsmail/A 54930-2021.docx", "A 54930-2021")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45186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60251-2021.xlsx", "A 60251-2021")</f>
        <v/>
      </c>
      <c r="T159">
        <f>HYPERLINK("https://klasma.github.io/Logging_FLEN/kartor/A 60251-2021.png", "A 60251-2021")</f>
        <v/>
      </c>
      <c r="U159">
        <f>HYPERLINK("https://klasma.github.io/Logging_FLEN/knärot/A 60251-2021.png", "A 60251-2021")</f>
        <v/>
      </c>
      <c r="V159">
        <f>HYPERLINK("https://klasma.github.io/Logging_FLEN/klagomål/A 60251-2021.docx", "A 60251-2021")</f>
        <v/>
      </c>
      <c r="W159">
        <f>HYPERLINK("https://klasma.github.io/Logging_FLEN/klagomålsmail/A 60251-2021.docx", "A 60251-2021")</f>
        <v/>
      </c>
      <c r="X159">
        <f>HYPERLINK("https://klasma.github.io/Logging_FLEN/tillsyn/A 60251-2021.docx", "A 60251-2021")</f>
        <v/>
      </c>
      <c r="Y159">
        <f>HYPERLINK("https://klasma.github.io/Logging_FLEN/tillsynsmail/A 60251-2021.docx", "A 60251-2021")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45186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61384-2021.xlsx", "A 61384-2021")</f>
        <v/>
      </c>
      <c r="T160">
        <f>HYPERLINK("https://klasma.github.io/Logging_KATRINEHOLM/kartor/A 61384-2021.png", "A 61384-2021")</f>
        <v/>
      </c>
      <c r="U160">
        <f>HYPERLINK("https://klasma.github.io/Logging_KATRINEHOLM/knärot/A 61384-2021.png", "A 61384-2021")</f>
        <v/>
      </c>
      <c r="V160">
        <f>HYPERLINK("https://klasma.github.io/Logging_KATRINEHOLM/klagomål/A 61384-2021.docx", "A 61384-2021")</f>
        <v/>
      </c>
      <c r="W160">
        <f>HYPERLINK("https://klasma.github.io/Logging_KATRINEHOLM/klagomålsmail/A 61384-2021.docx", "A 61384-2021")</f>
        <v/>
      </c>
      <c r="X160">
        <f>HYPERLINK("https://klasma.github.io/Logging_KATRINEHOLM/tillsyn/A 61384-2021.docx", "A 61384-2021")</f>
        <v/>
      </c>
      <c r="Y160">
        <f>HYPERLINK("https://klasma.github.io/Logging_KATRINEHOLM/tillsynsmail/A 61384-2021.docx", "A 61384-2021")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45186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69068-2021.xlsx", "A 69068-2021")</f>
        <v/>
      </c>
      <c r="T161">
        <f>HYPERLINK("https://klasma.github.io/Logging_ESKILSTUNA/kartor/A 69068-2021.png", "A 69068-2021")</f>
        <v/>
      </c>
      <c r="V161">
        <f>HYPERLINK("https://klasma.github.io/Logging_ESKILSTUNA/klagomål/A 69068-2021.docx", "A 69068-2021")</f>
        <v/>
      </c>
      <c r="W161">
        <f>HYPERLINK("https://klasma.github.io/Logging_ESKILSTUNA/klagomålsmail/A 69068-2021.docx", "A 69068-2021")</f>
        <v/>
      </c>
      <c r="X161">
        <f>HYPERLINK("https://klasma.github.io/Logging_ESKILSTUNA/tillsyn/A 69068-2021.docx", "A 69068-2021")</f>
        <v/>
      </c>
      <c r="Y161">
        <f>HYPERLINK("https://klasma.github.io/Logging_ESKILSTUNA/tillsynsmail/A 69068-2021.docx", "A 69068-2021")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45186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70501-2021.xlsx", "A 70501-2021")</f>
        <v/>
      </c>
      <c r="T162">
        <f>HYPERLINK("https://klasma.github.io/Logging_KATRINEHOLM/kartor/A 70501-2021.png", "A 70501-2021")</f>
        <v/>
      </c>
      <c r="V162">
        <f>HYPERLINK("https://klasma.github.io/Logging_KATRINEHOLM/klagomål/A 70501-2021.docx", "A 70501-2021")</f>
        <v/>
      </c>
      <c r="W162">
        <f>HYPERLINK("https://klasma.github.io/Logging_KATRINEHOLM/klagomålsmail/A 70501-2021.docx", "A 70501-2021")</f>
        <v/>
      </c>
      <c r="X162">
        <f>HYPERLINK("https://klasma.github.io/Logging_KATRINEHOLM/tillsyn/A 70501-2021.docx", "A 70501-2021")</f>
        <v/>
      </c>
      <c r="Y162">
        <f>HYPERLINK("https://klasma.github.io/Logging_KATRINEHOLM/tillsynsmail/A 70501-2021.docx", "A 70501-2021")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45186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71969-2021.xlsx", "A 71969-2021")</f>
        <v/>
      </c>
      <c r="T163">
        <f>HYPERLINK("https://klasma.github.io/Logging_ESKILSTUNA/kartor/A 71969-2021.png", "A 71969-2021")</f>
        <v/>
      </c>
      <c r="V163">
        <f>HYPERLINK("https://klasma.github.io/Logging_ESKILSTUNA/klagomål/A 71969-2021.docx", "A 71969-2021")</f>
        <v/>
      </c>
      <c r="W163">
        <f>HYPERLINK("https://klasma.github.io/Logging_ESKILSTUNA/klagomålsmail/A 71969-2021.docx", "A 71969-2021")</f>
        <v/>
      </c>
      <c r="X163">
        <f>HYPERLINK("https://klasma.github.io/Logging_ESKILSTUNA/tillsyn/A 71969-2021.docx", "A 71969-2021")</f>
        <v/>
      </c>
      <c r="Y163">
        <f>HYPERLINK("https://klasma.github.io/Logging_ESKILSTUNA/tillsynsmail/A 71969-2021.docx", "A 71969-2021")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45186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10825-2022.xlsx", "A 10825-2022")</f>
        <v/>
      </c>
      <c r="T164">
        <f>HYPERLINK("https://klasma.github.io/Logging_FLEN/kartor/A 10825-2022.png", "A 10825-2022")</f>
        <v/>
      </c>
      <c r="V164">
        <f>HYPERLINK("https://klasma.github.io/Logging_FLEN/klagomål/A 10825-2022.docx", "A 10825-2022")</f>
        <v/>
      </c>
      <c r="W164">
        <f>HYPERLINK("https://klasma.github.io/Logging_FLEN/klagomålsmail/A 10825-2022.docx", "A 10825-2022")</f>
        <v/>
      </c>
      <c r="X164">
        <f>HYPERLINK("https://klasma.github.io/Logging_FLEN/tillsyn/A 10825-2022.docx", "A 10825-2022")</f>
        <v/>
      </c>
      <c r="Y164">
        <f>HYPERLINK("https://klasma.github.io/Logging_FLEN/tillsynsmail/A 10825-2022.docx", "A 10825-2022")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45186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12369-2022.xlsx", "A 12369-2022")</f>
        <v/>
      </c>
      <c r="T165">
        <f>HYPERLINK("https://klasma.github.io/Logging_NYKOPING/kartor/A 12369-2022.png", "A 12369-2022")</f>
        <v/>
      </c>
      <c r="V165">
        <f>HYPERLINK("https://klasma.github.io/Logging_NYKOPING/klagomål/A 12369-2022.docx", "A 12369-2022")</f>
        <v/>
      </c>
      <c r="W165">
        <f>HYPERLINK("https://klasma.github.io/Logging_NYKOPING/klagomålsmail/A 12369-2022.docx", "A 12369-2022")</f>
        <v/>
      </c>
      <c r="X165">
        <f>HYPERLINK("https://klasma.github.io/Logging_NYKOPING/tillsyn/A 12369-2022.docx", "A 12369-2022")</f>
        <v/>
      </c>
      <c r="Y165">
        <f>HYPERLINK("https://klasma.github.io/Logging_NYKOPING/tillsynsmail/A 12369-2022.docx", "A 12369-2022")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45186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12671-2022.xlsx", "A 12671-2022")</f>
        <v/>
      </c>
      <c r="T166">
        <f>HYPERLINK("https://klasma.github.io/Logging_STRANGNAS/kartor/A 12671-2022.png", "A 12671-2022")</f>
        <v/>
      </c>
      <c r="V166">
        <f>HYPERLINK("https://klasma.github.io/Logging_STRANGNAS/klagomål/A 12671-2022.docx", "A 12671-2022")</f>
        <v/>
      </c>
      <c r="W166">
        <f>HYPERLINK("https://klasma.github.io/Logging_STRANGNAS/klagomålsmail/A 12671-2022.docx", "A 12671-2022")</f>
        <v/>
      </c>
      <c r="X166">
        <f>HYPERLINK("https://klasma.github.io/Logging_STRANGNAS/tillsyn/A 12671-2022.docx", "A 12671-2022")</f>
        <v/>
      </c>
      <c r="Y166">
        <f>HYPERLINK("https://klasma.github.io/Logging_STRANGNAS/tillsynsmail/A 12671-2022.docx", "A 12671-2022")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45186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13760-2022.xlsx", "A 13760-2022")</f>
        <v/>
      </c>
      <c r="T167">
        <f>HYPERLINK("https://klasma.github.io/Logging_TROSA/kartor/A 13760-2022.png", "A 13760-2022")</f>
        <v/>
      </c>
      <c r="V167">
        <f>HYPERLINK("https://klasma.github.io/Logging_TROSA/klagomål/A 13760-2022.docx", "A 13760-2022")</f>
        <v/>
      </c>
      <c r="W167">
        <f>HYPERLINK("https://klasma.github.io/Logging_TROSA/klagomålsmail/A 13760-2022.docx", "A 13760-2022")</f>
        <v/>
      </c>
      <c r="X167">
        <f>HYPERLINK("https://klasma.github.io/Logging_TROSA/tillsyn/A 13760-2022.docx", "A 13760-2022")</f>
        <v/>
      </c>
      <c r="Y167">
        <f>HYPERLINK("https://klasma.github.io/Logging_TROSA/tillsynsmail/A 13760-2022.docx", "A 13760-2022")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45186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22267-2022.xlsx", "A 22267-2022")</f>
        <v/>
      </c>
      <c r="T168">
        <f>HYPERLINK("https://klasma.github.io/Logging_ESKILSTUNA/kartor/A 22267-2022.png", "A 22267-2022")</f>
        <v/>
      </c>
      <c r="V168">
        <f>HYPERLINK("https://klasma.github.io/Logging_ESKILSTUNA/klagomål/A 22267-2022.docx", "A 22267-2022")</f>
        <v/>
      </c>
      <c r="W168">
        <f>HYPERLINK("https://klasma.github.io/Logging_ESKILSTUNA/klagomålsmail/A 22267-2022.docx", "A 22267-2022")</f>
        <v/>
      </c>
      <c r="X168">
        <f>HYPERLINK("https://klasma.github.io/Logging_ESKILSTUNA/tillsyn/A 22267-2022.docx", "A 22267-2022")</f>
        <v/>
      </c>
      <c r="Y168">
        <f>HYPERLINK("https://klasma.github.io/Logging_ESKILSTUNA/tillsynsmail/A 22267-2022.docx", "A 22267-2022")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45186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22265-2022.xlsx", "A 22265-2022")</f>
        <v/>
      </c>
      <c r="T169">
        <f>HYPERLINK("https://klasma.github.io/Logging_ESKILSTUNA/kartor/A 22265-2022.png", "A 22265-2022")</f>
        <v/>
      </c>
      <c r="U169">
        <f>HYPERLINK("https://klasma.github.io/Logging_ESKILSTUNA/knärot/A 22265-2022.png", "A 22265-2022")</f>
        <v/>
      </c>
      <c r="V169">
        <f>HYPERLINK("https://klasma.github.io/Logging_ESKILSTUNA/klagomål/A 22265-2022.docx", "A 22265-2022")</f>
        <v/>
      </c>
      <c r="W169">
        <f>HYPERLINK("https://klasma.github.io/Logging_ESKILSTUNA/klagomålsmail/A 22265-2022.docx", "A 22265-2022")</f>
        <v/>
      </c>
      <c r="X169">
        <f>HYPERLINK("https://klasma.github.io/Logging_ESKILSTUNA/tillsyn/A 22265-2022.docx", "A 22265-2022")</f>
        <v/>
      </c>
      <c r="Y169">
        <f>HYPERLINK("https://klasma.github.io/Logging_ESKILSTUNA/tillsynsmail/A 22265-2022.docx", "A 22265-2022")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45186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22743-2022.xlsx", "A 22743-2022")</f>
        <v/>
      </c>
      <c r="T170">
        <f>HYPERLINK("https://klasma.github.io/Logging_FLEN/kartor/A 22743-2022.png", "A 22743-2022")</f>
        <v/>
      </c>
      <c r="V170">
        <f>HYPERLINK("https://klasma.github.io/Logging_FLEN/klagomål/A 22743-2022.docx", "A 22743-2022")</f>
        <v/>
      </c>
      <c r="W170">
        <f>HYPERLINK("https://klasma.github.io/Logging_FLEN/klagomålsmail/A 22743-2022.docx", "A 22743-2022")</f>
        <v/>
      </c>
      <c r="X170">
        <f>HYPERLINK("https://klasma.github.io/Logging_FLEN/tillsyn/A 22743-2022.docx", "A 22743-2022")</f>
        <v/>
      </c>
      <c r="Y170">
        <f>HYPERLINK("https://klasma.github.io/Logging_FLEN/tillsynsmail/A 22743-2022.docx", "A 22743-2022")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45186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32298-2022.xlsx", "A 32298-2022")</f>
        <v/>
      </c>
      <c r="T171">
        <f>HYPERLINK("https://klasma.github.io/Logging_GNESTA/kartor/A 32298-2022.png", "A 32298-2022")</f>
        <v/>
      </c>
      <c r="U171">
        <f>HYPERLINK("https://klasma.github.io/Logging_GNESTA/knärot/A 32298-2022.png", "A 32298-2022")</f>
        <v/>
      </c>
      <c r="V171">
        <f>HYPERLINK("https://klasma.github.io/Logging_GNESTA/klagomål/A 32298-2022.docx", "A 32298-2022")</f>
        <v/>
      </c>
      <c r="W171">
        <f>HYPERLINK("https://klasma.github.io/Logging_GNESTA/klagomålsmail/A 32298-2022.docx", "A 32298-2022")</f>
        <v/>
      </c>
      <c r="X171">
        <f>HYPERLINK("https://klasma.github.io/Logging_GNESTA/tillsyn/A 32298-2022.docx", "A 32298-2022")</f>
        <v/>
      </c>
      <c r="Y171">
        <f>HYPERLINK("https://klasma.github.io/Logging_GNESTA/tillsynsmail/A 32298-2022.docx", "A 32298-2022")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45186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34310-2022.xlsx", "A 34310-2022")</f>
        <v/>
      </c>
      <c r="T172">
        <f>HYPERLINK("https://klasma.github.io/Logging_NYKOPING/kartor/A 34310-2022.png", "A 34310-2022")</f>
        <v/>
      </c>
      <c r="V172">
        <f>HYPERLINK("https://klasma.github.io/Logging_NYKOPING/klagomål/A 34310-2022.docx", "A 34310-2022")</f>
        <v/>
      </c>
      <c r="W172">
        <f>HYPERLINK("https://klasma.github.io/Logging_NYKOPING/klagomålsmail/A 34310-2022.docx", "A 34310-2022")</f>
        <v/>
      </c>
      <c r="X172">
        <f>HYPERLINK("https://klasma.github.io/Logging_NYKOPING/tillsyn/A 34310-2022.docx", "A 34310-2022")</f>
        <v/>
      </c>
      <c r="Y172">
        <f>HYPERLINK("https://klasma.github.io/Logging_NYKOPING/tillsynsmail/A 34310-2022.docx", "A 34310-2022")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45186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37537-2022.xlsx", "A 37537-2022")</f>
        <v/>
      </c>
      <c r="T173">
        <f>HYPERLINK("https://klasma.github.io/Logging_KATRINEHOLM/kartor/A 37537-2022.png", "A 37537-2022")</f>
        <v/>
      </c>
      <c r="V173">
        <f>HYPERLINK("https://klasma.github.io/Logging_KATRINEHOLM/klagomål/A 37537-2022.docx", "A 37537-2022")</f>
        <v/>
      </c>
      <c r="W173">
        <f>HYPERLINK("https://klasma.github.io/Logging_KATRINEHOLM/klagomålsmail/A 37537-2022.docx", "A 37537-2022")</f>
        <v/>
      </c>
      <c r="X173">
        <f>HYPERLINK("https://klasma.github.io/Logging_KATRINEHOLM/tillsyn/A 37537-2022.docx", "A 37537-2022")</f>
        <v/>
      </c>
      <c r="Y173">
        <f>HYPERLINK("https://klasma.github.io/Logging_KATRINEHOLM/tillsynsmail/A 37537-2022.docx", "A 37537-2022")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45186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38203-2022.xlsx", "A 38203-2022")</f>
        <v/>
      </c>
      <c r="T174">
        <f>HYPERLINK("https://klasma.github.io/Logging_NYKOPING/kartor/A 38203-2022.png", "A 38203-2022")</f>
        <v/>
      </c>
      <c r="V174">
        <f>HYPERLINK("https://klasma.github.io/Logging_NYKOPING/klagomål/A 38203-2022.docx", "A 38203-2022")</f>
        <v/>
      </c>
      <c r="W174">
        <f>HYPERLINK("https://klasma.github.io/Logging_NYKOPING/klagomålsmail/A 38203-2022.docx", "A 38203-2022")</f>
        <v/>
      </c>
      <c r="X174">
        <f>HYPERLINK("https://klasma.github.io/Logging_NYKOPING/tillsyn/A 38203-2022.docx", "A 38203-2022")</f>
        <v/>
      </c>
      <c r="Y174">
        <f>HYPERLINK("https://klasma.github.io/Logging_NYKOPING/tillsynsmail/A 38203-2022.docx", "A 38203-2022")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45186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39885-2022.xlsx", "A 39885-2022")</f>
        <v/>
      </c>
      <c r="T175">
        <f>HYPERLINK("https://klasma.github.io/Logging_FLEN/kartor/A 39885-2022.png", "A 39885-2022")</f>
        <v/>
      </c>
      <c r="V175">
        <f>HYPERLINK("https://klasma.github.io/Logging_FLEN/klagomål/A 39885-2022.docx", "A 39885-2022")</f>
        <v/>
      </c>
      <c r="W175">
        <f>HYPERLINK("https://klasma.github.io/Logging_FLEN/klagomålsmail/A 39885-2022.docx", "A 39885-2022")</f>
        <v/>
      </c>
      <c r="X175">
        <f>HYPERLINK("https://klasma.github.io/Logging_FLEN/tillsyn/A 39885-2022.docx", "A 39885-2022")</f>
        <v/>
      </c>
      <c r="Y175">
        <f>HYPERLINK("https://klasma.github.io/Logging_FLEN/tillsynsmail/A 39885-2022.docx", "A 39885-2022")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45186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44717-2022.xlsx", "A 44717-2022")</f>
        <v/>
      </c>
      <c r="T176">
        <f>HYPERLINK("https://klasma.github.io/Logging_STRANGNAS/kartor/A 44717-2022.png", "A 44717-2022")</f>
        <v/>
      </c>
      <c r="V176">
        <f>HYPERLINK("https://klasma.github.io/Logging_STRANGNAS/klagomål/A 44717-2022.docx", "A 44717-2022")</f>
        <v/>
      </c>
      <c r="W176">
        <f>HYPERLINK("https://klasma.github.io/Logging_STRANGNAS/klagomålsmail/A 44717-2022.docx", "A 44717-2022")</f>
        <v/>
      </c>
      <c r="X176">
        <f>HYPERLINK("https://klasma.github.io/Logging_STRANGNAS/tillsyn/A 44717-2022.docx", "A 44717-2022")</f>
        <v/>
      </c>
      <c r="Y176">
        <f>HYPERLINK("https://klasma.github.io/Logging_STRANGNAS/tillsynsmail/A 44717-2022.docx", "A 44717-2022")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45186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50215-2022.xlsx", "A 50215-2022")</f>
        <v/>
      </c>
      <c r="T177">
        <f>HYPERLINK("https://klasma.github.io/Logging_FLEN/kartor/A 50215-2022.png", "A 50215-2022")</f>
        <v/>
      </c>
      <c r="U177">
        <f>HYPERLINK("https://klasma.github.io/Logging_FLEN/knärot/A 50215-2022.png", "A 50215-2022")</f>
        <v/>
      </c>
      <c r="V177">
        <f>HYPERLINK("https://klasma.github.io/Logging_FLEN/klagomål/A 50215-2022.docx", "A 50215-2022")</f>
        <v/>
      </c>
      <c r="W177">
        <f>HYPERLINK("https://klasma.github.io/Logging_FLEN/klagomålsmail/A 50215-2022.docx", "A 50215-2022")</f>
        <v/>
      </c>
      <c r="X177">
        <f>HYPERLINK("https://klasma.github.io/Logging_FLEN/tillsyn/A 50215-2022.docx", "A 50215-2022")</f>
        <v/>
      </c>
      <c r="Y177">
        <f>HYPERLINK("https://klasma.github.io/Logging_FLEN/tillsynsmail/A 50215-2022.docx", "A 50215-2022")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45186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52792-2022.xlsx", "A 52792-2022")</f>
        <v/>
      </c>
      <c r="T178">
        <f>HYPERLINK("https://klasma.github.io/Logging_NYKOPING/kartor/A 52792-2022.png", "A 52792-2022")</f>
        <v/>
      </c>
      <c r="V178">
        <f>HYPERLINK("https://klasma.github.io/Logging_NYKOPING/klagomål/A 52792-2022.docx", "A 52792-2022")</f>
        <v/>
      </c>
      <c r="W178">
        <f>HYPERLINK("https://klasma.github.io/Logging_NYKOPING/klagomålsmail/A 52792-2022.docx", "A 52792-2022")</f>
        <v/>
      </c>
      <c r="X178">
        <f>HYPERLINK("https://klasma.github.io/Logging_NYKOPING/tillsyn/A 52792-2022.docx", "A 52792-2022")</f>
        <v/>
      </c>
      <c r="Y178">
        <f>HYPERLINK("https://klasma.github.io/Logging_NYKOPING/tillsynsmail/A 52792-2022.docx", "A 52792-2022")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45186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571-2023.xlsx", "A 571-2023")</f>
        <v/>
      </c>
      <c r="T179">
        <f>HYPERLINK("https://klasma.github.io/Logging_ESKILSTUNA/kartor/A 571-2023.png", "A 571-2023")</f>
        <v/>
      </c>
      <c r="V179">
        <f>HYPERLINK("https://klasma.github.io/Logging_ESKILSTUNA/klagomål/A 571-2023.docx", "A 571-2023")</f>
        <v/>
      </c>
      <c r="W179">
        <f>HYPERLINK("https://klasma.github.io/Logging_ESKILSTUNA/klagomålsmail/A 571-2023.docx", "A 571-2023")</f>
        <v/>
      </c>
      <c r="X179">
        <f>HYPERLINK("https://klasma.github.io/Logging_ESKILSTUNA/tillsyn/A 571-2023.docx", "A 571-2023")</f>
        <v/>
      </c>
      <c r="Y179">
        <f>HYPERLINK("https://klasma.github.io/Logging_ESKILSTUNA/tillsynsmail/A 571-2023.docx", "A 571-2023")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45186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853-2023.xlsx", "A 853-2023")</f>
        <v/>
      </c>
      <c r="T180">
        <f>HYPERLINK("https://klasma.github.io/Logging_NYKOPING/kartor/A 853-2023.png", "A 853-2023")</f>
        <v/>
      </c>
      <c r="V180">
        <f>HYPERLINK("https://klasma.github.io/Logging_NYKOPING/klagomål/A 853-2023.docx", "A 853-2023")</f>
        <v/>
      </c>
      <c r="W180">
        <f>HYPERLINK("https://klasma.github.io/Logging_NYKOPING/klagomålsmail/A 853-2023.docx", "A 853-2023")</f>
        <v/>
      </c>
      <c r="X180">
        <f>HYPERLINK("https://klasma.github.io/Logging_NYKOPING/tillsyn/A 853-2023.docx", "A 853-2023")</f>
        <v/>
      </c>
      <c r="Y180">
        <f>HYPERLINK("https://klasma.github.io/Logging_NYKOPING/tillsynsmail/A 853-2023.docx", "A 853-2023")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45186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1270-2023.xlsx", "A 1270-2023")</f>
        <v/>
      </c>
      <c r="T181">
        <f>HYPERLINK("https://klasma.github.io/Logging_KATRINEHOLM/kartor/A 1270-2023.png", "A 1270-2023")</f>
        <v/>
      </c>
      <c r="V181">
        <f>HYPERLINK("https://klasma.github.io/Logging_KATRINEHOLM/klagomål/A 1270-2023.docx", "A 1270-2023")</f>
        <v/>
      </c>
      <c r="W181">
        <f>HYPERLINK("https://klasma.github.io/Logging_KATRINEHOLM/klagomålsmail/A 1270-2023.docx", "A 1270-2023")</f>
        <v/>
      </c>
      <c r="X181">
        <f>HYPERLINK("https://klasma.github.io/Logging_KATRINEHOLM/tillsyn/A 1270-2023.docx", "A 1270-2023")</f>
        <v/>
      </c>
      <c r="Y181">
        <f>HYPERLINK("https://klasma.github.io/Logging_KATRINEHOLM/tillsynsmail/A 1270-2023.docx", "A 1270-2023")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45186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3070-2023.xlsx", "A 3070-2023")</f>
        <v/>
      </c>
      <c r="T182">
        <f>HYPERLINK("https://klasma.github.io/Logging_NYKOPING/kartor/A 3070-2023.png", "A 3070-2023")</f>
        <v/>
      </c>
      <c r="V182">
        <f>HYPERLINK("https://klasma.github.io/Logging_NYKOPING/klagomål/A 3070-2023.docx", "A 3070-2023")</f>
        <v/>
      </c>
      <c r="W182">
        <f>HYPERLINK("https://klasma.github.io/Logging_NYKOPING/klagomålsmail/A 3070-2023.docx", "A 3070-2023")</f>
        <v/>
      </c>
      <c r="X182">
        <f>HYPERLINK("https://klasma.github.io/Logging_NYKOPING/tillsyn/A 3070-2023.docx", "A 3070-2023")</f>
        <v/>
      </c>
      <c r="Y182">
        <f>HYPERLINK("https://klasma.github.io/Logging_NYKOPING/tillsynsmail/A 3070-2023.docx", "A 3070-2023")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45186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11103-2023.xlsx", "A 11103-2023")</f>
        <v/>
      </c>
      <c r="T183">
        <f>HYPERLINK("https://klasma.github.io/Logging_FLEN/kartor/A 11103-2023.png", "A 11103-2023")</f>
        <v/>
      </c>
      <c r="V183">
        <f>HYPERLINK("https://klasma.github.io/Logging_FLEN/klagomål/A 11103-2023.docx", "A 11103-2023")</f>
        <v/>
      </c>
      <c r="W183">
        <f>HYPERLINK("https://klasma.github.io/Logging_FLEN/klagomålsmail/A 11103-2023.docx", "A 11103-2023")</f>
        <v/>
      </c>
      <c r="X183">
        <f>HYPERLINK("https://klasma.github.io/Logging_FLEN/tillsyn/A 11103-2023.docx", "A 11103-2023")</f>
        <v/>
      </c>
      <c r="Y183">
        <f>HYPERLINK("https://klasma.github.io/Logging_FLEN/tillsynsmail/A 11103-2023.docx", "A 11103-2023")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45186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34785-2023.xlsx", "A 34785-2023")</f>
        <v/>
      </c>
      <c r="T184">
        <f>HYPERLINK("https://klasma.github.io/Logging_FLEN/kartor/A 34785-2023.png", "A 34785-2023")</f>
        <v/>
      </c>
      <c r="V184">
        <f>HYPERLINK("https://klasma.github.io/Logging_FLEN/klagomål/A 34785-2023.docx", "A 34785-2023")</f>
        <v/>
      </c>
      <c r="W184">
        <f>HYPERLINK("https://klasma.github.io/Logging_FLEN/klagomålsmail/A 34785-2023.docx", "A 34785-2023")</f>
        <v/>
      </c>
      <c r="X184">
        <f>HYPERLINK("https://klasma.github.io/Logging_FLEN/tillsyn/A 34785-2023.docx", "A 34785-2023")</f>
        <v/>
      </c>
      <c r="Y184">
        <f>HYPERLINK("https://klasma.github.io/Logging_FLEN/tillsynsmail/A 34785-2023.docx", "A 34785-2023")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45186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37383-2023.xlsx", "A 37383-2023")</f>
        <v/>
      </c>
      <c r="T185">
        <f>HYPERLINK("https://klasma.github.io/Logging_KATRINEHOLM/kartor/A 37383-2023.png", "A 37383-2023")</f>
        <v/>
      </c>
      <c r="V185">
        <f>HYPERLINK("https://klasma.github.io/Logging_KATRINEHOLM/klagomål/A 37383-2023.docx", "A 37383-2023")</f>
        <v/>
      </c>
      <c r="W185">
        <f>HYPERLINK("https://klasma.github.io/Logging_KATRINEHOLM/klagomålsmail/A 37383-2023.docx", "A 37383-2023")</f>
        <v/>
      </c>
      <c r="X185">
        <f>HYPERLINK("https://klasma.github.io/Logging_KATRINEHOLM/tillsyn/A 37383-2023.docx", "A 37383-2023")</f>
        <v/>
      </c>
      <c r="Y185">
        <f>HYPERLINK("https://klasma.github.io/Logging_KATRINEHOLM/tillsynsmail/A 37383-2023.docx", "A 37383-2023")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45186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39893-2023.xlsx", "A 39893-2023")</f>
        <v/>
      </c>
      <c r="T186">
        <f>HYPERLINK("https://klasma.github.io/Logging_KATRINEHOLM/kartor/A 39893-2023.png", "A 39893-2023")</f>
        <v/>
      </c>
      <c r="V186">
        <f>HYPERLINK("https://klasma.github.io/Logging_KATRINEHOLM/klagomål/A 39893-2023.docx", "A 39893-2023")</f>
        <v/>
      </c>
      <c r="W186">
        <f>HYPERLINK("https://klasma.github.io/Logging_KATRINEHOLM/klagomålsmail/A 39893-2023.docx", "A 39893-2023")</f>
        <v/>
      </c>
      <c r="X186">
        <f>HYPERLINK("https://klasma.github.io/Logging_KATRINEHOLM/tillsyn/A 39893-2023.docx", "A 39893-2023")</f>
        <v/>
      </c>
      <c r="Y186">
        <f>HYPERLINK("https://klasma.github.io/Logging_KATRINEHOLM/tillsynsmail/A 39893-2023.docx", "A 39893-2023")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45186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36567-2018.xlsx", "A 36567-2018")</f>
        <v/>
      </c>
      <c r="T187">
        <f>HYPERLINK("https://klasma.github.io/Logging_GNESTA/kartor/A 36567-2018.png", "A 36567-2018")</f>
        <v/>
      </c>
      <c r="V187">
        <f>HYPERLINK("https://klasma.github.io/Logging_GNESTA/klagomål/A 36567-2018.docx", "A 36567-2018")</f>
        <v/>
      </c>
      <c r="W187">
        <f>HYPERLINK("https://klasma.github.io/Logging_GNESTA/klagomålsmail/A 36567-2018.docx", "A 36567-2018")</f>
        <v/>
      </c>
      <c r="X187">
        <f>HYPERLINK("https://klasma.github.io/Logging_GNESTA/tillsyn/A 36567-2018.docx", "A 36567-2018")</f>
        <v/>
      </c>
      <c r="Y187">
        <f>HYPERLINK("https://klasma.github.io/Logging_GNESTA/tillsynsmail/A 36567-2018.docx", "A 36567-2018")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45186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45505-2018.xlsx", "A 45505-2018")</f>
        <v/>
      </c>
      <c r="T188">
        <f>HYPERLINK("https://klasma.github.io/Logging_FLEN/kartor/A 45505-2018.png", "A 45505-2018")</f>
        <v/>
      </c>
      <c r="V188">
        <f>HYPERLINK("https://klasma.github.io/Logging_FLEN/klagomål/A 45505-2018.docx", "A 45505-2018")</f>
        <v/>
      </c>
      <c r="W188">
        <f>HYPERLINK("https://klasma.github.io/Logging_FLEN/klagomålsmail/A 45505-2018.docx", "A 45505-2018")</f>
        <v/>
      </c>
      <c r="X188">
        <f>HYPERLINK("https://klasma.github.io/Logging_FLEN/tillsyn/A 45505-2018.docx", "A 45505-2018")</f>
        <v/>
      </c>
      <c r="Y188">
        <f>HYPERLINK("https://klasma.github.io/Logging_FLEN/tillsynsmail/A 45505-2018.docx", "A 45505-2018")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45186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48223-2018.xlsx", "A 48223-2018")</f>
        <v/>
      </c>
      <c r="T189">
        <f>HYPERLINK("https://klasma.github.io/Logging_NYKOPING/kartor/A 48223-2018.png", "A 48223-2018")</f>
        <v/>
      </c>
      <c r="V189">
        <f>HYPERLINK("https://klasma.github.io/Logging_NYKOPING/klagomål/A 48223-2018.docx", "A 48223-2018")</f>
        <v/>
      </c>
      <c r="W189">
        <f>HYPERLINK("https://klasma.github.io/Logging_NYKOPING/klagomålsmail/A 48223-2018.docx", "A 48223-2018")</f>
        <v/>
      </c>
      <c r="X189">
        <f>HYPERLINK("https://klasma.github.io/Logging_NYKOPING/tillsyn/A 48223-2018.docx", "A 48223-2018")</f>
        <v/>
      </c>
      <c r="Y189">
        <f>HYPERLINK("https://klasma.github.io/Logging_NYKOPING/tillsynsmail/A 48223-2018.docx", "A 48223-2018")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45186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58767-2018.xlsx", "A 58767-2018")</f>
        <v/>
      </c>
      <c r="T190">
        <f>HYPERLINK("https://klasma.github.io/Logging_NYKOPING/kartor/A 58767-2018.png", "A 58767-2018")</f>
        <v/>
      </c>
      <c r="V190">
        <f>HYPERLINK("https://klasma.github.io/Logging_NYKOPING/klagomål/A 58767-2018.docx", "A 58767-2018")</f>
        <v/>
      </c>
      <c r="W190">
        <f>HYPERLINK("https://klasma.github.io/Logging_NYKOPING/klagomålsmail/A 58767-2018.docx", "A 58767-2018")</f>
        <v/>
      </c>
      <c r="X190">
        <f>HYPERLINK("https://klasma.github.io/Logging_NYKOPING/tillsyn/A 58767-2018.docx", "A 58767-2018")</f>
        <v/>
      </c>
      <c r="Y190">
        <f>HYPERLINK("https://klasma.github.io/Logging_NYKOPING/tillsynsmail/A 58767-2018.docx", "A 58767-2018")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45186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67790-2018.xlsx", "A 67790-2018")</f>
        <v/>
      </c>
      <c r="T191">
        <f>HYPERLINK("https://klasma.github.io/Logging_NYKOPING/kartor/A 67790-2018.png", "A 67790-2018")</f>
        <v/>
      </c>
      <c r="V191">
        <f>HYPERLINK("https://klasma.github.io/Logging_NYKOPING/klagomål/A 67790-2018.docx", "A 67790-2018")</f>
        <v/>
      </c>
      <c r="W191">
        <f>HYPERLINK("https://klasma.github.io/Logging_NYKOPING/klagomålsmail/A 67790-2018.docx", "A 67790-2018")</f>
        <v/>
      </c>
      <c r="X191">
        <f>HYPERLINK("https://klasma.github.io/Logging_NYKOPING/tillsyn/A 67790-2018.docx", "A 67790-2018")</f>
        <v/>
      </c>
      <c r="Y191">
        <f>HYPERLINK("https://klasma.github.io/Logging_NYKOPING/tillsynsmail/A 67790-2018.docx", "A 67790-2018")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45186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68180-2018.xlsx", "A 68180-2018")</f>
        <v/>
      </c>
      <c r="T192">
        <f>HYPERLINK("https://klasma.github.io/Logging_NYKOPING/kartor/A 68180-2018.png", "A 68180-2018")</f>
        <v/>
      </c>
      <c r="V192">
        <f>HYPERLINK("https://klasma.github.io/Logging_NYKOPING/klagomål/A 68180-2018.docx", "A 68180-2018")</f>
        <v/>
      </c>
      <c r="W192">
        <f>HYPERLINK("https://klasma.github.io/Logging_NYKOPING/klagomålsmail/A 68180-2018.docx", "A 68180-2018")</f>
        <v/>
      </c>
      <c r="X192">
        <f>HYPERLINK("https://klasma.github.io/Logging_NYKOPING/tillsyn/A 68180-2018.docx", "A 68180-2018")</f>
        <v/>
      </c>
      <c r="Y192">
        <f>HYPERLINK("https://klasma.github.io/Logging_NYKOPING/tillsynsmail/A 68180-2018.docx", "A 68180-2018")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45186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2055-2019.xlsx", "A 2055-2019")</f>
        <v/>
      </c>
      <c r="T193">
        <f>HYPERLINK("https://klasma.github.io/Logging_VINGAKER/kartor/A 2055-2019.png", "A 2055-2019")</f>
        <v/>
      </c>
      <c r="V193">
        <f>HYPERLINK("https://klasma.github.io/Logging_VINGAKER/klagomål/A 2055-2019.docx", "A 2055-2019")</f>
        <v/>
      </c>
      <c r="W193">
        <f>HYPERLINK("https://klasma.github.io/Logging_VINGAKER/klagomålsmail/A 2055-2019.docx", "A 2055-2019")</f>
        <v/>
      </c>
      <c r="X193">
        <f>HYPERLINK("https://klasma.github.io/Logging_VINGAKER/tillsyn/A 2055-2019.docx", "A 2055-2019")</f>
        <v/>
      </c>
      <c r="Y193">
        <f>HYPERLINK("https://klasma.github.io/Logging_VINGAKER/tillsynsmail/A 2055-2019.docx", "A 2055-2019")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45186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3499-2019.xlsx", "A 3499-2019")</f>
        <v/>
      </c>
      <c r="T194">
        <f>HYPERLINK("https://klasma.github.io/Logging_KATRINEHOLM/kartor/A 3499-2019.png", "A 3499-2019")</f>
        <v/>
      </c>
      <c r="V194">
        <f>HYPERLINK("https://klasma.github.io/Logging_KATRINEHOLM/klagomål/A 3499-2019.docx", "A 3499-2019")</f>
        <v/>
      </c>
      <c r="W194">
        <f>HYPERLINK("https://klasma.github.io/Logging_KATRINEHOLM/klagomålsmail/A 3499-2019.docx", "A 3499-2019")</f>
        <v/>
      </c>
      <c r="X194">
        <f>HYPERLINK("https://klasma.github.io/Logging_KATRINEHOLM/tillsyn/A 3499-2019.docx", "A 3499-2019")</f>
        <v/>
      </c>
      <c r="Y194">
        <f>HYPERLINK("https://klasma.github.io/Logging_KATRINEHOLM/tillsynsmail/A 3499-2019.docx", "A 3499-2019")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45186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8638-2019.xlsx", "A 8638-2019")</f>
        <v/>
      </c>
      <c r="T195">
        <f>HYPERLINK("https://klasma.github.io/Logging_STRANGNAS/kartor/A 8638-2019.png", "A 8638-2019")</f>
        <v/>
      </c>
      <c r="V195">
        <f>HYPERLINK("https://klasma.github.io/Logging_STRANGNAS/klagomål/A 8638-2019.docx", "A 8638-2019")</f>
        <v/>
      </c>
      <c r="W195">
        <f>HYPERLINK("https://klasma.github.io/Logging_STRANGNAS/klagomålsmail/A 8638-2019.docx", "A 8638-2019")</f>
        <v/>
      </c>
      <c r="X195">
        <f>HYPERLINK("https://klasma.github.io/Logging_STRANGNAS/tillsyn/A 8638-2019.docx", "A 8638-2019")</f>
        <v/>
      </c>
      <c r="Y195">
        <f>HYPERLINK("https://klasma.github.io/Logging_STRANGNAS/tillsynsmail/A 8638-2019.docx", "A 8638-2019")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45186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9360-2019.xlsx", "A 9360-2019")</f>
        <v/>
      </c>
      <c r="T196">
        <f>HYPERLINK("https://klasma.github.io/Logging_ESKILSTUNA/kartor/A 9360-2019.png", "A 9360-2019")</f>
        <v/>
      </c>
      <c r="V196">
        <f>HYPERLINK("https://klasma.github.io/Logging_ESKILSTUNA/klagomål/A 9360-2019.docx", "A 9360-2019")</f>
        <v/>
      </c>
      <c r="W196">
        <f>HYPERLINK("https://klasma.github.io/Logging_ESKILSTUNA/klagomålsmail/A 9360-2019.docx", "A 9360-2019")</f>
        <v/>
      </c>
      <c r="X196">
        <f>HYPERLINK("https://klasma.github.io/Logging_ESKILSTUNA/tillsyn/A 9360-2019.docx", "A 9360-2019")</f>
        <v/>
      </c>
      <c r="Y196">
        <f>HYPERLINK("https://klasma.github.io/Logging_ESKILSTUNA/tillsynsmail/A 9360-2019.docx", "A 9360-2019")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45186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9659-2019.xlsx", "A 9659-2019")</f>
        <v/>
      </c>
      <c r="T197">
        <f>HYPERLINK("https://klasma.github.io/Logging_NYKOPING/kartor/A 9659-2019.png", "A 9659-2019")</f>
        <v/>
      </c>
      <c r="V197">
        <f>HYPERLINK("https://klasma.github.io/Logging_NYKOPING/klagomål/A 9659-2019.docx", "A 9659-2019")</f>
        <v/>
      </c>
      <c r="W197">
        <f>HYPERLINK("https://klasma.github.io/Logging_NYKOPING/klagomålsmail/A 9659-2019.docx", "A 9659-2019")</f>
        <v/>
      </c>
      <c r="X197">
        <f>HYPERLINK("https://klasma.github.io/Logging_NYKOPING/tillsyn/A 9659-2019.docx", "A 9659-2019")</f>
        <v/>
      </c>
      <c r="Y197">
        <f>HYPERLINK("https://klasma.github.io/Logging_NYKOPING/tillsynsmail/A 9659-2019.docx", "A 9659-2019")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45186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13821-2019.xlsx", "A 13821-2019")</f>
        <v/>
      </c>
      <c r="T198">
        <f>HYPERLINK("https://klasma.github.io/Logging_NYKOPING/kartor/A 13821-2019.png", "A 13821-2019")</f>
        <v/>
      </c>
      <c r="V198">
        <f>HYPERLINK("https://klasma.github.io/Logging_NYKOPING/klagomål/A 13821-2019.docx", "A 13821-2019")</f>
        <v/>
      </c>
      <c r="W198">
        <f>HYPERLINK("https://klasma.github.io/Logging_NYKOPING/klagomålsmail/A 13821-2019.docx", "A 13821-2019")</f>
        <v/>
      </c>
      <c r="X198">
        <f>HYPERLINK("https://klasma.github.io/Logging_NYKOPING/tillsyn/A 13821-2019.docx", "A 13821-2019")</f>
        <v/>
      </c>
      <c r="Y198">
        <f>HYPERLINK("https://klasma.github.io/Logging_NYKOPING/tillsynsmail/A 13821-2019.docx", "A 13821-2019")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45186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18548-2019.xlsx", "A 18548-2019")</f>
        <v/>
      </c>
      <c r="T199">
        <f>HYPERLINK("https://klasma.github.io/Logging_FLEN/kartor/A 18548-2019.png", "A 18548-2019")</f>
        <v/>
      </c>
      <c r="V199">
        <f>HYPERLINK("https://klasma.github.io/Logging_FLEN/klagomål/A 18548-2019.docx", "A 18548-2019")</f>
        <v/>
      </c>
      <c r="W199">
        <f>HYPERLINK("https://klasma.github.io/Logging_FLEN/klagomålsmail/A 18548-2019.docx", "A 18548-2019")</f>
        <v/>
      </c>
      <c r="X199">
        <f>HYPERLINK("https://klasma.github.io/Logging_FLEN/tillsyn/A 18548-2019.docx", "A 18548-2019")</f>
        <v/>
      </c>
      <c r="Y199">
        <f>HYPERLINK("https://klasma.github.io/Logging_FLEN/tillsynsmail/A 18548-2019.docx", "A 18548-2019")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45186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21540-2019.xlsx", "A 21540-2019")</f>
        <v/>
      </c>
      <c r="T200">
        <f>HYPERLINK("https://klasma.github.io/Logging_KATRINEHOLM/kartor/A 21540-2019.png", "A 21540-2019")</f>
        <v/>
      </c>
      <c r="V200">
        <f>HYPERLINK("https://klasma.github.io/Logging_KATRINEHOLM/klagomål/A 21540-2019.docx", "A 21540-2019")</f>
        <v/>
      </c>
      <c r="W200">
        <f>HYPERLINK("https://klasma.github.io/Logging_KATRINEHOLM/klagomålsmail/A 21540-2019.docx", "A 21540-2019")</f>
        <v/>
      </c>
      <c r="X200">
        <f>HYPERLINK("https://klasma.github.io/Logging_KATRINEHOLM/tillsyn/A 21540-2019.docx", "A 21540-2019")</f>
        <v/>
      </c>
      <c r="Y200">
        <f>HYPERLINK("https://klasma.github.io/Logging_KATRINEHOLM/tillsynsmail/A 21540-2019.docx", "A 21540-2019")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45186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23204-2019.xlsx", "A 23204-2019")</f>
        <v/>
      </c>
      <c r="T201">
        <f>HYPERLINK("https://klasma.github.io/Logging_ESKILSTUNA/kartor/A 23204-2019.png", "A 23204-2019")</f>
        <v/>
      </c>
      <c r="V201">
        <f>HYPERLINK("https://klasma.github.io/Logging_ESKILSTUNA/klagomål/A 23204-2019.docx", "A 23204-2019")</f>
        <v/>
      </c>
      <c r="W201">
        <f>HYPERLINK("https://klasma.github.io/Logging_ESKILSTUNA/klagomålsmail/A 23204-2019.docx", "A 23204-2019")</f>
        <v/>
      </c>
      <c r="X201">
        <f>HYPERLINK("https://klasma.github.io/Logging_ESKILSTUNA/tillsyn/A 23204-2019.docx", "A 23204-2019")</f>
        <v/>
      </c>
      <c r="Y201">
        <f>HYPERLINK("https://klasma.github.io/Logging_ESKILSTUNA/tillsynsmail/A 23204-2019.docx", "A 23204-2019")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45186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23556-2019.xlsx", "A 23556-2019")</f>
        <v/>
      </c>
      <c r="T202">
        <f>HYPERLINK("https://klasma.github.io/Logging_NYKOPING/kartor/A 23556-2019.png", "A 23556-2019")</f>
        <v/>
      </c>
      <c r="V202">
        <f>HYPERLINK("https://klasma.github.io/Logging_NYKOPING/klagomål/A 23556-2019.docx", "A 23556-2019")</f>
        <v/>
      </c>
      <c r="W202">
        <f>HYPERLINK("https://klasma.github.io/Logging_NYKOPING/klagomålsmail/A 23556-2019.docx", "A 23556-2019")</f>
        <v/>
      </c>
      <c r="X202">
        <f>HYPERLINK("https://klasma.github.io/Logging_NYKOPING/tillsyn/A 23556-2019.docx", "A 23556-2019")</f>
        <v/>
      </c>
      <c r="Y202">
        <f>HYPERLINK("https://klasma.github.io/Logging_NYKOPING/tillsynsmail/A 23556-2019.docx", "A 23556-2019")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45186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28647-2019.xlsx", "A 28647-2019")</f>
        <v/>
      </c>
      <c r="T203">
        <f>HYPERLINK("https://klasma.github.io/Logging_NYKOPING/kartor/A 28647-2019.png", "A 28647-2019")</f>
        <v/>
      </c>
      <c r="V203">
        <f>HYPERLINK("https://klasma.github.io/Logging_NYKOPING/klagomål/A 28647-2019.docx", "A 28647-2019")</f>
        <v/>
      </c>
      <c r="W203">
        <f>HYPERLINK("https://klasma.github.io/Logging_NYKOPING/klagomålsmail/A 28647-2019.docx", "A 28647-2019")</f>
        <v/>
      </c>
      <c r="X203">
        <f>HYPERLINK("https://klasma.github.io/Logging_NYKOPING/tillsyn/A 28647-2019.docx", "A 28647-2019")</f>
        <v/>
      </c>
      <c r="Y203">
        <f>HYPERLINK("https://klasma.github.io/Logging_NYKOPING/tillsynsmail/A 28647-2019.docx", "A 28647-2019")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45186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28403-2019.xlsx", "A 28403-2019")</f>
        <v/>
      </c>
      <c r="T204">
        <f>HYPERLINK("https://klasma.github.io/Logging_NYKOPING/kartor/A 28403-2019.png", "A 28403-2019")</f>
        <v/>
      </c>
      <c r="V204">
        <f>HYPERLINK("https://klasma.github.io/Logging_NYKOPING/klagomål/A 28403-2019.docx", "A 28403-2019")</f>
        <v/>
      </c>
      <c r="W204">
        <f>HYPERLINK("https://klasma.github.io/Logging_NYKOPING/klagomålsmail/A 28403-2019.docx", "A 28403-2019")</f>
        <v/>
      </c>
      <c r="X204">
        <f>HYPERLINK("https://klasma.github.io/Logging_NYKOPING/tillsyn/A 28403-2019.docx", "A 28403-2019")</f>
        <v/>
      </c>
      <c r="Y204">
        <f>HYPERLINK("https://klasma.github.io/Logging_NYKOPING/tillsynsmail/A 28403-2019.docx", "A 28403-2019")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45186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29459-2019.xlsx", "A 29459-2019")</f>
        <v/>
      </c>
      <c r="T205">
        <f>HYPERLINK("https://klasma.github.io/Logging_ESKILSTUNA/kartor/A 29459-2019.png", "A 29459-2019")</f>
        <v/>
      </c>
      <c r="U205">
        <f>HYPERLINK("https://klasma.github.io/Logging_ESKILSTUNA/knärot/A 29459-2019.png", "A 29459-2019")</f>
        <v/>
      </c>
      <c r="V205">
        <f>HYPERLINK("https://klasma.github.io/Logging_ESKILSTUNA/klagomål/A 29459-2019.docx", "A 29459-2019")</f>
        <v/>
      </c>
      <c r="W205">
        <f>HYPERLINK("https://klasma.github.io/Logging_ESKILSTUNA/klagomålsmail/A 29459-2019.docx", "A 29459-2019")</f>
        <v/>
      </c>
      <c r="X205">
        <f>HYPERLINK("https://klasma.github.io/Logging_ESKILSTUNA/tillsyn/A 29459-2019.docx", "A 29459-2019")</f>
        <v/>
      </c>
      <c r="Y205">
        <f>HYPERLINK("https://klasma.github.io/Logging_ESKILSTUNA/tillsynsmail/A 29459-2019.docx", "A 29459-2019")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45186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30159-2019.xlsx", "A 30159-2019")</f>
        <v/>
      </c>
      <c r="T206">
        <f>HYPERLINK("https://klasma.github.io/Logging_NYKOPING/kartor/A 30159-2019.png", "A 30159-2019")</f>
        <v/>
      </c>
      <c r="V206">
        <f>HYPERLINK("https://klasma.github.io/Logging_NYKOPING/klagomål/A 30159-2019.docx", "A 30159-2019")</f>
        <v/>
      </c>
      <c r="W206">
        <f>HYPERLINK("https://klasma.github.io/Logging_NYKOPING/klagomålsmail/A 30159-2019.docx", "A 30159-2019")</f>
        <v/>
      </c>
      <c r="X206">
        <f>HYPERLINK("https://klasma.github.io/Logging_NYKOPING/tillsyn/A 30159-2019.docx", "A 30159-2019")</f>
        <v/>
      </c>
      <c r="Y206">
        <f>HYPERLINK("https://klasma.github.io/Logging_NYKOPING/tillsynsmail/A 30159-2019.docx", "A 30159-2019")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45186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33322-2019.xlsx", "A 33322-2019")</f>
        <v/>
      </c>
      <c r="T207">
        <f>HYPERLINK("https://klasma.github.io/Logging_NYKOPING/kartor/A 33322-2019.png", "A 33322-2019")</f>
        <v/>
      </c>
      <c r="V207">
        <f>HYPERLINK("https://klasma.github.io/Logging_NYKOPING/klagomål/A 33322-2019.docx", "A 33322-2019")</f>
        <v/>
      </c>
      <c r="W207">
        <f>HYPERLINK("https://klasma.github.io/Logging_NYKOPING/klagomålsmail/A 33322-2019.docx", "A 33322-2019")</f>
        <v/>
      </c>
      <c r="X207">
        <f>HYPERLINK("https://klasma.github.io/Logging_NYKOPING/tillsyn/A 33322-2019.docx", "A 33322-2019")</f>
        <v/>
      </c>
      <c r="Y207">
        <f>HYPERLINK("https://klasma.github.io/Logging_NYKOPING/tillsynsmail/A 33322-2019.docx", "A 33322-2019")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45186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35997-2019.xlsx", "A 35997-2019")</f>
        <v/>
      </c>
      <c r="T208">
        <f>HYPERLINK("https://klasma.github.io/Logging_VINGAKER/kartor/A 35997-2019.png", "A 35997-2019")</f>
        <v/>
      </c>
      <c r="V208">
        <f>HYPERLINK("https://klasma.github.io/Logging_VINGAKER/klagomål/A 35997-2019.docx", "A 35997-2019")</f>
        <v/>
      </c>
      <c r="W208">
        <f>HYPERLINK("https://klasma.github.io/Logging_VINGAKER/klagomålsmail/A 35997-2019.docx", "A 35997-2019")</f>
        <v/>
      </c>
      <c r="X208">
        <f>HYPERLINK("https://klasma.github.io/Logging_VINGAKER/tillsyn/A 35997-2019.docx", "A 35997-2019")</f>
        <v/>
      </c>
      <c r="Y208">
        <f>HYPERLINK("https://klasma.github.io/Logging_VINGAKER/tillsynsmail/A 35997-2019.docx", "A 35997-2019")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45186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35023-2019.xlsx", "A 35023-2019")</f>
        <v/>
      </c>
      <c r="T209">
        <f>HYPERLINK("https://klasma.github.io/Logging_FLEN/kartor/A 35023-2019.png", "A 35023-2019")</f>
        <v/>
      </c>
      <c r="V209">
        <f>HYPERLINK("https://klasma.github.io/Logging_FLEN/klagomål/A 35023-2019.docx", "A 35023-2019")</f>
        <v/>
      </c>
      <c r="W209">
        <f>HYPERLINK("https://klasma.github.io/Logging_FLEN/klagomålsmail/A 35023-2019.docx", "A 35023-2019")</f>
        <v/>
      </c>
      <c r="X209">
        <f>HYPERLINK("https://klasma.github.io/Logging_FLEN/tillsyn/A 35023-2019.docx", "A 35023-2019")</f>
        <v/>
      </c>
      <c r="Y209">
        <f>HYPERLINK("https://klasma.github.io/Logging_FLEN/tillsynsmail/A 35023-2019.docx", "A 35023-2019")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45186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35143-2019.xlsx", "A 35143-2019")</f>
        <v/>
      </c>
      <c r="T210">
        <f>HYPERLINK("https://klasma.github.io/Logging_NYKOPING/kartor/A 35143-2019.png", "A 35143-2019")</f>
        <v/>
      </c>
      <c r="V210">
        <f>HYPERLINK("https://klasma.github.io/Logging_NYKOPING/klagomål/A 35143-2019.docx", "A 35143-2019")</f>
        <v/>
      </c>
      <c r="W210">
        <f>HYPERLINK("https://klasma.github.io/Logging_NYKOPING/klagomålsmail/A 35143-2019.docx", "A 35143-2019")</f>
        <v/>
      </c>
      <c r="X210">
        <f>HYPERLINK("https://klasma.github.io/Logging_NYKOPING/tillsyn/A 35143-2019.docx", "A 35143-2019")</f>
        <v/>
      </c>
      <c r="Y210">
        <f>HYPERLINK("https://klasma.github.io/Logging_NYKOPING/tillsynsmail/A 35143-2019.docx", "A 35143-2019")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45186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39446-2019.xlsx", "A 39446-2019")</f>
        <v/>
      </c>
      <c r="T211">
        <f>HYPERLINK("https://klasma.github.io/Logging_FLEN/kartor/A 39446-2019.png", "A 39446-2019")</f>
        <v/>
      </c>
      <c r="V211">
        <f>HYPERLINK("https://klasma.github.io/Logging_FLEN/klagomål/A 39446-2019.docx", "A 39446-2019")</f>
        <v/>
      </c>
      <c r="W211">
        <f>HYPERLINK("https://klasma.github.io/Logging_FLEN/klagomålsmail/A 39446-2019.docx", "A 39446-2019")</f>
        <v/>
      </c>
      <c r="X211">
        <f>HYPERLINK("https://klasma.github.io/Logging_FLEN/tillsyn/A 39446-2019.docx", "A 39446-2019")</f>
        <v/>
      </c>
      <c r="Y211">
        <f>HYPERLINK("https://klasma.github.io/Logging_FLEN/tillsynsmail/A 39446-2019.docx", "A 39446-2019")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45186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39788-2019.xlsx", "A 39788-2019")</f>
        <v/>
      </c>
      <c r="T212">
        <f>HYPERLINK("https://klasma.github.io/Logging_VINGAKER/kartor/A 39788-2019.png", "A 39788-2019")</f>
        <v/>
      </c>
      <c r="V212">
        <f>HYPERLINK("https://klasma.github.io/Logging_VINGAKER/klagomål/A 39788-2019.docx", "A 39788-2019")</f>
        <v/>
      </c>
      <c r="W212">
        <f>HYPERLINK("https://klasma.github.io/Logging_VINGAKER/klagomålsmail/A 39788-2019.docx", "A 39788-2019")</f>
        <v/>
      </c>
      <c r="X212">
        <f>HYPERLINK("https://klasma.github.io/Logging_VINGAKER/tillsyn/A 39788-2019.docx", "A 39788-2019")</f>
        <v/>
      </c>
      <c r="Y212">
        <f>HYPERLINK("https://klasma.github.io/Logging_VINGAKER/tillsynsmail/A 39788-2019.docx", "A 39788-2019")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45186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43369-2019.xlsx", "A 43369-2019")</f>
        <v/>
      </c>
      <c r="T213">
        <f>HYPERLINK("https://klasma.github.io/Logging_FLEN/kartor/A 43369-2019.png", "A 43369-2019")</f>
        <v/>
      </c>
      <c r="V213">
        <f>HYPERLINK("https://klasma.github.io/Logging_FLEN/klagomål/A 43369-2019.docx", "A 43369-2019")</f>
        <v/>
      </c>
      <c r="W213">
        <f>HYPERLINK("https://klasma.github.io/Logging_FLEN/klagomålsmail/A 43369-2019.docx", "A 43369-2019")</f>
        <v/>
      </c>
      <c r="X213">
        <f>HYPERLINK("https://klasma.github.io/Logging_FLEN/tillsyn/A 43369-2019.docx", "A 43369-2019")</f>
        <v/>
      </c>
      <c r="Y213">
        <f>HYPERLINK("https://klasma.github.io/Logging_FLEN/tillsynsmail/A 43369-2019.docx", "A 43369-2019")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45186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43329-2019.xlsx", "A 43329-2019")</f>
        <v/>
      </c>
      <c r="T214">
        <f>HYPERLINK("https://klasma.github.io/Logging_FLEN/kartor/A 43329-2019.png", "A 43329-2019")</f>
        <v/>
      </c>
      <c r="U214">
        <f>HYPERLINK("https://klasma.github.io/Logging_FLEN/knärot/A 43329-2019.png", "A 43329-2019")</f>
        <v/>
      </c>
      <c r="V214">
        <f>HYPERLINK("https://klasma.github.io/Logging_FLEN/klagomål/A 43329-2019.docx", "A 43329-2019")</f>
        <v/>
      </c>
      <c r="W214">
        <f>HYPERLINK("https://klasma.github.io/Logging_FLEN/klagomålsmail/A 43329-2019.docx", "A 43329-2019")</f>
        <v/>
      </c>
      <c r="X214">
        <f>HYPERLINK("https://klasma.github.io/Logging_FLEN/tillsyn/A 43329-2019.docx", "A 43329-2019")</f>
        <v/>
      </c>
      <c r="Y214">
        <f>HYPERLINK("https://klasma.github.io/Logging_FLEN/tillsynsmail/A 43329-2019.docx", "A 43329-2019")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45186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42633-2019.xlsx", "A 42633-2019")</f>
        <v/>
      </c>
      <c r="T215">
        <f>HYPERLINK("https://klasma.github.io/Logging_NYKOPING/kartor/A 42633-2019.png", "A 42633-2019")</f>
        <v/>
      </c>
      <c r="V215">
        <f>HYPERLINK("https://klasma.github.io/Logging_NYKOPING/klagomål/A 42633-2019.docx", "A 42633-2019")</f>
        <v/>
      </c>
      <c r="W215">
        <f>HYPERLINK("https://klasma.github.io/Logging_NYKOPING/klagomålsmail/A 42633-2019.docx", "A 42633-2019")</f>
        <v/>
      </c>
      <c r="X215">
        <f>HYPERLINK("https://klasma.github.io/Logging_NYKOPING/tillsyn/A 42633-2019.docx", "A 42633-2019")</f>
        <v/>
      </c>
      <c r="Y215">
        <f>HYPERLINK("https://klasma.github.io/Logging_NYKOPING/tillsynsmail/A 42633-2019.docx", "A 42633-2019")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45186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45577-2019.xlsx", "A 45577-2019")</f>
        <v/>
      </c>
      <c r="T216">
        <f>HYPERLINK("https://klasma.github.io/Logging_GNESTA/kartor/A 45577-2019.png", "A 45577-2019")</f>
        <v/>
      </c>
      <c r="V216">
        <f>HYPERLINK("https://klasma.github.io/Logging_GNESTA/klagomål/A 45577-2019.docx", "A 45577-2019")</f>
        <v/>
      </c>
      <c r="W216">
        <f>HYPERLINK("https://klasma.github.io/Logging_GNESTA/klagomålsmail/A 45577-2019.docx", "A 45577-2019")</f>
        <v/>
      </c>
      <c r="X216">
        <f>HYPERLINK("https://klasma.github.io/Logging_GNESTA/tillsyn/A 45577-2019.docx", "A 45577-2019")</f>
        <v/>
      </c>
      <c r="Y216">
        <f>HYPERLINK("https://klasma.github.io/Logging_GNESTA/tillsynsmail/A 45577-2019.docx", "A 45577-2019")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45186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50952-2019.xlsx", "A 50952-2019")</f>
        <v/>
      </c>
      <c r="T217">
        <f>HYPERLINK("https://klasma.github.io/Logging_ESKILSTUNA/kartor/A 50952-2019.png", "A 50952-2019")</f>
        <v/>
      </c>
      <c r="V217">
        <f>HYPERLINK("https://klasma.github.io/Logging_ESKILSTUNA/klagomål/A 50952-2019.docx", "A 50952-2019")</f>
        <v/>
      </c>
      <c r="W217">
        <f>HYPERLINK("https://klasma.github.io/Logging_ESKILSTUNA/klagomålsmail/A 50952-2019.docx", "A 50952-2019")</f>
        <v/>
      </c>
      <c r="X217">
        <f>HYPERLINK("https://klasma.github.io/Logging_ESKILSTUNA/tillsyn/A 50952-2019.docx", "A 50952-2019")</f>
        <v/>
      </c>
      <c r="Y217">
        <f>HYPERLINK("https://klasma.github.io/Logging_ESKILSTUNA/tillsynsmail/A 50952-2019.docx", "A 50952-2019")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45186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51437-2019.xlsx", "A 51437-2019")</f>
        <v/>
      </c>
      <c r="T218">
        <f>HYPERLINK("https://klasma.github.io/Logging_GNESTA/kartor/A 51437-2019.png", "A 51437-2019")</f>
        <v/>
      </c>
      <c r="V218">
        <f>HYPERLINK("https://klasma.github.io/Logging_GNESTA/klagomål/A 51437-2019.docx", "A 51437-2019")</f>
        <v/>
      </c>
      <c r="W218">
        <f>HYPERLINK("https://klasma.github.io/Logging_GNESTA/klagomålsmail/A 51437-2019.docx", "A 51437-2019")</f>
        <v/>
      </c>
      <c r="X218">
        <f>HYPERLINK("https://klasma.github.io/Logging_GNESTA/tillsyn/A 51437-2019.docx", "A 51437-2019")</f>
        <v/>
      </c>
      <c r="Y218">
        <f>HYPERLINK("https://klasma.github.io/Logging_GNESTA/tillsynsmail/A 51437-2019.docx", "A 51437-2019")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45186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51651-2019.xlsx", "A 51651-2019")</f>
        <v/>
      </c>
      <c r="T219">
        <f>HYPERLINK("https://klasma.github.io/Logging_ESKILSTUNA/kartor/A 51651-2019.png", "A 51651-2019")</f>
        <v/>
      </c>
      <c r="V219">
        <f>HYPERLINK("https://klasma.github.io/Logging_ESKILSTUNA/klagomål/A 51651-2019.docx", "A 51651-2019")</f>
        <v/>
      </c>
      <c r="W219">
        <f>HYPERLINK("https://klasma.github.io/Logging_ESKILSTUNA/klagomålsmail/A 51651-2019.docx", "A 51651-2019")</f>
        <v/>
      </c>
      <c r="X219">
        <f>HYPERLINK("https://klasma.github.io/Logging_ESKILSTUNA/tillsyn/A 51651-2019.docx", "A 51651-2019")</f>
        <v/>
      </c>
      <c r="Y219">
        <f>HYPERLINK("https://klasma.github.io/Logging_ESKILSTUNA/tillsynsmail/A 51651-2019.docx", "A 51651-2019")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45186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51874-2019.xlsx", "A 51874-2019")</f>
        <v/>
      </c>
      <c r="T220">
        <f>HYPERLINK("https://klasma.github.io/Logging_KATRINEHOLM/kartor/A 51874-2019.png", "A 51874-2019")</f>
        <v/>
      </c>
      <c r="V220">
        <f>HYPERLINK("https://klasma.github.io/Logging_KATRINEHOLM/klagomål/A 51874-2019.docx", "A 51874-2019")</f>
        <v/>
      </c>
      <c r="W220">
        <f>HYPERLINK("https://klasma.github.io/Logging_KATRINEHOLM/klagomålsmail/A 51874-2019.docx", "A 51874-2019")</f>
        <v/>
      </c>
      <c r="X220">
        <f>HYPERLINK("https://klasma.github.io/Logging_KATRINEHOLM/tillsyn/A 51874-2019.docx", "A 51874-2019")</f>
        <v/>
      </c>
      <c r="Y220">
        <f>HYPERLINK("https://klasma.github.io/Logging_KATRINEHOLM/tillsynsmail/A 51874-2019.docx", "A 51874-2019")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45186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52557-2019.xlsx", "A 52557-2019")</f>
        <v/>
      </c>
      <c r="T221">
        <f>HYPERLINK("https://klasma.github.io/Logging_KATRINEHOLM/kartor/A 52557-2019.png", "A 52557-2019")</f>
        <v/>
      </c>
      <c r="V221">
        <f>HYPERLINK("https://klasma.github.io/Logging_KATRINEHOLM/klagomål/A 52557-2019.docx", "A 52557-2019")</f>
        <v/>
      </c>
      <c r="W221">
        <f>HYPERLINK("https://klasma.github.io/Logging_KATRINEHOLM/klagomålsmail/A 52557-2019.docx", "A 52557-2019")</f>
        <v/>
      </c>
      <c r="X221">
        <f>HYPERLINK("https://klasma.github.io/Logging_KATRINEHOLM/tillsyn/A 52557-2019.docx", "A 52557-2019")</f>
        <v/>
      </c>
      <c r="Y221">
        <f>HYPERLINK("https://klasma.github.io/Logging_KATRINEHOLM/tillsynsmail/A 52557-2019.docx", "A 52557-2019")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45186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54163-2019.xlsx", "A 54163-2019")</f>
        <v/>
      </c>
      <c r="T222">
        <f>HYPERLINK("https://klasma.github.io/Logging_NYKOPING/kartor/A 54163-2019.png", "A 54163-2019")</f>
        <v/>
      </c>
      <c r="V222">
        <f>HYPERLINK("https://klasma.github.io/Logging_NYKOPING/klagomål/A 54163-2019.docx", "A 54163-2019")</f>
        <v/>
      </c>
      <c r="W222">
        <f>HYPERLINK("https://klasma.github.io/Logging_NYKOPING/klagomålsmail/A 54163-2019.docx", "A 54163-2019")</f>
        <v/>
      </c>
      <c r="X222">
        <f>HYPERLINK("https://klasma.github.io/Logging_NYKOPING/tillsyn/A 54163-2019.docx", "A 54163-2019")</f>
        <v/>
      </c>
      <c r="Y222">
        <f>HYPERLINK("https://klasma.github.io/Logging_NYKOPING/tillsynsmail/A 54163-2019.docx", "A 54163-2019")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45186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54326-2019.xlsx", "A 54326-2019")</f>
        <v/>
      </c>
      <c r="T223">
        <f>HYPERLINK("https://klasma.github.io/Logging_ESKILSTUNA/kartor/A 54326-2019.png", "A 54326-2019")</f>
        <v/>
      </c>
      <c r="V223">
        <f>HYPERLINK("https://klasma.github.io/Logging_ESKILSTUNA/klagomål/A 54326-2019.docx", "A 54326-2019")</f>
        <v/>
      </c>
      <c r="W223">
        <f>HYPERLINK("https://klasma.github.io/Logging_ESKILSTUNA/klagomålsmail/A 54326-2019.docx", "A 54326-2019")</f>
        <v/>
      </c>
      <c r="X223">
        <f>HYPERLINK("https://klasma.github.io/Logging_ESKILSTUNA/tillsyn/A 54326-2019.docx", "A 54326-2019")</f>
        <v/>
      </c>
      <c r="Y223">
        <f>HYPERLINK("https://klasma.github.io/Logging_ESKILSTUNA/tillsynsmail/A 54326-2019.docx", "A 54326-2019")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45186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54418-2019.xlsx", "A 54418-2019")</f>
        <v/>
      </c>
      <c r="T224">
        <f>HYPERLINK("https://klasma.github.io/Logging_FLEN/kartor/A 54418-2019.png", "A 54418-2019")</f>
        <v/>
      </c>
      <c r="V224">
        <f>HYPERLINK("https://klasma.github.io/Logging_FLEN/klagomål/A 54418-2019.docx", "A 54418-2019")</f>
        <v/>
      </c>
      <c r="W224">
        <f>HYPERLINK("https://klasma.github.io/Logging_FLEN/klagomålsmail/A 54418-2019.docx", "A 54418-2019")</f>
        <v/>
      </c>
      <c r="X224">
        <f>HYPERLINK("https://klasma.github.io/Logging_FLEN/tillsyn/A 54418-2019.docx", "A 54418-2019")</f>
        <v/>
      </c>
      <c r="Y224">
        <f>HYPERLINK("https://klasma.github.io/Logging_FLEN/tillsynsmail/A 54418-2019.docx", "A 54418-2019")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45186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55376-2019.xlsx", "A 55376-2019")</f>
        <v/>
      </c>
      <c r="T225">
        <f>HYPERLINK("https://klasma.github.io/Logging_FLEN/kartor/A 55376-2019.png", "A 55376-2019")</f>
        <v/>
      </c>
      <c r="V225">
        <f>HYPERLINK("https://klasma.github.io/Logging_FLEN/klagomål/A 55376-2019.docx", "A 55376-2019")</f>
        <v/>
      </c>
      <c r="W225">
        <f>HYPERLINK("https://klasma.github.io/Logging_FLEN/klagomålsmail/A 55376-2019.docx", "A 55376-2019")</f>
        <v/>
      </c>
      <c r="X225">
        <f>HYPERLINK("https://klasma.github.io/Logging_FLEN/tillsyn/A 55376-2019.docx", "A 55376-2019")</f>
        <v/>
      </c>
      <c r="Y225">
        <f>HYPERLINK("https://klasma.github.io/Logging_FLEN/tillsynsmail/A 55376-2019.docx", "A 55376-2019")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45186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60216-2019.xlsx", "A 60216-2019")</f>
        <v/>
      </c>
      <c r="T226">
        <f>HYPERLINK("https://klasma.github.io/Logging_FLEN/kartor/A 60216-2019.png", "A 60216-2019")</f>
        <v/>
      </c>
      <c r="V226">
        <f>HYPERLINK("https://klasma.github.io/Logging_FLEN/klagomål/A 60216-2019.docx", "A 60216-2019")</f>
        <v/>
      </c>
      <c r="W226">
        <f>HYPERLINK("https://klasma.github.io/Logging_FLEN/klagomålsmail/A 60216-2019.docx", "A 60216-2019")</f>
        <v/>
      </c>
      <c r="X226">
        <f>HYPERLINK("https://klasma.github.io/Logging_FLEN/tillsyn/A 60216-2019.docx", "A 60216-2019")</f>
        <v/>
      </c>
      <c r="Y226">
        <f>HYPERLINK("https://klasma.github.io/Logging_FLEN/tillsynsmail/A 60216-2019.docx", "A 60216-2019")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45186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872-2020.xlsx", "A 872-2020")</f>
        <v/>
      </c>
      <c r="T227">
        <f>HYPERLINK("https://klasma.github.io/Logging_NYKOPING/kartor/A 872-2020.png", "A 872-2020")</f>
        <v/>
      </c>
      <c r="V227">
        <f>HYPERLINK("https://klasma.github.io/Logging_NYKOPING/klagomål/A 872-2020.docx", "A 872-2020")</f>
        <v/>
      </c>
      <c r="W227">
        <f>HYPERLINK("https://klasma.github.io/Logging_NYKOPING/klagomålsmail/A 872-2020.docx", "A 872-2020")</f>
        <v/>
      </c>
      <c r="X227">
        <f>HYPERLINK("https://klasma.github.io/Logging_NYKOPING/tillsyn/A 872-2020.docx", "A 872-2020")</f>
        <v/>
      </c>
      <c r="Y227">
        <f>HYPERLINK("https://klasma.github.io/Logging_NYKOPING/tillsynsmail/A 872-2020.docx", "A 872-2020")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45186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1380-2020.xlsx", "A 1380-2020")</f>
        <v/>
      </c>
      <c r="T228">
        <f>HYPERLINK("https://klasma.github.io/Logging_NYKOPING/kartor/A 1380-2020.png", "A 1380-2020")</f>
        <v/>
      </c>
      <c r="V228">
        <f>HYPERLINK("https://klasma.github.io/Logging_NYKOPING/klagomål/A 1380-2020.docx", "A 1380-2020")</f>
        <v/>
      </c>
      <c r="W228">
        <f>HYPERLINK("https://klasma.github.io/Logging_NYKOPING/klagomålsmail/A 1380-2020.docx", "A 1380-2020")</f>
        <v/>
      </c>
      <c r="X228">
        <f>HYPERLINK("https://klasma.github.io/Logging_NYKOPING/tillsyn/A 1380-2020.docx", "A 1380-2020")</f>
        <v/>
      </c>
      <c r="Y228">
        <f>HYPERLINK("https://klasma.github.io/Logging_NYKOPING/tillsynsmail/A 1380-2020.docx", "A 1380-2020")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45186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4244-2020.xlsx", "A 4244-2020")</f>
        <v/>
      </c>
      <c r="T229">
        <f>HYPERLINK("https://klasma.github.io/Logging_NYKOPING/kartor/A 4244-2020.png", "A 4244-2020")</f>
        <v/>
      </c>
      <c r="U229">
        <f>HYPERLINK("https://klasma.github.io/Logging_NYKOPING/knärot/A 4244-2020.png", "A 4244-2020")</f>
        <v/>
      </c>
      <c r="V229">
        <f>HYPERLINK("https://klasma.github.io/Logging_NYKOPING/klagomål/A 4244-2020.docx", "A 4244-2020")</f>
        <v/>
      </c>
      <c r="W229">
        <f>HYPERLINK("https://klasma.github.io/Logging_NYKOPING/klagomålsmail/A 4244-2020.docx", "A 4244-2020")</f>
        <v/>
      </c>
      <c r="X229">
        <f>HYPERLINK("https://klasma.github.io/Logging_NYKOPING/tillsyn/A 4244-2020.docx", "A 4244-2020")</f>
        <v/>
      </c>
      <c r="Y229">
        <f>HYPERLINK("https://klasma.github.io/Logging_NYKOPING/tillsynsmail/A 4244-2020.docx", "A 4244-2020")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45186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4372-2020.xlsx", "A 4372-2020")</f>
        <v/>
      </c>
      <c r="T230">
        <f>HYPERLINK("https://klasma.github.io/Logging_FLEN/kartor/A 4372-2020.png", "A 4372-2020")</f>
        <v/>
      </c>
      <c r="V230">
        <f>HYPERLINK("https://klasma.github.io/Logging_FLEN/klagomål/A 4372-2020.docx", "A 4372-2020")</f>
        <v/>
      </c>
      <c r="W230">
        <f>HYPERLINK("https://klasma.github.io/Logging_FLEN/klagomålsmail/A 4372-2020.docx", "A 4372-2020")</f>
        <v/>
      </c>
      <c r="X230">
        <f>HYPERLINK("https://klasma.github.io/Logging_FLEN/tillsyn/A 4372-2020.docx", "A 4372-2020")</f>
        <v/>
      </c>
      <c r="Y230">
        <f>HYPERLINK("https://klasma.github.io/Logging_FLEN/tillsynsmail/A 4372-2020.docx", "A 4372-2020")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45186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5210-2020.xlsx", "A 5210-2020")</f>
        <v/>
      </c>
      <c r="T231">
        <f>HYPERLINK("https://klasma.github.io/Logging_FLEN/kartor/A 5210-2020.png", "A 5210-2020")</f>
        <v/>
      </c>
      <c r="V231">
        <f>HYPERLINK("https://klasma.github.io/Logging_FLEN/klagomål/A 5210-2020.docx", "A 5210-2020")</f>
        <v/>
      </c>
      <c r="W231">
        <f>HYPERLINK("https://klasma.github.io/Logging_FLEN/klagomålsmail/A 5210-2020.docx", "A 5210-2020")</f>
        <v/>
      </c>
      <c r="X231">
        <f>HYPERLINK("https://klasma.github.io/Logging_FLEN/tillsyn/A 5210-2020.docx", "A 5210-2020")</f>
        <v/>
      </c>
      <c r="Y231">
        <f>HYPERLINK("https://klasma.github.io/Logging_FLEN/tillsynsmail/A 5210-2020.docx", "A 5210-2020")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45186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7702-2020.xlsx", "A 7702-2020")</f>
        <v/>
      </c>
      <c r="T232">
        <f>HYPERLINK("https://klasma.github.io/Logging_NYKOPING/kartor/A 7702-2020.png", "A 7702-2020")</f>
        <v/>
      </c>
      <c r="V232">
        <f>HYPERLINK("https://klasma.github.io/Logging_NYKOPING/klagomål/A 7702-2020.docx", "A 7702-2020")</f>
        <v/>
      </c>
      <c r="W232">
        <f>HYPERLINK("https://klasma.github.io/Logging_NYKOPING/klagomålsmail/A 7702-2020.docx", "A 7702-2020")</f>
        <v/>
      </c>
      <c r="X232">
        <f>HYPERLINK("https://klasma.github.io/Logging_NYKOPING/tillsyn/A 7702-2020.docx", "A 7702-2020")</f>
        <v/>
      </c>
      <c r="Y232">
        <f>HYPERLINK("https://klasma.github.io/Logging_NYKOPING/tillsynsmail/A 7702-2020.docx", "A 7702-2020")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45186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13747-2020.xlsx", "A 13747-2020")</f>
        <v/>
      </c>
      <c r="T233">
        <f>HYPERLINK("https://klasma.github.io/Logging_GNESTA/kartor/A 13747-2020.png", "A 13747-2020")</f>
        <v/>
      </c>
      <c r="V233">
        <f>HYPERLINK("https://klasma.github.io/Logging_GNESTA/klagomål/A 13747-2020.docx", "A 13747-2020")</f>
        <v/>
      </c>
      <c r="W233">
        <f>HYPERLINK("https://klasma.github.io/Logging_GNESTA/klagomålsmail/A 13747-2020.docx", "A 13747-2020")</f>
        <v/>
      </c>
      <c r="X233">
        <f>HYPERLINK("https://klasma.github.io/Logging_GNESTA/tillsyn/A 13747-2020.docx", "A 13747-2020")</f>
        <v/>
      </c>
      <c r="Y233">
        <f>HYPERLINK("https://klasma.github.io/Logging_GNESTA/tillsynsmail/A 13747-2020.docx", "A 13747-2020")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45186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13756-2020.xlsx", "A 13756-2020")</f>
        <v/>
      </c>
      <c r="T234">
        <f>HYPERLINK("https://klasma.github.io/Logging_NYKOPING/kartor/A 13756-2020.png", "A 13756-2020")</f>
        <v/>
      </c>
      <c r="V234">
        <f>HYPERLINK("https://klasma.github.io/Logging_NYKOPING/klagomål/A 13756-2020.docx", "A 13756-2020")</f>
        <v/>
      </c>
      <c r="W234">
        <f>HYPERLINK("https://klasma.github.io/Logging_NYKOPING/klagomålsmail/A 13756-2020.docx", "A 13756-2020")</f>
        <v/>
      </c>
      <c r="X234">
        <f>HYPERLINK("https://klasma.github.io/Logging_NYKOPING/tillsyn/A 13756-2020.docx", "A 13756-2020")</f>
        <v/>
      </c>
      <c r="Y234">
        <f>HYPERLINK("https://klasma.github.io/Logging_NYKOPING/tillsynsmail/A 13756-2020.docx", "A 13756-2020")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45186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16877-2020.xlsx", "A 16877-2020")</f>
        <v/>
      </c>
      <c r="T235">
        <f>HYPERLINK("https://klasma.github.io/Logging_ESKILSTUNA/kartor/A 16877-2020.png", "A 16877-2020")</f>
        <v/>
      </c>
      <c r="V235">
        <f>HYPERLINK("https://klasma.github.io/Logging_ESKILSTUNA/klagomål/A 16877-2020.docx", "A 16877-2020")</f>
        <v/>
      </c>
      <c r="W235">
        <f>HYPERLINK("https://klasma.github.io/Logging_ESKILSTUNA/klagomålsmail/A 16877-2020.docx", "A 16877-2020")</f>
        <v/>
      </c>
      <c r="X235">
        <f>HYPERLINK("https://klasma.github.io/Logging_ESKILSTUNA/tillsyn/A 16877-2020.docx", "A 16877-2020")</f>
        <v/>
      </c>
      <c r="Y235">
        <f>HYPERLINK("https://klasma.github.io/Logging_ESKILSTUNA/tillsynsmail/A 16877-2020.docx", "A 16877-2020")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45186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18283-2020.xlsx", "A 18283-2020")</f>
        <v/>
      </c>
      <c r="T236">
        <f>HYPERLINK("https://klasma.github.io/Logging_KATRINEHOLM/kartor/A 18283-2020.png", "A 18283-2020")</f>
        <v/>
      </c>
      <c r="U236">
        <f>HYPERLINK("https://klasma.github.io/Logging_KATRINEHOLM/knärot/A 18283-2020.png", "A 18283-2020")</f>
        <v/>
      </c>
      <c r="V236">
        <f>HYPERLINK("https://klasma.github.io/Logging_KATRINEHOLM/klagomål/A 18283-2020.docx", "A 18283-2020")</f>
        <v/>
      </c>
      <c r="W236">
        <f>HYPERLINK("https://klasma.github.io/Logging_KATRINEHOLM/klagomålsmail/A 18283-2020.docx", "A 18283-2020")</f>
        <v/>
      </c>
      <c r="X236">
        <f>HYPERLINK("https://klasma.github.io/Logging_KATRINEHOLM/tillsyn/A 18283-2020.docx", "A 18283-2020")</f>
        <v/>
      </c>
      <c r="Y236">
        <f>HYPERLINK("https://klasma.github.io/Logging_KATRINEHOLM/tillsynsmail/A 18283-2020.docx", "A 18283-2020")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45186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19647-2020.xlsx", "A 19647-2020")</f>
        <v/>
      </c>
      <c r="T237">
        <f>HYPERLINK("https://klasma.github.io/Logging_NYKOPING/kartor/A 19647-2020.png", "A 19647-2020")</f>
        <v/>
      </c>
      <c r="V237">
        <f>HYPERLINK("https://klasma.github.io/Logging_NYKOPING/klagomål/A 19647-2020.docx", "A 19647-2020")</f>
        <v/>
      </c>
      <c r="W237">
        <f>HYPERLINK("https://klasma.github.io/Logging_NYKOPING/klagomålsmail/A 19647-2020.docx", "A 19647-2020")</f>
        <v/>
      </c>
      <c r="X237">
        <f>HYPERLINK("https://klasma.github.io/Logging_NYKOPING/tillsyn/A 19647-2020.docx", "A 19647-2020")</f>
        <v/>
      </c>
      <c r="Y237">
        <f>HYPERLINK("https://klasma.github.io/Logging_NYKOPING/tillsynsmail/A 19647-2020.docx", "A 19647-2020")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45186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20017-2020.xlsx", "A 20017-2020")</f>
        <v/>
      </c>
      <c r="T238">
        <f>HYPERLINK("https://klasma.github.io/Logging_NYKOPING/kartor/A 20017-2020.png", "A 20017-2020")</f>
        <v/>
      </c>
      <c r="V238">
        <f>HYPERLINK("https://klasma.github.io/Logging_NYKOPING/klagomål/A 20017-2020.docx", "A 20017-2020")</f>
        <v/>
      </c>
      <c r="W238">
        <f>HYPERLINK("https://klasma.github.io/Logging_NYKOPING/klagomålsmail/A 20017-2020.docx", "A 20017-2020")</f>
        <v/>
      </c>
      <c r="X238">
        <f>HYPERLINK("https://klasma.github.io/Logging_NYKOPING/tillsyn/A 20017-2020.docx", "A 20017-2020")</f>
        <v/>
      </c>
      <c r="Y238">
        <f>HYPERLINK("https://klasma.github.io/Logging_NYKOPING/tillsynsmail/A 20017-2020.docx", "A 20017-2020")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45186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20001-2020.xlsx", "A 20001-2020")</f>
        <v/>
      </c>
      <c r="T239">
        <f>HYPERLINK("https://klasma.github.io/Logging_FLEN/kartor/A 20001-2020.png", "A 20001-2020")</f>
        <v/>
      </c>
      <c r="V239">
        <f>HYPERLINK("https://klasma.github.io/Logging_FLEN/klagomål/A 20001-2020.docx", "A 20001-2020")</f>
        <v/>
      </c>
      <c r="W239">
        <f>HYPERLINK("https://klasma.github.io/Logging_FLEN/klagomålsmail/A 20001-2020.docx", "A 20001-2020")</f>
        <v/>
      </c>
      <c r="X239">
        <f>HYPERLINK("https://klasma.github.io/Logging_FLEN/tillsyn/A 20001-2020.docx", "A 20001-2020")</f>
        <v/>
      </c>
      <c r="Y239">
        <f>HYPERLINK("https://klasma.github.io/Logging_FLEN/tillsynsmail/A 20001-2020.docx", "A 20001-2020")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45186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20041-2020.xlsx", "A 20041-2020")</f>
        <v/>
      </c>
      <c r="T240">
        <f>HYPERLINK("https://klasma.github.io/Logging_STRANGNAS/kartor/A 20041-2020.png", "A 20041-2020")</f>
        <v/>
      </c>
      <c r="V240">
        <f>HYPERLINK("https://klasma.github.io/Logging_STRANGNAS/klagomål/A 20041-2020.docx", "A 20041-2020")</f>
        <v/>
      </c>
      <c r="W240">
        <f>HYPERLINK("https://klasma.github.io/Logging_STRANGNAS/klagomålsmail/A 20041-2020.docx", "A 20041-2020")</f>
        <v/>
      </c>
      <c r="X240">
        <f>HYPERLINK("https://klasma.github.io/Logging_STRANGNAS/tillsyn/A 20041-2020.docx", "A 20041-2020")</f>
        <v/>
      </c>
      <c r="Y240">
        <f>HYPERLINK("https://klasma.github.io/Logging_STRANGNAS/tillsynsmail/A 20041-2020.docx", "A 20041-2020")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45186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21940-2020.xlsx", "A 21940-2020")</f>
        <v/>
      </c>
      <c r="T241">
        <f>HYPERLINK("https://klasma.github.io/Logging_TROSA/kartor/A 21940-2020.png", "A 21940-2020")</f>
        <v/>
      </c>
      <c r="V241">
        <f>HYPERLINK("https://klasma.github.io/Logging_TROSA/klagomål/A 21940-2020.docx", "A 21940-2020")</f>
        <v/>
      </c>
      <c r="W241">
        <f>HYPERLINK("https://klasma.github.io/Logging_TROSA/klagomålsmail/A 21940-2020.docx", "A 21940-2020")</f>
        <v/>
      </c>
      <c r="X241">
        <f>HYPERLINK("https://klasma.github.io/Logging_TROSA/tillsyn/A 21940-2020.docx", "A 21940-2020")</f>
        <v/>
      </c>
      <c r="Y241">
        <f>HYPERLINK("https://klasma.github.io/Logging_TROSA/tillsynsmail/A 21940-2020.docx", "A 21940-2020")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45186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21808-2020.xlsx", "A 21808-2020")</f>
        <v/>
      </c>
      <c r="T242">
        <f>HYPERLINK("https://klasma.github.io/Logging_KATRINEHOLM/kartor/A 21808-2020.png", "A 21808-2020")</f>
        <v/>
      </c>
      <c r="V242">
        <f>HYPERLINK("https://klasma.github.io/Logging_KATRINEHOLM/klagomål/A 21808-2020.docx", "A 21808-2020")</f>
        <v/>
      </c>
      <c r="W242">
        <f>HYPERLINK("https://klasma.github.io/Logging_KATRINEHOLM/klagomålsmail/A 21808-2020.docx", "A 21808-2020")</f>
        <v/>
      </c>
      <c r="X242">
        <f>HYPERLINK("https://klasma.github.io/Logging_KATRINEHOLM/tillsyn/A 21808-2020.docx", "A 21808-2020")</f>
        <v/>
      </c>
      <c r="Y242">
        <f>HYPERLINK("https://klasma.github.io/Logging_KATRINEHOLM/tillsynsmail/A 21808-2020.docx", "A 21808-2020")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45186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23201-2020.xlsx", "A 23201-2020")</f>
        <v/>
      </c>
      <c r="T243">
        <f>HYPERLINK("https://klasma.github.io/Logging_ESKILSTUNA/kartor/A 23201-2020.png", "A 23201-2020")</f>
        <v/>
      </c>
      <c r="V243">
        <f>HYPERLINK("https://klasma.github.io/Logging_ESKILSTUNA/klagomål/A 23201-2020.docx", "A 23201-2020")</f>
        <v/>
      </c>
      <c r="W243">
        <f>HYPERLINK("https://klasma.github.io/Logging_ESKILSTUNA/klagomålsmail/A 23201-2020.docx", "A 23201-2020")</f>
        <v/>
      </c>
      <c r="X243">
        <f>HYPERLINK("https://klasma.github.io/Logging_ESKILSTUNA/tillsyn/A 23201-2020.docx", "A 23201-2020")</f>
        <v/>
      </c>
      <c r="Y243">
        <f>HYPERLINK("https://klasma.github.io/Logging_ESKILSTUNA/tillsynsmail/A 23201-2020.docx", "A 23201-2020")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45186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23515-2020.xlsx", "A 23515-2020")</f>
        <v/>
      </c>
      <c r="T244">
        <f>HYPERLINK("https://klasma.github.io/Logging_STRANGNAS/kartor/A 23515-2020.png", "A 23515-2020")</f>
        <v/>
      </c>
      <c r="V244">
        <f>HYPERLINK("https://klasma.github.io/Logging_STRANGNAS/klagomål/A 23515-2020.docx", "A 23515-2020")</f>
        <v/>
      </c>
      <c r="W244">
        <f>HYPERLINK("https://klasma.github.io/Logging_STRANGNAS/klagomålsmail/A 23515-2020.docx", "A 23515-2020")</f>
        <v/>
      </c>
      <c r="X244">
        <f>HYPERLINK("https://klasma.github.io/Logging_STRANGNAS/tillsyn/A 23515-2020.docx", "A 23515-2020")</f>
        <v/>
      </c>
      <c r="Y244">
        <f>HYPERLINK("https://klasma.github.io/Logging_STRANGNAS/tillsynsmail/A 23515-2020.docx", "A 23515-2020")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45186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25802-2020.xlsx", "A 25802-2020")</f>
        <v/>
      </c>
      <c r="T245">
        <f>HYPERLINK("https://klasma.github.io/Logging_NYKOPING/kartor/A 25802-2020.png", "A 25802-2020")</f>
        <v/>
      </c>
      <c r="V245">
        <f>HYPERLINK("https://klasma.github.io/Logging_NYKOPING/klagomål/A 25802-2020.docx", "A 25802-2020")</f>
        <v/>
      </c>
      <c r="W245">
        <f>HYPERLINK("https://klasma.github.io/Logging_NYKOPING/klagomålsmail/A 25802-2020.docx", "A 25802-2020")</f>
        <v/>
      </c>
      <c r="X245">
        <f>HYPERLINK("https://klasma.github.io/Logging_NYKOPING/tillsyn/A 25802-2020.docx", "A 25802-2020")</f>
        <v/>
      </c>
      <c r="Y245">
        <f>HYPERLINK("https://klasma.github.io/Logging_NYKOPING/tillsynsmail/A 25802-2020.docx", "A 25802-2020")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45186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28149-2020.xlsx", "A 28149-2020")</f>
        <v/>
      </c>
      <c r="T246">
        <f>HYPERLINK("https://klasma.github.io/Logging_TROSA/kartor/A 28149-2020.png", "A 28149-2020")</f>
        <v/>
      </c>
      <c r="V246">
        <f>HYPERLINK("https://klasma.github.io/Logging_TROSA/klagomål/A 28149-2020.docx", "A 28149-2020")</f>
        <v/>
      </c>
      <c r="W246">
        <f>HYPERLINK("https://klasma.github.io/Logging_TROSA/klagomålsmail/A 28149-2020.docx", "A 28149-2020")</f>
        <v/>
      </c>
      <c r="X246">
        <f>HYPERLINK("https://klasma.github.io/Logging_TROSA/tillsyn/A 28149-2020.docx", "A 28149-2020")</f>
        <v/>
      </c>
      <c r="Y246">
        <f>HYPERLINK("https://klasma.github.io/Logging_TROSA/tillsynsmail/A 28149-2020.docx", "A 28149-2020")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45186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29320-2020.xlsx", "A 29320-2020")</f>
        <v/>
      </c>
      <c r="T247">
        <f>HYPERLINK("https://klasma.github.io/Logging_NYKOPING/kartor/A 29320-2020.png", "A 29320-2020")</f>
        <v/>
      </c>
      <c r="V247">
        <f>HYPERLINK("https://klasma.github.io/Logging_NYKOPING/klagomål/A 29320-2020.docx", "A 29320-2020")</f>
        <v/>
      </c>
      <c r="W247">
        <f>HYPERLINK("https://klasma.github.io/Logging_NYKOPING/klagomålsmail/A 29320-2020.docx", "A 29320-2020")</f>
        <v/>
      </c>
      <c r="X247">
        <f>HYPERLINK("https://klasma.github.io/Logging_NYKOPING/tillsyn/A 29320-2020.docx", "A 29320-2020")</f>
        <v/>
      </c>
      <c r="Y247">
        <f>HYPERLINK("https://klasma.github.io/Logging_NYKOPING/tillsynsmail/A 29320-2020.docx", "A 29320-2020")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45186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29400-2020.xlsx", "A 29400-2020")</f>
        <v/>
      </c>
      <c r="T248">
        <f>HYPERLINK("https://klasma.github.io/Logging_NYKOPING/kartor/A 29400-2020.png", "A 29400-2020")</f>
        <v/>
      </c>
      <c r="V248">
        <f>HYPERLINK("https://klasma.github.io/Logging_NYKOPING/klagomål/A 29400-2020.docx", "A 29400-2020")</f>
        <v/>
      </c>
      <c r="W248">
        <f>HYPERLINK("https://klasma.github.io/Logging_NYKOPING/klagomålsmail/A 29400-2020.docx", "A 29400-2020")</f>
        <v/>
      </c>
      <c r="X248">
        <f>HYPERLINK("https://klasma.github.io/Logging_NYKOPING/tillsyn/A 29400-2020.docx", "A 29400-2020")</f>
        <v/>
      </c>
      <c r="Y248">
        <f>HYPERLINK("https://klasma.github.io/Logging_NYKOPING/tillsynsmail/A 29400-2020.docx", "A 29400-2020")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45186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29402-2020.xlsx", "A 29402-2020")</f>
        <v/>
      </c>
      <c r="T249">
        <f>HYPERLINK("https://klasma.github.io/Logging_NYKOPING/kartor/A 29402-2020.png", "A 29402-2020")</f>
        <v/>
      </c>
      <c r="V249">
        <f>HYPERLINK("https://klasma.github.io/Logging_NYKOPING/klagomål/A 29402-2020.docx", "A 29402-2020")</f>
        <v/>
      </c>
      <c r="W249">
        <f>HYPERLINK("https://klasma.github.io/Logging_NYKOPING/klagomålsmail/A 29402-2020.docx", "A 29402-2020")</f>
        <v/>
      </c>
      <c r="X249">
        <f>HYPERLINK("https://klasma.github.io/Logging_NYKOPING/tillsyn/A 29402-2020.docx", "A 29402-2020")</f>
        <v/>
      </c>
      <c r="Y249">
        <f>HYPERLINK("https://klasma.github.io/Logging_NYKOPING/tillsynsmail/A 29402-2020.docx", "A 29402-2020")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45186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30887-2020.xlsx", "A 30887-2020")</f>
        <v/>
      </c>
      <c r="T250">
        <f>HYPERLINK("https://klasma.github.io/Logging_NYKOPING/kartor/A 30887-2020.png", "A 30887-2020")</f>
        <v/>
      </c>
      <c r="V250">
        <f>HYPERLINK("https://klasma.github.io/Logging_NYKOPING/klagomål/A 30887-2020.docx", "A 30887-2020")</f>
        <v/>
      </c>
      <c r="W250">
        <f>HYPERLINK("https://klasma.github.io/Logging_NYKOPING/klagomålsmail/A 30887-2020.docx", "A 30887-2020")</f>
        <v/>
      </c>
      <c r="X250">
        <f>HYPERLINK("https://klasma.github.io/Logging_NYKOPING/tillsyn/A 30887-2020.docx", "A 30887-2020")</f>
        <v/>
      </c>
      <c r="Y250">
        <f>HYPERLINK("https://klasma.github.io/Logging_NYKOPING/tillsynsmail/A 30887-2020.docx", "A 30887-2020")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45186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31870-2020.xlsx", "A 31870-2020")</f>
        <v/>
      </c>
      <c r="T251">
        <f>HYPERLINK("https://klasma.github.io/Logging_FLEN/kartor/A 31870-2020.png", "A 31870-2020")</f>
        <v/>
      </c>
      <c r="V251">
        <f>HYPERLINK("https://klasma.github.io/Logging_FLEN/klagomål/A 31870-2020.docx", "A 31870-2020")</f>
        <v/>
      </c>
      <c r="W251">
        <f>HYPERLINK("https://klasma.github.io/Logging_FLEN/klagomålsmail/A 31870-2020.docx", "A 31870-2020")</f>
        <v/>
      </c>
      <c r="X251">
        <f>HYPERLINK("https://klasma.github.io/Logging_FLEN/tillsyn/A 31870-2020.docx", "A 31870-2020")</f>
        <v/>
      </c>
      <c r="Y251">
        <f>HYPERLINK("https://klasma.github.io/Logging_FLEN/tillsynsmail/A 31870-2020.docx", "A 31870-2020")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45186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35106-2020.xlsx", "A 35106-2020")</f>
        <v/>
      </c>
      <c r="T252">
        <f>HYPERLINK("https://klasma.github.io/Logging_TROSA/kartor/A 35106-2020.png", "A 35106-2020")</f>
        <v/>
      </c>
      <c r="V252">
        <f>HYPERLINK("https://klasma.github.io/Logging_TROSA/klagomål/A 35106-2020.docx", "A 35106-2020")</f>
        <v/>
      </c>
      <c r="W252">
        <f>HYPERLINK("https://klasma.github.io/Logging_TROSA/klagomålsmail/A 35106-2020.docx", "A 35106-2020")</f>
        <v/>
      </c>
      <c r="X252">
        <f>HYPERLINK("https://klasma.github.io/Logging_TROSA/tillsyn/A 35106-2020.docx", "A 35106-2020")</f>
        <v/>
      </c>
      <c r="Y252">
        <f>HYPERLINK("https://klasma.github.io/Logging_TROSA/tillsynsmail/A 35106-2020.docx", "A 35106-2020")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45186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38423-2020.xlsx", "A 38423-2020")</f>
        <v/>
      </c>
      <c r="T253">
        <f>HYPERLINK("https://klasma.github.io/Logging_ESKILSTUNA/kartor/A 38423-2020.png", "A 38423-2020")</f>
        <v/>
      </c>
      <c r="V253">
        <f>HYPERLINK("https://klasma.github.io/Logging_ESKILSTUNA/klagomål/A 38423-2020.docx", "A 38423-2020")</f>
        <v/>
      </c>
      <c r="W253">
        <f>HYPERLINK("https://klasma.github.io/Logging_ESKILSTUNA/klagomålsmail/A 38423-2020.docx", "A 38423-2020")</f>
        <v/>
      </c>
      <c r="X253">
        <f>HYPERLINK("https://klasma.github.io/Logging_ESKILSTUNA/tillsyn/A 38423-2020.docx", "A 38423-2020")</f>
        <v/>
      </c>
      <c r="Y253">
        <f>HYPERLINK("https://klasma.github.io/Logging_ESKILSTUNA/tillsynsmail/A 38423-2020.docx", "A 38423-2020")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45186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38880-2020.xlsx", "A 38880-2020")</f>
        <v/>
      </c>
      <c r="T254">
        <f>HYPERLINK("https://klasma.github.io/Logging_TROSA/kartor/A 38880-2020.png", "A 38880-2020")</f>
        <v/>
      </c>
      <c r="V254">
        <f>HYPERLINK("https://klasma.github.io/Logging_TROSA/klagomål/A 38880-2020.docx", "A 38880-2020")</f>
        <v/>
      </c>
      <c r="W254">
        <f>HYPERLINK("https://klasma.github.io/Logging_TROSA/klagomålsmail/A 38880-2020.docx", "A 38880-2020")</f>
        <v/>
      </c>
      <c r="X254">
        <f>HYPERLINK("https://klasma.github.io/Logging_TROSA/tillsyn/A 38880-2020.docx", "A 38880-2020")</f>
        <v/>
      </c>
      <c r="Y254">
        <f>HYPERLINK("https://klasma.github.io/Logging_TROSA/tillsynsmail/A 38880-2020.docx", "A 38880-2020")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45186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44224-2020.xlsx", "A 44224-2020")</f>
        <v/>
      </c>
      <c r="T255">
        <f>HYPERLINK("https://klasma.github.io/Logging_NYKOPING/kartor/A 44224-2020.png", "A 44224-2020")</f>
        <v/>
      </c>
      <c r="V255">
        <f>HYPERLINK("https://klasma.github.io/Logging_NYKOPING/klagomål/A 44224-2020.docx", "A 44224-2020")</f>
        <v/>
      </c>
      <c r="W255">
        <f>HYPERLINK("https://klasma.github.io/Logging_NYKOPING/klagomålsmail/A 44224-2020.docx", "A 44224-2020")</f>
        <v/>
      </c>
      <c r="X255">
        <f>HYPERLINK("https://klasma.github.io/Logging_NYKOPING/tillsyn/A 44224-2020.docx", "A 44224-2020")</f>
        <v/>
      </c>
      <c r="Y255">
        <f>HYPERLINK("https://klasma.github.io/Logging_NYKOPING/tillsynsmail/A 44224-2020.docx", "A 44224-2020")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45186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44227-2020.xlsx", "A 44227-2020")</f>
        <v/>
      </c>
      <c r="T256">
        <f>HYPERLINK("https://klasma.github.io/Logging_NYKOPING/kartor/A 44227-2020.png", "A 44227-2020")</f>
        <v/>
      </c>
      <c r="V256">
        <f>HYPERLINK("https://klasma.github.io/Logging_NYKOPING/klagomål/A 44227-2020.docx", "A 44227-2020")</f>
        <v/>
      </c>
      <c r="W256">
        <f>HYPERLINK("https://klasma.github.io/Logging_NYKOPING/klagomålsmail/A 44227-2020.docx", "A 44227-2020")</f>
        <v/>
      </c>
      <c r="X256">
        <f>HYPERLINK("https://klasma.github.io/Logging_NYKOPING/tillsyn/A 44227-2020.docx", "A 44227-2020")</f>
        <v/>
      </c>
      <c r="Y256">
        <f>HYPERLINK("https://klasma.github.io/Logging_NYKOPING/tillsynsmail/A 44227-2020.docx", "A 44227-2020")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45186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47989-2020.xlsx", "A 47989-2020")</f>
        <v/>
      </c>
      <c r="T257">
        <f>HYPERLINK("https://klasma.github.io/Logging_KATRINEHOLM/kartor/A 47989-2020.png", "A 47989-2020")</f>
        <v/>
      </c>
      <c r="V257">
        <f>HYPERLINK("https://klasma.github.io/Logging_KATRINEHOLM/klagomål/A 47989-2020.docx", "A 47989-2020")</f>
        <v/>
      </c>
      <c r="W257">
        <f>HYPERLINK("https://klasma.github.io/Logging_KATRINEHOLM/klagomålsmail/A 47989-2020.docx", "A 47989-2020")</f>
        <v/>
      </c>
      <c r="X257">
        <f>HYPERLINK("https://klasma.github.io/Logging_KATRINEHOLM/tillsyn/A 47989-2020.docx", "A 47989-2020")</f>
        <v/>
      </c>
      <c r="Y257">
        <f>HYPERLINK("https://klasma.github.io/Logging_KATRINEHOLM/tillsynsmail/A 47989-2020.docx", "A 47989-2020")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45186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51080-2020.xlsx", "A 51080-2020")</f>
        <v/>
      </c>
      <c r="T258">
        <f>HYPERLINK("https://klasma.github.io/Logging_GNESTA/kartor/A 51080-2020.png", "A 51080-2020")</f>
        <v/>
      </c>
      <c r="V258">
        <f>HYPERLINK("https://klasma.github.io/Logging_GNESTA/klagomål/A 51080-2020.docx", "A 51080-2020")</f>
        <v/>
      </c>
      <c r="W258">
        <f>HYPERLINK("https://klasma.github.io/Logging_GNESTA/klagomålsmail/A 51080-2020.docx", "A 51080-2020")</f>
        <v/>
      </c>
      <c r="X258">
        <f>HYPERLINK("https://klasma.github.io/Logging_GNESTA/tillsyn/A 51080-2020.docx", "A 51080-2020")</f>
        <v/>
      </c>
      <c r="Y258">
        <f>HYPERLINK("https://klasma.github.io/Logging_GNESTA/tillsynsmail/A 51080-2020.docx", "A 51080-2020")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45186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52828-2020.xlsx", "A 52828-2020")</f>
        <v/>
      </c>
      <c r="T259">
        <f>HYPERLINK("https://klasma.github.io/Logging_GNESTA/kartor/A 52828-2020.png", "A 52828-2020")</f>
        <v/>
      </c>
      <c r="V259">
        <f>HYPERLINK("https://klasma.github.io/Logging_GNESTA/klagomål/A 52828-2020.docx", "A 52828-2020")</f>
        <v/>
      </c>
      <c r="W259">
        <f>HYPERLINK("https://klasma.github.io/Logging_GNESTA/klagomålsmail/A 52828-2020.docx", "A 52828-2020")</f>
        <v/>
      </c>
      <c r="X259">
        <f>HYPERLINK("https://klasma.github.io/Logging_GNESTA/tillsyn/A 52828-2020.docx", "A 52828-2020")</f>
        <v/>
      </c>
      <c r="Y259">
        <f>HYPERLINK("https://klasma.github.io/Logging_GNESTA/tillsynsmail/A 52828-2020.docx", "A 52828-2020")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45186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55009-2020.xlsx", "A 55009-2020")</f>
        <v/>
      </c>
      <c r="T260">
        <f>HYPERLINK("https://klasma.github.io/Logging_FLEN/kartor/A 55009-2020.png", "A 55009-2020")</f>
        <v/>
      </c>
      <c r="V260">
        <f>HYPERLINK("https://klasma.github.io/Logging_FLEN/klagomål/A 55009-2020.docx", "A 55009-2020")</f>
        <v/>
      </c>
      <c r="W260">
        <f>HYPERLINK("https://klasma.github.io/Logging_FLEN/klagomålsmail/A 55009-2020.docx", "A 55009-2020")</f>
        <v/>
      </c>
      <c r="X260">
        <f>HYPERLINK("https://klasma.github.io/Logging_FLEN/tillsyn/A 55009-2020.docx", "A 55009-2020")</f>
        <v/>
      </c>
      <c r="Y260">
        <f>HYPERLINK("https://klasma.github.io/Logging_FLEN/tillsynsmail/A 55009-2020.docx", "A 55009-2020")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45186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55760-2020.xlsx", "A 55760-2020")</f>
        <v/>
      </c>
      <c r="T261">
        <f>HYPERLINK("https://klasma.github.io/Logging_TROSA/kartor/A 55760-2020.png", "A 55760-2020")</f>
        <v/>
      </c>
      <c r="V261">
        <f>HYPERLINK("https://klasma.github.io/Logging_TROSA/klagomål/A 55760-2020.docx", "A 55760-2020")</f>
        <v/>
      </c>
      <c r="W261">
        <f>HYPERLINK("https://klasma.github.io/Logging_TROSA/klagomålsmail/A 55760-2020.docx", "A 55760-2020")</f>
        <v/>
      </c>
      <c r="X261">
        <f>HYPERLINK("https://klasma.github.io/Logging_TROSA/tillsyn/A 55760-2020.docx", "A 55760-2020")</f>
        <v/>
      </c>
      <c r="Y261">
        <f>HYPERLINK("https://klasma.github.io/Logging_TROSA/tillsynsmail/A 55760-2020.docx", "A 55760-2020")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45186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56228-2020.xlsx", "A 56228-2020")</f>
        <v/>
      </c>
      <c r="T262">
        <f>HYPERLINK("https://klasma.github.io/Logging_ESKILSTUNA/kartor/A 56228-2020.png", "A 56228-2020")</f>
        <v/>
      </c>
      <c r="V262">
        <f>HYPERLINK("https://klasma.github.io/Logging_ESKILSTUNA/klagomål/A 56228-2020.docx", "A 56228-2020")</f>
        <v/>
      </c>
      <c r="W262">
        <f>HYPERLINK("https://klasma.github.io/Logging_ESKILSTUNA/klagomålsmail/A 56228-2020.docx", "A 56228-2020")</f>
        <v/>
      </c>
      <c r="X262">
        <f>HYPERLINK("https://klasma.github.io/Logging_ESKILSTUNA/tillsyn/A 56228-2020.docx", "A 56228-2020")</f>
        <v/>
      </c>
      <c r="Y262">
        <f>HYPERLINK("https://klasma.github.io/Logging_ESKILSTUNA/tillsynsmail/A 56228-2020.docx", "A 56228-2020")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45186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58011-2020.xlsx", "A 58011-2020")</f>
        <v/>
      </c>
      <c r="T263">
        <f>HYPERLINK("https://klasma.github.io/Logging_STRANGNAS/kartor/A 58011-2020.png", "A 58011-2020")</f>
        <v/>
      </c>
      <c r="V263">
        <f>HYPERLINK("https://klasma.github.io/Logging_STRANGNAS/klagomål/A 58011-2020.docx", "A 58011-2020")</f>
        <v/>
      </c>
      <c r="W263">
        <f>HYPERLINK("https://klasma.github.io/Logging_STRANGNAS/klagomålsmail/A 58011-2020.docx", "A 58011-2020")</f>
        <v/>
      </c>
      <c r="X263">
        <f>HYPERLINK("https://klasma.github.io/Logging_STRANGNAS/tillsyn/A 58011-2020.docx", "A 58011-2020")</f>
        <v/>
      </c>
      <c r="Y263">
        <f>HYPERLINK("https://klasma.github.io/Logging_STRANGNAS/tillsynsmail/A 58011-2020.docx", "A 58011-2020")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45186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64960-2020.xlsx", "A 64960-2020")</f>
        <v/>
      </c>
      <c r="T264">
        <f>HYPERLINK("https://klasma.github.io/Logging_STRANGNAS/kartor/A 64960-2020.png", "A 64960-2020")</f>
        <v/>
      </c>
      <c r="U264">
        <f>HYPERLINK("https://klasma.github.io/Logging_STRANGNAS/knärot/A 64960-2020.png", "A 64960-2020")</f>
        <v/>
      </c>
      <c r="V264">
        <f>HYPERLINK("https://klasma.github.io/Logging_STRANGNAS/klagomål/A 64960-2020.docx", "A 64960-2020")</f>
        <v/>
      </c>
      <c r="W264">
        <f>HYPERLINK("https://klasma.github.io/Logging_STRANGNAS/klagomålsmail/A 64960-2020.docx", "A 64960-2020")</f>
        <v/>
      </c>
      <c r="X264">
        <f>HYPERLINK("https://klasma.github.io/Logging_STRANGNAS/tillsyn/A 64960-2020.docx", "A 64960-2020")</f>
        <v/>
      </c>
      <c r="Y264">
        <f>HYPERLINK("https://klasma.github.io/Logging_STRANGNAS/tillsynsmail/A 64960-2020.docx", "A 64960-2020")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45186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66876-2020.xlsx", "A 66876-2020")</f>
        <v/>
      </c>
      <c r="T265">
        <f>HYPERLINK("https://klasma.github.io/Logging_KATRINEHOLM/kartor/A 66876-2020.png", "A 66876-2020")</f>
        <v/>
      </c>
      <c r="V265">
        <f>HYPERLINK("https://klasma.github.io/Logging_KATRINEHOLM/klagomål/A 66876-2020.docx", "A 66876-2020")</f>
        <v/>
      </c>
      <c r="W265">
        <f>HYPERLINK("https://klasma.github.io/Logging_KATRINEHOLM/klagomålsmail/A 66876-2020.docx", "A 66876-2020")</f>
        <v/>
      </c>
      <c r="X265">
        <f>HYPERLINK("https://klasma.github.io/Logging_KATRINEHOLM/tillsyn/A 66876-2020.docx", "A 66876-2020")</f>
        <v/>
      </c>
      <c r="Y265">
        <f>HYPERLINK("https://klasma.github.io/Logging_KATRINEHOLM/tillsynsmail/A 66876-2020.docx", "A 66876-2020")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45186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7130-2021.xlsx", "A 7130-2021")</f>
        <v/>
      </c>
      <c r="T266">
        <f>HYPERLINK("https://klasma.github.io/Logging_NYKOPING/kartor/A 7130-2021.png", "A 7130-2021")</f>
        <v/>
      </c>
      <c r="V266">
        <f>HYPERLINK("https://klasma.github.io/Logging_NYKOPING/klagomål/A 7130-2021.docx", "A 7130-2021")</f>
        <v/>
      </c>
      <c r="W266">
        <f>HYPERLINK("https://klasma.github.io/Logging_NYKOPING/klagomålsmail/A 7130-2021.docx", "A 7130-2021")</f>
        <v/>
      </c>
      <c r="X266">
        <f>HYPERLINK("https://klasma.github.io/Logging_NYKOPING/tillsyn/A 7130-2021.docx", "A 7130-2021")</f>
        <v/>
      </c>
      <c r="Y266">
        <f>HYPERLINK("https://klasma.github.io/Logging_NYKOPING/tillsynsmail/A 7130-2021.docx", "A 7130-2021")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45186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11150-2021.xlsx", "A 11150-2021")</f>
        <v/>
      </c>
      <c r="T267">
        <f>HYPERLINK("https://klasma.github.io/Logging_GNESTA/kartor/A 11150-2021.png", "A 11150-2021")</f>
        <v/>
      </c>
      <c r="V267">
        <f>HYPERLINK("https://klasma.github.io/Logging_GNESTA/klagomål/A 11150-2021.docx", "A 11150-2021")</f>
        <v/>
      </c>
      <c r="W267">
        <f>HYPERLINK("https://klasma.github.io/Logging_GNESTA/klagomålsmail/A 11150-2021.docx", "A 11150-2021")</f>
        <v/>
      </c>
      <c r="X267">
        <f>HYPERLINK("https://klasma.github.io/Logging_GNESTA/tillsyn/A 11150-2021.docx", "A 11150-2021")</f>
        <v/>
      </c>
      <c r="Y267">
        <f>HYPERLINK("https://klasma.github.io/Logging_GNESTA/tillsynsmail/A 11150-2021.docx", "A 11150-2021")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45186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11354-2021.xlsx", "A 11354-2021")</f>
        <v/>
      </c>
      <c r="T268">
        <f>HYPERLINK("https://klasma.github.io/Logging_NYKOPING/kartor/A 11354-2021.png", "A 11354-2021")</f>
        <v/>
      </c>
      <c r="V268">
        <f>HYPERLINK("https://klasma.github.io/Logging_NYKOPING/klagomål/A 11354-2021.docx", "A 11354-2021")</f>
        <v/>
      </c>
      <c r="W268">
        <f>HYPERLINK("https://klasma.github.io/Logging_NYKOPING/klagomålsmail/A 11354-2021.docx", "A 11354-2021")</f>
        <v/>
      </c>
      <c r="X268">
        <f>HYPERLINK("https://klasma.github.io/Logging_NYKOPING/tillsyn/A 11354-2021.docx", "A 11354-2021")</f>
        <v/>
      </c>
      <c r="Y268">
        <f>HYPERLINK("https://klasma.github.io/Logging_NYKOPING/tillsynsmail/A 11354-2021.docx", "A 11354-2021")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45186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16826-2021.xlsx", "A 16826-2021")</f>
        <v/>
      </c>
      <c r="T269">
        <f>HYPERLINK("https://klasma.github.io/Logging_GNESTA/kartor/A 16826-2021.png", "A 16826-2021")</f>
        <v/>
      </c>
      <c r="V269">
        <f>HYPERLINK("https://klasma.github.io/Logging_GNESTA/klagomål/A 16826-2021.docx", "A 16826-2021")</f>
        <v/>
      </c>
      <c r="W269">
        <f>HYPERLINK("https://klasma.github.io/Logging_GNESTA/klagomålsmail/A 16826-2021.docx", "A 16826-2021")</f>
        <v/>
      </c>
      <c r="X269">
        <f>HYPERLINK("https://klasma.github.io/Logging_GNESTA/tillsyn/A 16826-2021.docx", "A 16826-2021")</f>
        <v/>
      </c>
      <c r="Y269">
        <f>HYPERLINK("https://klasma.github.io/Logging_GNESTA/tillsynsmail/A 16826-2021.docx", "A 16826-2021")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45186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24223-2021.xlsx", "A 24223-2021")</f>
        <v/>
      </c>
      <c r="T270">
        <f>HYPERLINK("https://klasma.github.io/Logging_VINGAKER/kartor/A 24223-2021.png", "A 24223-2021")</f>
        <v/>
      </c>
      <c r="V270">
        <f>HYPERLINK("https://klasma.github.io/Logging_VINGAKER/klagomål/A 24223-2021.docx", "A 24223-2021")</f>
        <v/>
      </c>
      <c r="W270">
        <f>HYPERLINK("https://klasma.github.io/Logging_VINGAKER/klagomålsmail/A 24223-2021.docx", "A 24223-2021")</f>
        <v/>
      </c>
      <c r="X270">
        <f>HYPERLINK("https://klasma.github.io/Logging_VINGAKER/tillsyn/A 24223-2021.docx", "A 24223-2021")</f>
        <v/>
      </c>
      <c r="Y270">
        <f>HYPERLINK("https://klasma.github.io/Logging_VINGAKER/tillsynsmail/A 24223-2021.docx", "A 24223-2021")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45186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24301-2021.xlsx", "A 24301-2021")</f>
        <v/>
      </c>
      <c r="T271">
        <f>HYPERLINK("https://klasma.github.io/Logging_VINGAKER/kartor/A 24301-2021.png", "A 24301-2021")</f>
        <v/>
      </c>
      <c r="V271">
        <f>HYPERLINK("https://klasma.github.io/Logging_VINGAKER/klagomål/A 24301-2021.docx", "A 24301-2021")</f>
        <v/>
      </c>
      <c r="W271">
        <f>HYPERLINK("https://klasma.github.io/Logging_VINGAKER/klagomålsmail/A 24301-2021.docx", "A 24301-2021")</f>
        <v/>
      </c>
      <c r="X271">
        <f>HYPERLINK("https://klasma.github.io/Logging_VINGAKER/tillsyn/A 24301-2021.docx", "A 24301-2021")</f>
        <v/>
      </c>
      <c r="Y271">
        <f>HYPERLINK("https://klasma.github.io/Logging_VINGAKER/tillsynsmail/A 24301-2021.docx", "A 24301-2021")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45186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26647-2021.xlsx", "A 26647-2021")</f>
        <v/>
      </c>
      <c r="T272">
        <f>HYPERLINK("https://klasma.github.io/Logging_NYKOPING/kartor/A 26647-2021.png", "A 26647-2021")</f>
        <v/>
      </c>
      <c r="V272">
        <f>HYPERLINK("https://klasma.github.io/Logging_NYKOPING/klagomål/A 26647-2021.docx", "A 26647-2021")</f>
        <v/>
      </c>
      <c r="W272">
        <f>HYPERLINK("https://klasma.github.io/Logging_NYKOPING/klagomålsmail/A 26647-2021.docx", "A 26647-2021")</f>
        <v/>
      </c>
      <c r="X272">
        <f>HYPERLINK("https://klasma.github.io/Logging_NYKOPING/tillsyn/A 26647-2021.docx", "A 26647-2021")</f>
        <v/>
      </c>
      <c r="Y272">
        <f>HYPERLINK("https://klasma.github.io/Logging_NYKOPING/tillsynsmail/A 26647-2021.docx", "A 26647-2021")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45186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30155-2021.xlsx", "A 30155-2021")</f>
        <v/>
      </c>
      <c r="T273">
        <f>HYPERLINK("https://klasma.github.io/Logging_NYKOPING/kartor/A 30155-2021.png", "A 30155-2021")</f>
        <v/>
      </c>
      <c r="V273">
        <f>HYPERLINK("https://klasma.github.io/Logging_NYKOPING/klagomål/A 30155-2021.docx", "A 30155-2021")</f>
        <v/>
      </c>
      <c r="W273">
        <f>HYPERLINK("https://klasma.github.io/Logging_NYKOPING/klagomålsmail/A 30155-2021.docx", "A 30155-2021")</f>
        <v/>
      </c>
      <c r="X273">
        <f>HYPERLINK("https://klasma.github.io/Logging_NYKOPING/tillsyn/A 30155-2021.docx", "A 30155-2021")</f>
        <v/>
      </c>
      <c r="Y273">
        <f>HYPERLINK("https://klasma.github.io/Logging_NYKOPING/tillsynsmail/A 30155-2021.docx", "A 30155-2021")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45186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33759-2021.xlsx", "A 33759-2021")</f>
        <v/>
      </c>
      <c r="T274">
        <f>HYPERLINK("https://klasma.github.io/Logging_ESKILSTUNA/kartor/A 33759-2021.png", "A 33759-2021")</f>
        <v/>
      </c>
      <c r="V274">
        <f>HYPERLINK("https://klasma.github.io/Logging_ESKILSTUNA/klagomål/A 33759-2021.docx", "A 33759-2021")</f>
        <v/>
      </c>
      <c r="W274">
        <f>HYPERLINK("https://klasma.github.io/Logging_ESKILSTUNA/klagomålsmail/A 33759-2021.docx", "A 33759-2021")</f>
        <v/>
      </c>
      <c r="X274">
        <f>HYPERLINK("https://klasma.github.io/Logging_ESKILSTUNA/tillsyn/A 33759-2021.docx", "A 33759-2021")</f>
        <v/>
      </c>
      <c r="Y274">
        <f>HYPERLINK("https://klasma.github.io/Logging_ESKILSTUNA/tillsynsmail/A 33759-2021.docx", "A 33759-2021")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45186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37347-2021.xlsx", "A 37347-2021")</f>
        <v/>
      </c>
      <c r="T275">
        <f>HYPERLINK("https://klasma.github.io/Logging_FLEN/kartor/A 37347-2021.png", "A 37347-2021")</f>
        <v/>
      </c>
      <c r="V275">
        <f>HYPERLINK("https://klasma.github.io/Logging_FLEN/klagomål/A 37347-2021.docx", "A 37347-2021")</f>
        <v/>
      </c>
      <c r="W275">
        <f>HYPERLINK("https://klasma.github.io/Logging_FLEN/klagomålsmail/A 37347-2021.docx", "A 37347-2021")</f>
        <v/>
      </c>
      <c r="X275">
        <f>HYPERLINK("https://klasma.github.io/Logging_FLEN/tillsyn/A 37347-2021.docx", "A 37347-2021")</f>
        <v/>
      </c>
      <c r="Y275">
        <f>HYPERLINK("https://klasma.github.io/Logging_FLEN/tillsynsmail/A 37347-2021.docx", "A 37347-2021")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45186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37836-2021.xlsx", "A 37836-2021")</f>
        <v/>
      </c>
      <c r="T276">
        <f>HYPERLINK("https://klasma.github.io/Logging_TROSA/kartor/A 37836-2021.png", "A 37836-2021")</f>
        <v/>
      </c>
      <c r="U276">
        <f>HYPERLINK("https://klasma.github.io/Logging_TROSA/knärot/A 37836-2021.png", "A 37836-2021")</f>
        <v/>
      </c>
      <c r="V276">
        <f>HYPERLINK("https://klasma.github.io/Logging_TROSA/klagomål/A 37836-2021.docx", "A 37836-2021")</f>
        <v/>
      </c>
      <c r="W276">
        <f>HYPERLINK("https://klasma.github.io/Logging_TROSA/klagomålsmail/A 37836-2021.docx", "A 37836-2021")</f>
        <v/>
      </c>
      <c r="X276">
        <f>HYPERLINK("https://klasma.github.io/Logging_TROSA/tillsyn/A 37836-2021.docx", "A 37836-2021")</f>
        <v/>
      </c>
      <c r="Y276">
        <f>HYPERLINK("https://klasma.github.io/Logging_TROSA/tillsynsmail/A 37836-2021.docx", "A 37836-2021")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45186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37879-2021.xlsx", "A 37879-2021")</f>
        <v/>
      </c>
      <c r="T277">
        <f>HYPERLINK("https://klasma.github.io/Logging_NYKOPING/kartor/A 37879-2021.png", "A 37879-2021")</f>
        <v/>
      </c>
      <c r="V277">
        <f>HYPERLINK("https://klasma.github.io/Logging_NYKOPING/klagomål/A 37879-2021.docx", "A 37879-2021")</f>
        <v/>
      </c>
      <c r="W277">
        <f>HYPERLINK("https://klasma.github.io/Logging_NYKOPING/klagomålsmail/A 37879-2021.docx", "A 37879-2021")</f>
        <v/>
      </c>
      <c r="X277">
        <f>HYPERLINK("https://klasma.github.io/Logging_NYKOPING/tillsyn/A 37879-2021.docx", "A 37879-2021")</f>
        <v/>
      </c>
      <c r="Y277">
        <f>HYPERLINK("https://klasma.github.io/Logging_NYKOPING/tillsynsmail/A 37879-2021.docx", "A 37879-2021")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45186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38366-2021.xlsx", "A 38366-2021")</f>
        <v/>
      </c>
      <c r="T278">
        <f>HYPERLINK("https://klasma.github.io/Logging_NYKOPING/kartor/A 38366-2021.png", "A 38366-2021")</f>
        <v/>
      </c>
      <c r="V278">
        <f>HYPERLINK("https://klasma.github.io/Logging_NYKOPING/klagomål/A 38366-2021.docx", "A 38366-2021")</f>
        <v/>
      </c>
      <c r="W278">
        <f>HYPERLINK("https://klasma.github.io/Logging_NYKOPING/klagomålsmail/A 38366-2021.docx", "A 38366-2021")</f>
        <v/>
      </c>
      <c r="X278">
        <f>HYPERLINK("https://klasma.github.io/Logging_NYKOPING/tillsyn/A 38366-2021.docx", "A 38366-2021")</f>
        <v/>
      </c>
      <c r="Y278">
        <f>HYPERLINK("https://klasma.github.io/Logging_NYKOPING/tillsynsmail/A 38366-2021.docx", "A 38366-2021")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45186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42903-2021.xlsx", "A 42903-2021")</f>
        <v/>
      </c>
      <c r="T279">
        <f>HYPERLINK("https://klasma.github.io/Logging_NYKOPING/kartor/A 42903-2021.png", "A 42903-2021")</f>
        <v/>
      </c>
      <c r="V279">
        <f>HYPERLINK("https://klasma.github.io/Logging_NYKOPING/klagomål/A 42903-2021.docx", "A 42903-2021")</f>
        <v/>
      </c>
      <c r="W279">
        <f>HYPERLINK("https://klasma.github.io/Logging_NYKOPING/klagomålsmail/A 42903-2021.docx", "A 42903-2021")</f>
        <v/>
      </c>
      <c r="X279">
        <f>HYPERLINK("https://klasma.github.io/Logging_NYKOPING/tillsyn/A 42903-2021.docx", "A 42903-2021")</f>
        <v/>
      </c>
      <c r="Y279">
        <f>HYPERLINK("https://klasma.github.io/Logging_NYKOPING/tillsynsmail/A 42903-2021.docx", "A 42903-2021")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45186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43536-2021.xlsx", "A 43536-2021")</f>
        <v/>
      </c>
      <c r="T280">
        <f>HYPERLINK("https://klasma.github.io/Logging_KATRINEHOLM/kartor/A 43536-2021.png", "A 43536-2021")</f>
        <v/>
      </c>
      <c r="V280">
        <f>HYPERLINK("https://klasma.github.io/Logging_KATRINEHOLM/klagomål/A 43536-2021.docx", "A 43536-2021")</f>
        <v/>
      </c>
      <c r="W280">
        <f>HYPERLINK("https://klasma.github.io/Logging_KATRINEHOLM/klagomålsmail/A 43536-2021.docx", "A 43536-2021")</f>
        <v/>
      </c>
      <c r="X280">
        <f>HYPERLINK("https://klasma.github.io/Logging_KATRINEHOLM/tillsyn/A 43536-2021.docx", "A 43536-2021")</f>
        <v/>
      </c>
      <c r="Y280">
        <f>HYPERLINK("https://klasma.github.io/Logging_KATRINEHOLM/tillsynsmail/A 43536-2021.docx", "A 43536-2021")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45186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47095-2021.xlsx", "A 47095-2021")</f>
        <v/>
      </c>
      <c r="T281">
        <f>HYPERLINK("https://klasma.github.io/Logging_NYKOPING/kartor/A 47095-2021.png", "A 47095-2021")</f>
        <v/>
      </c>
      <c r="V281">
        <f>HYPERLINK("https://klasma.github.io/Logging_NYKOPING/klagomål/A 47095-2021.docx", "A 47095-2021")</f>
        <v/>
      </c>
      <c r="W281">
        <f>HYPERLINK("https://klasma.github.io/Logging_NYKOPING/klagomålsmail/A 47095-2021.docx", "A 47095-2021")</f>
        <v/>
      </c>
      <c r="X281">
        <f>HYPERLINK("https://klasma.github.io/Logging_NYKOPING/tillsyn/A 47095-2021.docx", "A 47095-2021")</f>
        <v/>
      </c>
      <c r="Y281">
        <f>HYPERLINK("https://klasma.github.io/Logging_NYKOPING/tillsynsmail/A 47095-2021.docx", "A 47095-2021")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45186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47107-2021.xlsx", "A 47107-2021")</f>
        <v/>
      </c>
      <c r="T282">
        <f>HYPERLINK("https://klasma.github.io/Logging_NYKOPING/kartor/A 47107-2021.png", "A 47107-2021")</f>
        <v/>
      </c>
      <c r="V282">
        <f>HYPERLINK("https://klasma.github.io/Logging_NYKOPING/klagomål/A 47107-2021.docx", "A 47107-2021")</f>
        <v/>
      </c>
      <c r="W282">
        <f>HYPERLINK("https://klasma.github.io/Logging_NYKOPING/klagomålsmail/A 47107-2021.docx", "A 47107-2021")</f>
        <v/>
      </c>
      <c r="X282">
        <f>HYPERLINK("https://klasma.github.io/Logging_NYKOPING/tillsyn/A 47107-2021.docx", "A 47107-2021")</f>
        <v/>
      </c>
      <c r="Y282">
        <f>HYPERLINK("https://klasma.github.io/Logging_NYKOPING/tillsynsmail/A 47107-2021.docx", "A 47107-2021")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45186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53206-2021.xlsx", "A 53206-2021")</f>
        <v/>
      </c>
      <c r="T283">
        <f>HYPERLINK("https://klasma.github.io/Logging_ESKILSTUNA/kartor/A 53206-2021.png", "A 53206-2021")</f>
        <v/>
      </c>
      <c r="V283">
        <f>HYPERLINK("https://klasma.github.io/Logging_ESKILSTUNA/klagomål/A 53206-2021.docx", "A 53206-2021")</f>
        <v/>
      </c>
      <c r="W283">
        <f>HYPERLINK("https://klasma.github.io/Logging_ESKILSTUNA/klagomålsmail/A 53206-2021.docx", "A 53206-2021")</f>
        <v/>
      </c>
      <c r="X283">
        <f>HYPERLINK("https://klasma.github.io/Logging_ESKILSTUNA/tillsyn/A 53206-2021.docx", "A 53206-2021")</f>
        <v/>
      </c>
      <c r="Y283">
        <f>HYPERLINK("https://klasma.github.io/Logging_ESKILSTUNA/tillsynsmail/A 53206-2021.docx", "A 53206-2021")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45186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56420-2021.xlsx", "A 56420-2021")</f>
        <v/>
      </c>
      <c r="T284">
        <f>HYPERLINK("https://klasma.github.io/Logging_NYKOPING/kartor/A 56420-2021.png", "A 56420-2021")</f>
        <v/>
      </c>
      <c r="V284">
        <f>HYPERLINK("https://klasma.github.io/Logging_NYKOPING/klagomål/A 56420-2021.docx", "A 56420-2021")</f>
        <v/>
      </c>
      <c r="W284">
        <f>HYPERLINK("https://klasma.github.io/Logging_NYKOPING/klagomålsmail/A 56420-2021.docx", "A 56420-2021")</f>
        <v/>
      </c>
      <c r="X284">
        <f>HYPERLINK("https://klasma.github.io/Logging_NYKOPING/tillsyn/A 56420-2021.docx", "A 56420-2021")</f>
        <v/>
      </c>
      <c r="Y284">
        <f>HYPERLINK("https://klasma.github.io/Logging_NYKOPING/tillsynsmail/A 56420-2021.docx", "A 56420-2021")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45186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56897-2021.xlsx", "A 56897-2021")</f>
        <v/>
      </c>
      <c r="T285">
        <f>HYPERLINK("https://klasma.github.io/Logging_KATRINEHOLM/kartor/A 56897-2021.png", "A 56897-2021")</f>
        <v/>
      </c>
      <c r="V285">
        <f>HYPERLINK("https://klasma.github.io/Logging_KATRINEHOLM/klagomål/A 56897-2021.docx", "A 56897-2021")</f>
        <v/>
      </c>
      <c r="W285">
        <f>HYPERLINK("https://klasma.github.io/Logging_KATRINEHOLM/klagomålsmail/A 56897-2021.docx", "A 56897-2021")</f>
        <v/>
      </c>
      <c r="X285">
        <f>HYPERLINK("https://klasma.github.io/Logging_KATRINEHOLM/tillsyn/A 56897-2021.docx", "A 56897-2021")</f>
        <v/>
      </c>
      <c r="Y285">
        <f>HYPERLINK("https://klasma.github.io/Logging_KATRINEHOLM/tillsynsmail/A 56897-2021.docx", "A 56897-2021")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45186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57519-2021.xlsx", "A 57519-2021")</f>
        <v/>
      </c>
      <c r="T286">
        <f>HYPERLINK("https://klasma.github.io/Logging_KATRINEHOLM/kartor/A 57519-2021.png", "A 57519-2021")</f>
        <v/>
      </c>
      <c r="V286">
        <f>HYPERLINK("https://klasma.github.io/Logging_KATRINEHOLM/klagomål/A 57519-2021.docx", "A 57519-2021")</f>
        <v/>
      </c>
      <c r="W286">
        <f>HYPERLINK("https://klasma.github.io/Logging_KATRINEHOLM/klagomålsmail/A 57519-2021.docx", "A 57519-2021")</f>
        <v/>
      </c>
      <c r="X286">
        <f>HYPERLINK("https://klasma.github.io/Logging_KATRINEHOLM/tillsyn/A 57519-2021.docx", "A 57519-2021")</f>
        <v/>
      </c>
      <c r="Y286">
        <f>HYPERLINK("https://klasma.github.io/Logging_KATRINEHOLM/tillsynsmail/A 57519-2021.docx", "A 57519-2021")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45186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57766-2021.xlsx", "A 57766-2021")</f>
        <v/>
      </c>
      <c r="T287">
        <f>HYPERLINK("https://klasma.github.io/Logging_FLEN/kartor/A 57766-2021.png", "A 57766-2021")</f>
        <v/>
      </c>
      <c r="V287">
        <f>HYPERLINK("https://klasma.github.io/Logging_FLEN/klagomål/A 57766-2021.docx", "A 57766-2021")</f>
        <v/>
      </c>
      <c r="W287">
        <f>HYPERLINK("https://klasma.github.io/Logging_FLEN/klagomålsmail/A 57766-2021.docx", "A 57766-2021")</f>
        <v/>
      </c>
      <c r="X287">
        <f>HYPERLINK("https://klasma.github.io/Logging_FLEN/tillsyn/A 57766-2021.docx", "A 57766-2021")</f>
        <v/>
      </c>
      <c r="Y287">
        <f>HYPERLINK("https://klasma.github.io/Logging_FLEN/tillsynsmail/A 57766-2021.docx", "A 57766-2021")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45186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61071-2021.xlsx", "A 61071-2021")</f>
        <v/>
      </c>
      <c r="T288">
        <f>HYPERLINK("https://klasma.github.io/Logging_NYKOPING/kartor/A 61071-2021.png", "A 61071-2021")</f>
        <v/>
      </c>
      <c r="V288">
        <f>HYPERLINK("https://klasma.github.io/Logging_NYKOPING/klagomål/A 61071-2021.docx", "A 61071-2021")</f>
        <v/>
      </c>
      <c r="W288">
        <f>HYPERLINK("https://klasma.github.io/Logging_NYKOPING/klagomålsmail/A 61071-2021.docx", "A 61071-2021")</f>
        <v/>
      </c>
      <c r="X288">
        <f>HYPERLINK("https://klasma.github.io/Logging_NYKOPING/tillsyn/A 61071-2021.docx", "A 61071-2021")</f>
        <v/>
      </c>
      <c r="Y288">
        <f>HYPERLINK("https://klasma.github.io/Logging_NYKOPING/tillsynsmail/A 61071-2021.docx", "A 61071-2021")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45186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62141-2021.xlsx", "A 62141-2021")</f>
        <v/>
      </c>
      <c r="T289">
        <f>HYPERLINK("https://klasma.github.io/Logging_ESKILSTUNA/kartor/A 62141-2021.png", "A 62141-2021")</f>
        <v/>
      </c>
      <c r="V289">
        <f>HYPERLINK("https://klasma.github.io/Logging_ESKILSTUNA/klagomål/A 62141-2021.docx", "A 62141-2021")</f>
        <v/>
      </c>
      <c r="W289">
        <f>HYPERLINK("https://klasma.github.io/Logging_ESKILSTUNA/klagomålsmail/A 62141-2021.docx", "A 62141-2021")</f>
        <v/>
      </c>
      <c r="X289">
        <f>HYPERLINK("https://klasma.github.io/Logging_ESKILSTUNA/tillsyn/A 62141-2021.docx", "A 62141-2021")</f>
        <v/>
      </c>
      <c r="Y289">
        <f>HYPERLINK("https://klasma.github.io/Logging_ESKILSTUNA/tillsynsmail/A 62141-2021.docx", "A 62141-2021")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45186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62355-2021.xlsx", "A 62355-2021")</f>
        <v/>
      </c>
      <c r="T290">
        <f>HYPERLINK("https://klasma.github.io/Logging_FLEN/kartor/A 62355-2021.png", "A 62355-2021")</f>
        <v/>
      </c>
      <c r="V290">
        <f>HYPERLINK("https://klasma.github.io/Logging_FLEN/klagomål/A 62355-2021.docx", "A 62355-2021")</f>
        <v/>
      </c>
      <c r="W290">
        <f>HYPERLINK("https://klasma.github.io/Logging_FLEN/klagomålsmail/A 62355-2021.docx", "A 62355-2021")</f>
        <v/>
      </c>
      <c r="X290">
        <f>HYPERLINK("https://klasma.github.io/Logging_FLEN/tillsyn/A 62355-2021.docx", "A 62355-2021")</f>
        <v/>
      </c>
      <c r="Y290">
        <f>HYPERLINK("https://klasma.github.io/Logging_FLEN/tillsynsmail/A 62355-2021.docx", "A 62355-2021")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45186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62535-2021.xlsx", "A 62535-2021")</f>
        <v/>
      </c>
      <c r="T291">
        <f>HYPERLINK("https://klasma.github.io/Logging_FLEN/kartor/A 62535-2021.png", "A 62535-2021")</f>
        <v/>
      </c>
      <c r="V291">
        <f>HYPERLINK("https://klasma.github.io/Logging_FLEN/klagomål/A 62535-2021.docx", "A 62535-2021")</f>
        <v/>
      </c>
      <c r="W291">
        <f>HYPERLINK("https://klasma.github.io/Logging_FLEN/klagomålsmail/A 62535-2021.docx", "A 62535-2021")</f>
        <v/>
      </c>
      <c r="X291">
        <f>HYPERLINK("https://klasma.github.io/Logging_FLEN/tillsyn/A 62535-2021.docx", "A 62535-2021")</f>
        <v/>
      </c>
      <c r="Y291">
        <f>HYPERLINK("https://klasma.github.io/Logging_FLEN/tillsynsmail/A 62535-2021.docx", "A 62535-2021")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45186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62716-2021.xlsx", "A 62716-2021")</f>
        <v/>
      </c>
      <c r="T292">
        <f>HYPERLINK("https://klasma.github.io/Logging_NYKOPING/kartor/A 62716-2021.png", "A 62716-2021")</f>
        <v/>
      </c>
      <c r="V292">
        <f>HYPERLINK("https://klasma.github.io/Logging_NYKOPING/klagomål/A 62716-2021.docx", "A 62716-2021")</f>
        <v/>
      </c>
      <c r="W292">
        <f>HYPERLINK("https://klasma.github.io/Logging_NYKOPING/klagomålsmail/A 62716-2021.docx", "A 62716-2021")</f>
        <v/>
      </c>
      <c r="X292">
        <f>HYPERLINK("https://klasma.github.io/Logging_NYKOPING/tillsyn/A 62716-2021.docx", "A 62716-2021")</f>
        <v/>
      </c>
      <c r="Y292">
        <f>HYPERLINK("https://klasma.github.io/Logging_NYKOPING/tillsynsmail/A 62716-2021.docx", "A 62716-2021")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45186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63029-2021.xlsx", "A 63029-2021")</f>
        <v/>
      </c>
      <c r="T293">
        <f>HYPERLINK("https://klasma.github.io/Logging_TROSA/kartor/A 63029-2021.png", "A 63029-2021")</f>
        <v/>
      </c>
      <c r="V293">
        <f>HYPERLINK("https://klasma.github.io/Logging_TROSA/klagomål/A 63029-2021.docx", "A 63029-2021")</f>
        <v/>
      </c>
      <c r="W293">
        <f>HYPERLINK("https://klasma.github.io/Logging_TROSA/klagomålsmail/A 63029-2021.docx", "A 63029-2021")</f>
        <v/>
      </c>
      <c r="X293">
        <f>HYPERLINK("https://klasma.github.io/Logging_TROSA/tillsyn/A 63029-2021.docx", "A 63029-2021")</f>
        <v/>
      </c>
      <c r="Y293">
        <f>HYPERLINK("https://klasma.github.io/Logging_TROSA/tillsynsmail/A 63029-2021.docx", "A 63029-2021")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45186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63301-2021.xlsx", "A 63301-2021")</f>
        <v/>
      </c>
      <c r="T294">
        <f>HYPERLINK("https://klasma.github.io/Logging_STRANGNAS/kartor/A 63301-2021.png", "A 63301-2021")</f>
        <v/>
      </c>
      <c r="V294">
        <f>HYPERLINK("https://klasma.github.io/Logging_STRANGNAS/klagomål/A 63301-2021.docx", "A 63301-2021")</f>
        <v/>
      </c>
      <c r="W294">
        <f>HYPERLINK("https://klasma.github.io/Logging_STRANGNAS/klagomålsmail/A 63301-2021.docx", "A 63301-2021")</f>
        <v/>
      </c>
      <c r="X294">
        <f>HYPERLINK("https://klasma.github.io/Logging_STRANGNAS/tillsyn/A 63301-2021.docx", "A 63301-2021")</f>
        <v/>
      </c>
      <c r="Y294">
        <f>HYPERLINK("https://klasma.github.io/Logging_STRANGNAS/tillsynsmail/A 63301-2021.docx", "A 63301-2021")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45186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65184-2021.xlsx", "A 65184-2021")</f>
        <v/>
      </c>
      <c r="T295">
        <f>HYPERLINK("https://klasma.github.io/Logging_KATRINEHOLM/kartor/A 65184-2021.png", "A 65184-2021")</f>
        <v/>
      </c>
      <c r="V295">
        <f>HYPERLINK("https://klasma.github.io/Logging_KATRINEHOLM/klagomål/A 65184-2021.docx", "A 65184-2021")</f>
        <v/>
      </c>
      <c r="W295">
        <f>HYPERLINK("https://klasma.github.io/Logging_KATRINEHOLM/klagomålsmail/A 65184-2021.docx", "A 65184-2021")</f>
        <v/>
      </c>
      <c r="X295">
        <f>HYPERLINK("https://klasma.github.io/Logging_KATRINEHOLM/tillsyn/A 65184-2021.docx", "A 65184-2021")</f>
        <v/>
      </c>
      <c r="Y295">
        <f>HYPERLINK("https://klasma.github.io/Logging_KATRINEHOLM/tillsynsmail/A 65184-2021.docx", "A 65184-2021")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45186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65380-2021.xlsx", "A 65380-2021")</f>
        <v/>
      </c>
      <c r="T296">
        <f>HYPERLINK("https://klasma.github.io/Logging_ESKILSTUNA/kartor/A 65380-2021.png", "A 65380-2021")</f>
        <v/>
      </c>
      <c r="V296">
        <f>HYPERLINK("https://klasma.github.io/Logging_ESKILSTUNA/klagomål/A 65380-2021.docx", "A 65380-2021")</f>
        <v/>
      </c>
      <c r="W296">
        <f>HYPERLINK("https://klasma.github.io/Logging_ESKILSTUNA/klagomålsmail/A 65380-2021.docx", "A 65380-2021")</f>
        <v/>
      </c>
      <c r="X296">
        <f>HYPERLINK("https://klasma.github.io/Logging_ESKILSTUNA/tillsyn/A 65380-2021.docx", "A 65380-2021")</f>
        <v/>
      </c>
      <c r="Y296">
        <f>HYPERLINK("https://klasma.github.io/Logging_ESKILSTUNA/tillsynsmail/A 65380-2021.docx", "A 65380-2021")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45186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65330-2021.xlsx", "A 65330-2021")</f>
        <v/>
      </c>
      <c r="T297">
        <f>HYPERLINK("https://klasma.github.io/Logging_STRANGNAS/kartor/A 65330-2021.png", "A 65330-2021")</f>
        <v/>
      </c>
      <c r="V297">
        <f>HYPERLINK("https://klasma.github.io/Logging_STRANGNAS/klagomål/A 65330-2021.docx", "A 65330-2021")</f>
        <v/>
      </c>
      <c r="W297">
        <f>HYPERLINK("https://klasma.github.io/Logging_STRANGNAS/klagomålsmail/A 65330-2021.docx", "A 65330-2021")</f>
        <v/>
      </c>
      <c r="X297">
        <f>HYPERLINK("https://klasma.github.io/Logging_STRANGNAS/tillsyn/A 65330-2021.docx", "A 65330-2021")</f>
        <v/>
      </c>
      <c r="Y297">
        <f>HYPERLINK("https://klasma.github.io/Logging_STRANGNAS/tillsynsmail/A 65330-2021.docx", "A 65330-2021")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45186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65889-2021.xlsx", "A 65889-2021")</f>
        <v/>
      </c>
      <c r="T298">
        <f>HYPERLINK("https://klasma.github.io/Logging_NYKOPING/kartor/A 65889-2021.png", "A 65889-2021")</f>
        <v/>
      </c>
      <c r="V298">
        <f>HYPERLINK("https://klasma.github.io/Logging_NYKOPING/klagomål/A 65889-2021.docx", "A 65889-2021")</f>
        <v/>
      </c>
      <c r="W298">
        <f>HYPERLINK("https://klasma.github.io/Logging_NYKOPING/klagomålsmail/A 65889-2021.docx", "A 65889-2021")</f>
        <v/>
      </c>
      <c r="X298">
        <f>HYPERLINK("https://klasma.github.io/Logging_NYKOPING/tillsyn/A 65889-2021.docx", "A 65889-2021")</f>
        <v/>
      </c>
      <c r="Y298">
        <f>HYPERLINK("https://klasma.github.io/Logging_NYKOPING/tillsynsmail/A 65889-2021.docx", "A 65889-2021")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45186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65892-2021.xlsx", "A 65892-2021")</f>
        <v/>
      </c>
      <c r="T299">
        <f>HYPERLINK("https://klasma.github.io/Logging_NYKOPING/kartor/A 65892-2021.png", "A 65892-2021")</f>
        <v/>
      </c>
      <c r="V299">
        <f>HYPERLINK("https://klasma.github.io/Logging_NYKOPING/klagomål/A 65892-2021.docx", "A 65892-2021")</f>
        <v/>
      </c>
      <c r="W299">
        <f>HYPERLINK("https://klasma.github.io/Logging_NYKOPING/klagomålsmail/A 65892-2021.docx", "A 65892-2021")</f>
        <v/>
      </c>
      <c r="X299">
        <f>HYPERLINK("https://klasma.github.io/Logging_NYKOPING/tillsyn/A 65892-2021.docx", "A 65892-2021")</f>
        <v/>
      </c>
      <c r="Y299">
        <f>HYPERLINK("https://klasma.github.io/Logging_NYKOPING/tillsynsmail/A 65892-2021.docx", "A 65892-2021")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45186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66246-2021.xlsx", "A 66246-2021")</f>
        <v/>
      </c>
      <c r="T300">
        <f>HYPERLINK("https://klasma.github.io/Logging_VINGAKER/kartor/A 66246-2021.png", "A 66246-2021")</f>
        <v/>
      </c>
      <c r="V300">
        <f>HYPERLINK("https://klasma.github.io/Logging_VINGAKER/klagomål/A 66246-2021.docx", "A 66246-2021")</f>
        <v/>
      </c>
      <c r="W300">
        <f>HYPERLINK("https://klasma.github.io/Logging_VINGAKER/klagomålsmail/A 66246-2021.docx", "A 66246-2021")</f>
        <v/>
      </c>
      <c r="X300">
        <f>HYPERLINK("https://klasma.github.io/Logging_VINGAKER/tillsyn/A 66246-2021.docx", "A 66246-2021")</f>
        <v/>
      </c>
      <c r="Y300">
        <f>HYPERLINK("https://klasma.github.io/Logging_VINGAKER/tillsynsmail/A 66246-2021.docx", "A 66246-2021")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45186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66243-2021.xlsx", "A 66243-2021")</f>
        <v/>
      </c>
      <c r="T301">
        <f>HYPERLINK("https://klasma.github.io/Logging_VINGAKER/kartor/A 66243-2021.png", "A 66243-2021")</f>
        <v/>
      </c>
      <c r="V301">
        <f>HYPERLINK("https://klasma.github.io/Logging_VINGAKER/klagomål/A 66243-2021.docx", "A 66243-2021")</f>
        <v/>
      </c>
      <c r="W301">
        <f>HYPERLINK("https://klasma.github.io/Logging_VINGAKER/klagomålsmail/A 66243-2021.docx", "A 66243-2021")</f>
        <v/>
      </c>
      <c r="X301">
        <f>HYPERLINK("https://klasma.github.io/Logging_VINGAKER/tillsyn/A 66243-2021.docx", "A 66243-2021")</f>
        <v/>
      </c>
      <c r="Y301">
        <f>HYPERLINK("https://klasma.github.io/Logging_VINGAKER/tillsynsmail/A 66243-2021.docx", "A 66243-2021")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45186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67819-2021.xlsx", "A 67819-2021")</f>
        <v/>
      </c>
      <c r="T302">
        <f>HYPERLINK("https://klasma.github.io/Logging_NYKOPING/kartor/A 67819-2021.png", "A 67819-2021")</f>
        <v/>
      </c>
      <c r="V302">
        <f>HYPERLINK("https://klasma.github.io/Logging_NYKOPING/klagomål/A 67819-2021.docx", "A 67819-2021")</f>
        <v/>
      </c>
      <c r="W302">
        <f>HYPERLINK("https://klasma.github.io/Logging_NYKOPING/klagomålsmail/A 67819-2021.docx", "A 67819-2021")</f>
        <v/>
      </c>
      <c r="X302">
        <f>HYPERLINK("https://klasma.github.io/Logging_NYKOPING/tillsyn/A 67819-2021.docx", "A 67819-2021")</f>
        <v/>
      </c>
      <c r="Y302">
        <f>HYPERLINK("https://klasma.github.io/Logging_NYKOPING/tillsynsmail/A 67819-2021.docx", "A 67819-2021")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45186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70039-2021.xlsx", "A 70039-2021")</f>
        <v/>
      </c>
      <c r="T303">
        <f>HYPERLINK("https://klasma.github.io/Logging_FLEN/kartor/A 70039-2021.png", "A 70039-2021")</f>
        <v/>
      </c>
      <c r="V303">
        <f>HYPERLINK("https://klasma.github.io/Logging_FLEN/klagomål/A 70039-2021.docx", "A 70039-2021")</f>
        <v/>
      </c>
      <c r="W303">
        <f>HYPERLINK("https://klasma.github.io/Logging_FLEN/klagomålsmail/A 70039-2021.docx", "A 70039-2021")</f>
        <v/>
      </c>
      <c r="X303">
        <f>HYPERLINK("https://klasma.github.io/Logging_FLEN/tillsyn/A 70039-2021.docx", "A 70039-2021")</f>
        <v/>
      </c>
      <c r="Y303">
        <f>HYPERLINK("https://klasma.github.io/Logging_FLEN/tillsynsmail/A 70039-2021.docx", "A 70039-2021")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45186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72851-2021.xlsx", "A 72851-2021")</f>
        <v/>
      </c>
      <c r="T304">
        <f>HYPERLINK("https://klasma.github.io/Logging_KATRINEHOLM/kartor/A 72851-2021.png", "A 72851-2021")</f>
        <v/>
      </c>
      <c r="V304">
        <f>HYPERLINK("https://klasma.github.io/Logging_KATRINEHOLM/klagomål/A 72851-2021.docx", "A 72851-2021")</f>
        <v/>
      </c>
      <c r="W304">
        <f>HYPERLINK("https://klasma.github.io/Logging_KATRINEHOLM/klagomålsmail/A 72851-2021.docx", "A 72851-2021")</f>
        <v/>
      </c>
      <c r="X304">
        <f>HYPERLINK("https://klasma.github.io/Logging_KATRINEHOLM/tillsyn/A 72851-2021.docx", "A 72851-2021")</f>
        <v/>
      </c>
      <c r="Y304">
        <f>HYPERLINK("https://klasma.github.io/Logging_KATRINEHOLM/tillsynsmail/A 72851-2021.docx", "A 72851-2021")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45186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2012-2022.xlsx", "A 2012-2022")</f>
        <v/>
      </c>
      <c r="T305">
        <f>HYPERLINK("https://klasma.github.io/Logging_GNESTA/kartor/A 2012-2022.png", "A 2012-2022")</f>
        <v/>
      </c>
      <c r="V305">
        <f>HYPERLINK("https://klasma.github.io/Logging_GNESTA/klagomål/A 2012-2022.docx", "A 2012-2022")</f>
        <v/>
      </c>
      <c r="W305">
        <f>HYPERLINK("https://klasma.github.io/Logging_GNESTA/klagomålsmail/A 2012-2022.docx", "A 2012-2022")</f>
        <v/>
      </c>
      <c r="X305">
        <f>HYPERLINK("https://klasma.github.io/Logging_GNESTA/tillsyn/A 2012-2022.docx", "A 2012-2022")</f>
        <v/>
      </c>
      <c r="Y305">
        <f>HYPERLINK("https://klasma.github.io/Logging_GNESTA/tillsynsmail/A 2012-2022.docx", "A 2012-2022")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45186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3162-2022.xlsx", "A 3162-2022")</f>
        <v/>
      </c>
      <c r="T306">
        <f>HYPERLINK("https://klasma.github.io/Logging_ESKILSTUNA/kartor/A 3162-2022.png", "A 3162-2022")</f>
        <v/>
      </c>
      <c r="V306">
        <f>HYPERLINK("https://klasma.github.io/Logging_ESKILSTUNA/klagomål/A 3162-2022.docx", "A 3162-2022")</f>
        <v/>
      </c>
      <c r="W306">
        <f>HYPERLINK("https://klasma.github.io/Logging_ESKILSTUNA/klagomålsmail/A 3162-2022.docx", "A 3162-2022")</f>
        <v/>
      </c>
      <c r="X306">
        <f>HYPERLINK("https://klasma.github.io/Logging_ESKILSTUNA/tillsyn/A 3162-2022.docx", "A 3162-2022")</f>
        <v/>
      </c>
      <c r="Y306">
        <f>HYPERLINK("https://klasma.github.io/Logging_ESKILSTUNA/tillsynsmail/A 3162-2022.docx", "A 3162-2022")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45186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6076-2022.xlsx", "A 6076-2022")</f>
        <v/>
      </c>
      <c r="T307">
        <f>HYPERLINK("https://klasma.github.io/Logging_KATRINEHOLM/kartor/A 6076-2022.png", "A 6076-2022")</f>
        <v/>
      </c>
      <c r="V307">
        <f>HYPERLINK("https://klasma.github.io/Logging_KATRINEHOLM/klagomål/A 6076-2022.docx", "A 6076-2022")</f>
        <v/>
      </c>
      <c r="W307">
        <f>HYPERLINK("https://klasma.github.io/Logging_KATRINEHOLM/klagomålsmail/A 6076-2022.docx", "A 6076-2022")</f>
        <v/>
      </c>
      <c r="X307">
        <f>HYPERLINK("https://klasma.github.io/Logging_KATRINEHOLM/tillsyn/A 6076-2022.docx", "A 6076-2022")</f>
        <v/>
      </c>
      <c r="Y307">
        <f>HYPERLINK("https://klasma.github.io/Logging_KATRINEHOLM/tillsynsmail/A 6076-2022.docx", "A 6076-2022")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45186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7767-2022.xlsx", "A 7767-2022")</f>
        <v/>
      </c>
      <c r="T308">
        <f>HYPERLINK("https://klasma.github.io/Logging_VINGAKER/kartor/A 7767-2022.png", "A 7767-2022")</f>
        <v/>
      </c>
      <c r="V308">
        <f>HYPERLINK("https://klasma.github.io/Logging_VINGAKER/klagomål/A 7767-2022.docx", "A 7767-2022")</f>
        <v/>
      </c>
      <c r="W308">
        <f>HYPERLINK("https://klasma.github.io/Logging_VINGAKER/klagomålsmail/A 7767-2022.docx", "A 7767-2022")</f>
        <v/>
      </c>
      <c r="X308">
        <f>HYPERLINK("https://klasma.github.io/Logging_VINGAKER/tillsyn/A 7767-2022.docx", "A 7767-2022")</f>
        <v/>
      </c>
      <c r="Y308">
        <f>HYPERLINK("https://klasma.github.io/Logging_VINGAKER/tillsynsmail/A 7767-2022.docx", "A 7767-2022")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45186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7883-2022.xlsx", "A 7883-2022")</f>
        <v/>
      </c>
      <c r="T309">
        <f>HYPERLINK("https://klasma.github.io/Logging_FLEN/kartor/A 7883-2022.png", "A 7883-2022")</f>
        <v/>
      </c>
      <c r="V309">
        <f>HYPERLINK("https://klasma.github.io/Logging_FLEN/klagomål/A 7883-2022.docx", "A 7883-2022")</f>
        <v/>
      </c>
      <c r="W309">
        <f>HYPERLINK("https://klasma.github.io/Logging_FLEN/klagomålsmail/A 7883-2022.docx", "A 7883-2022")</f>
        <v/>
      </c>
      <c r="X309">
        <f>HYPERLINK("https://klasma.github.io/Logging_FLEN/tillsyn/A 7883-2022.docx", "A 7883-2022")</f>
        <v/>
      </c>
      <c r="Y309">
        <f>HYPERLINK("https://klasma.github.io/Logging_FLEN/tillsynsmail/A 7883-2022.docx", "A 7883-2022")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45186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9973-2022.xlsx", "A 9973-2022")</f>
        <v/>
      </c>
      <c r="T310">
        <f>HYPERLINK("https://klasma.github.io/Logging_NYKOPING/kartor/A 9973-2022.png", "A 9973-2022")</f>
        <v/>
      </c>
      <c r="V310">
        <f>HYPERLINK("https://klasma.github.io/Logging_NYKOPING/klagomål/A 9973-2022.docx", "A 9973-2022")</f>
        <v/>
      </c>
      <c r="W310">
        <f>HYPERLINK("https://klasma.github.io/Logging_NYKOPING/klagomålsmail/A 9973-2022.docx", "A 9973-2022")</f>
        <v/>
      </c>
      <c r="X310">
        <f>HYPERLINK("https://klasma.github.io/Logging_NYKOPING/tillsyn/A 9973-2022.docx", "A 9973-2022")</f>
        <v/>
      </c>
      <c r="Y310">
        <f>HYPERLINK("https://klasma.github.io/Logging_NYKOPING/tillsynsmail/A 9973-2022.docx", "A 9973-2022")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45186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10770-2022.xlsx", "A 10770-2022")</f>
        <v/>
      </c>
      <c r="T311">
        <f>HYPERLINK("https://klasma.github.io/Logging_FLEN/kartor/A 10770-2022.png", "A 10770-2022")</f>
        <v/>
      </c>
      <c r="V311">
        <f>HYPERLINK("https://klasma.github.io/Logging_FLEN/klagomål/A 10770-2022.docx", "A 10770-2022")</f>
        <v/>
      </c>
      <c r="W311">
        <f>HYPERLINK("https://klasma.github.io/Logging_FLEN/klagomålsmail/A 10770-2022.docx", "A 10770-2022")</f>
        <v/>
      </c>
      <c r="X311">
        <f>HYPERLINK("https://klasma.github.io/Logging_FLEN/tillsyn/A 10770-2022.docx", "A 10770-2022")</f>
        <v/>
      </c>
      <c r="Y311">
        <f>HYPERLINK("https://klasma.github.io/Logging_FLEN/tillsynsmail/A 10770-2022.docx", "A 10770-2022")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45186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10789-2022.xlsx", "A 10789-2022")</f>
        <v/>
      </c>
      <c r="T312">
        <f>HYPERLINK("https://klasma.github.io/Logging_FLEN/kartor/A 10789-2022.png", "A 10789-2022")</f>
        <v/>
      </c>
      <c r="V312">
        <f>HYPERLINK("https://klasma.github.io/Logging_FLEN/klagomål/A 10789-2022.docx", "A 10789-2022")</f>
        <v/>
      </c>
      <c r="W312">
        <f>HYPERLINK("https://klasma.github.io/Logging_FLEN/klagomålsmail/A 10789-2022.docx", "A 10789-2022")</f>
        <v/>
      </c>
      <c r="X312">
        <f>HYPERLINK("https://klasma.github.io/Logging_FLEN/tillsyn/A 10789-2022.docx", "A 10789-2022")</f>
        <v/>
      </c>
      <c r="Y312">
        <f>HYPERLINK("https://klasma.github.io/Logging_FLEN/tillsynsmail/A 10789-2022.docx", "A 10789-2022")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45186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11751-2022.xlsx", "A 11751-2022")</f>
        <v/>
      </c>
      <c r="T313">
        <f>HYPERLINK("https://klasma.github.io/Logging_NYKOPING/kartor/A 11751-2022.png", "A 11751-2022")</f>
        <v/>
      </c>
      <c r="V313">
        <f>HYPERLINK("https://klasma.github.io/Logging_NYKOPING/klagomål/A 11751-2022.docx", "A 11751-2022")</f>
        <v/>
      </c>
      <c r="W313">
        <f>HYPERLINK("https://klasma.github.io/Logging_NYKOPING/klagomålsmail/A 11751-2022.docx", "A 11751-2022")</f>
        <v/>
      </c>
      <c r="X313">
        <f>HYPERLINK("https://klasma.github.io/Logging_NYKOPING/tillsyn/A 11751-2022.docx", "A 11751-2022")</f>
        <v/>
      </c>
      <c r="Y313">
        <f>HYPERLINK("https://klasma.github.io/Logging_NYKOPING/tillsynsmail/A 11751-2022.docx", "A 11751-2022")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45186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13464-2022.xlsx", "A 13464-2022")</f>
        <v/>
      </c>
      <c r="T314">
        <f>HYPERLINK("https://klasma.github.io/Logging_NYKOPING/kartor/A 13464-2022.png", "A 13464-2022")</f>
        <v/>
      </c>
      <c r="V314">
        <f>HYPERLINK("https://klasma.github.io/Logging_NYKOPING/klagomål/A 13464-2022.docx", "A 13464-2022")</f>
        <v/>
      </c>
      <c r="W314">
        <f>HYPERLINK("https://klasma.github.io/Logging_NYKOPING/klagomålsmail/A 13464-2022.docx", "A 13464-2022")</f>
        <v/>
      </c>
      <c r="X314">
        <f>HYPERLINK("https://klasma.github.io/Logging_NYKOPING/tillsyn/A 13464-2022.docx", "A 13464-2022")</f>
        <v/>
      </c>
      <c r="Y314">
        <f>HYPERLINK("https://klasma.github.io/Logging_NYKOPING/tillsynsmail/A 13464-2022.docx", "A 13464-2022")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45186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15960-2022.xlsx", "A 15960-2022")</f>
        <v/>
      </c>
      <c r="T315">
        <f>HYPERLINK("https://klasma.github.io/Logging_ESKILSTUNA/kartor/A 15960-2022.png", "A 15960-2022")</f>
        <v/>
      </c>
      <c r="V315">
        <f>HYPERLINK("https://klasma.github.io/Logging_ESKILSTUNA/klagomål/A 15960-2022.docx", "A 15960-2022")</f>
        <v/>
      </c>
      <c r="W315">
        <f>HYPERLINK("https://klasma.github.io/Logging_ESKILSTUNA/klagomålsmail/A 15960-2022.docx", "A 15960-2022")</f>
        <v/>
      </c>
      <c r="X315">
        <f>HYPERLINK("https://klasma.github.io/Logging_ESKILSTUNA/tillsyn/A 15960-2022.docx", "A 15960-2022")</f>
        <v/>
      </c>
      <c r="Y315">
        <f>HYPERLINK("https://klasma.github.io/Logging_ESKILSTUNA/tillsynsmail/A 15960-2022.docx", "A 15960-2022")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45186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16458-2022.xlsx", "A 16458-2022")</f>
        <v/>
      </c>
      <c r="T316">
        <f>HYPERLINK("https://klasma.github.io/Logging_KATRINEHOLM/kartor/A 16458-2022.png", "A 16458-2022")</f>
        <v/>
      </c>
      <c r="V316">
        <f>HYPERLINK("https://klasma.github.io/Logging_KATRINEHOLM/klagomål/A 16458-2022.docx", "A 16458-2022")</f>
        <v/>
      </c>
      <c r="W316">
        <f>HYPERLINK("https://klasma.github.io/Logging_KATRINEHOLM/klagomålsmail/A 16458-2022.docx", "A 16458-2022")</f>
        <v/>
      </c>
      <c r="X316">
        <f>HYPERLINK("https://klasma.github.io/Logging_KATRINEHOLM/tillsyn/A 16458-2022.docx", "A 16458-2022")</f>
        <v/>
      </c>
      <c r="Y316">
        <f>HYPERLINK("https://klasma.github.io/Logging_KATRINEHOLM/tillsynsmail/A 16458-2022.docx", "A 16458-2022")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45186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24454-2022.xlsx", "A 24454-2022")</f>
        <v/>
      </c>
      <c r="T317">
        <f>HYPERLINK("https://klasma.github.io/Logging_STRANGNAS/kartor/A 24454-2022.png", "A 24454-2022")</f>
        <v/>
      </c>
      <c r="V317">
        <f>HYPERLINK("https://klasma.github.io/Logging_STRANGNAS/klagomål/A 24454-2022.docx", "A 24454-2022")</f>
        <v/>
      </c>
      <c r="W317">
        <f>HYPERLINK("https://klasma.github.io/Logging_STRANGNAS/klagomålsmail/A 24454-2022.docx", "A 24454-2022")</f>
        <v/>
      </c>
      <c r="X317">
        <f>HYPERLINK("https://klasma.github.io/Logging_STRANGNAS/tillsyn/A 24454-2022.docx", "A 24454-2022")</f>
        <v/>
      </c>
      <c r="Y317">
        <f>HYPERLINK("https://klasma.github.io/Logging_STRANGNAS/tillsynsmail/A 24454-2022.docx", "A 24454-2022")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45186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25724-2022.xlsx", "A 25724-2022")</f>
        <v/>
      </c>
      <c r="T318">
        <f>HYPERLINK("https://klasma.github.io/Logging_KATRINEHOLM/kartor/A 25724-2022.png", "A 25724-2022")</f>
        <v/>
      </c>
      <c r="V318">
        <f>HYPERLINK("https://klasma.github.io/Logging_KATRINEHOLM/klagomål/A 25724-2022.docx", "A 25724-2022")</f>
        <v/>
      </c>
      <c r="W318">
        <f>HYPERLINK("https://klasma.github.io/Logging_KATRINEHOLM/klagomålsmail/A 25724-2022.docx", "A 25724-2022")</f>
        <v/>
      </c>
      <c r="X318">
        <f>HYPERLINK("https://klasma.github.io/Logging_KATRINEHOLM/tillsyn/A 25724-2022.docx", "A 25724-2022")</f>
        <v/>
      </c>
      <c r="Y318">
        <f>HYPERLINK("https://klasma.github.io/Logging_KATRINEHOLM/tillsynsmail/A 25724-2022.docx", "A 25724-2022")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45186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30727-2022.xlsx", "A 30727-2022")</f>
        <v/>
      </c>
      <c r="T319">
        <f>HYPERLINK("https://klasma.github.io/Logging_KATRINEHOLM/kartor/A 30727-2022.png", "A 30727-2022")</f>
        <v/>
      </c>
      <c r="U319">
        <f>HYPERLINK("https://klasma.github.io/Logging_KATRINEHOLM/knärot/A 30727-2022.png", "A 30727-2022")</f>
        <v/>
      </c>
      <c r="V319">
        <f>HYPERLINK("https://klasma.github.io/Logging_KATRINEHOLM/klagomål/A 30727-2022.docx", "A 30727-2022")</f>
        <v/>
      </c>
      <c r="W319">
        <f>HYPERLINK("https://klasma.github.io/Logging_KATRINEHOLM/klagomålsmail/A 30727-2022.docx", "A 30727-2022")</f>
        <v/>
      </c>
      <c r="X319">
        <f>HYPERLINK("https://klasma.github.io/Logging_KATRINEHOLM/tillsyn/A 30727-2022.docx", "A 30727-2022")</f>
        <v/>
      </c>
      <c r="Y319">
        <f>HYPERLINK("https://klasma.github.io/Logging_KATRINEHOLM/tillsynsmail/A 30727-2022.docx", "A 30727-2022")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45186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32252-2022.xlsx", "A 32252-2022")</f>
        <v/>
      </c>
      <c r="T320">
        <f>HYPERLINK("https://klasma.github.io/Logging_GNESTA/kartor/A 32252-2022.png", "A 32252-2022")</f>
        <v/>
      </c>
      <c r="V320">
        <f>HYPERLINK("https://klasma.github.io/Logging_GNESTA/klagomål/A 32252-2022.docx", "A 32252-2022")</f>
        <v/>
      </c>
      <c r="W320">
        <f>HYPERLINK("https://klasma.github.io/Logging_GNESTA/klagomålsmail/A 32252-2022.docx", "A 32252-2022")</f>
        <v/>
      </c>
      <c r="X320">
        <f>HYPERLINK("https://klasma.github.io/Logging_GNESTA/tillsyn/A 32252-2022.docx", "A 32252-2022")</f>
        <v/>
      </c>
      <c r="Y320">
        <f>HYPERLINK("https://klasma.github.io/Logging_GNESTA/tillsynsmail/A 32252-2022.docx", "A 32252-2022")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45186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33751-2022.xlsx", "A 33751-2022")</f>
        <v/>
      </c>
      <c r="T321">
        <f>HYPERLINK("https://klasma.github.io/Logging_STRANGNAS/kartor/A 33751-2022.png", "A 33751-2022")</f>
        <v/>
      </c>
      <c r="V321">
        <f>HYPERLINK("https://klasma.github.io/Logging_STRANGNAS/klagomål/A 33751-2022.docx", "A 33751-2022")</f>
        <v/>
      </c>
      <c r="W321">
        <f>HYPERLINK("https://klasma.github.io/Logging_STRANGNAS/klagomålsmail/A 33751-2022.docx", "A 33751-2022")</f>
        <v/>
      </c>
      <c r="X321">
        <f>HYPERLINK("https://klasma.github.io/Logging_STRANGNAS/tillsyn/A 33751-2022.docx", "A 33751-2022")</f>
        <v/>
      </c>
      <c r="Y321">
        <f>HYPERLINK("https://klasma.github.io/Logging_STRANGNAS/tillsynsmail/A 33751-2022.docx", "A 33751-2022")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45186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33825-2022.xlsx", "A 33825-2022")</f>
        <v/>
      </c>
      <c r="T322">
        <f>HYPERLINK("https://klasma.github.io/Logging_GNESTA/kartor/A 33825-2022.png", "A 33825-2022")</f>
        <v/>
      </c>
      <c r="V322">
        <f>HYPERLINK("https://klasma.github.io/Logging_GNESTA/klagomål/A 33825-2022.docx", "A 33825-2022")</f>
        <v/>
      </c>
      <c r="W322">
        <f>HYPERLINK("https://klasma.github.io/Logging_GNESTA/klagomålsmail/A 33825-2022.docx", "A 33825-2022")</f>
        <v/>
      </c>
      <c r="X322">
        <f>HYPERLINK("https://klasma.github.io/Logging_GNESTA/tillsyn/A 33825-2022.docx", "A 33825-2022")</f>
        <v/>
      </c>
      <c r="Y322">
        <f>HYPERLINK("https://klasma.github.io/Logging_GNESTA/tillsynsmail/A 33825-2022.docx", "A 33825-2022")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45186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34498-2022.xlsx", "A 34498-2022")</f>
        <v/>
      </c>
      <c r="T323">
        <f>HYPERLINK("https://klasma.github.io/Logging_FLEN/kartor/A 34498-2022.png", "A 34498-2022")</f>
        <v/>
      </c>
      <c r="V323">
        <f>HYPERLINK("https://klasma.github.io/Logging_FLEN/klagomål/A 34498-2022.docx", "A 34498-2022")</f>
        <v/>
      </c>
      <c r="W323">
        <f>HYPERLINK("https://klasma.github.io/Logging_FLEN/klagomålsmail/A 34498-2022.docx", "A 34498-2022")</f>
        <v/>
      </c>
      <c r="X323">
        <f>HYPERLINK("https://klasma.github.io/Logging_FLEN/tillsyn/A 34498-2022.docx", "A 34498-2022")</f>
        <v/>
      </c>
      <c r="Y323">
        <f>HYPERLINK("https://klasma.github.io/Logging_FLEN/tillsynsmail/A 34498-2022.docx", "A 34498-2022")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45186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35278-2022.xlsx", "A 35278-2022")</f>
        <v/>
      </c>
      <c r="T324">
        <f>HYPERLINK("https://klasma.github.io/Logging_FLEN/kartor/A 35278-2022.png", "A 35278-2022")</f>
        <v/>
      </c>
      <c r="V324">
        <f>HYPERLINK("https://klasma.github.io/Logging_FLEN/klagomål/A 35278-2022.docx", "A 35278-2022")</f>
        <v/>
      </c>
      <c r="W324">
        <f>HYPERLINK("https://klasma.github.io/Logging_FLEN/klagomålsmail/A 35278-2022.docx", "A 35278-2022")</f>
        <v/>
      </c>
      <c r="X324">
        <f>HYPERLINK("https://klasma.github.io/Logging_FLEN/tillsyn/A 35278-2022.docx", "A 35278-2022")</f>
        <v/>
      </c>
      <c r="Y324">
        <f>HYPERLINK("https://klasma.github.io/Logging_FLEN/tillsynsmail/A 35278-2022.docx", "A 35278-2022")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45186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36155-2022.xlsx", "A 36155-2022")</f>
        <v/>
      </c>
      <c r="T325">
        <f>HYPERLINK("https://klasma.github.io/Logging_ESKILSTUNA/kartor/A 36155-2022.png", "A 36155-2022")</f>
        <v/>
      </c>
      <c r="V325">
        <f>HYPERLINK("https://klasma.github.io/Logging_ESKILSTUNA/klagomål/A 36155-2022.docx", "A 36155-2022")</f>
        <v/>
      </c>
      <c r="W325">
        <f>HYPERLINK("https://klasma.github.io/Logging_ESKILSTUNA/klagomålsmail/A 36155-2022.docx", "A 36155-2022")</f>
        <v/>
      </c>
      <c r="X325">
        <f>HYPERLINK("https://klasma.github.io/Logging_ESKILSTUNA/tillsyn/A 36155-2022.docx", "A 36155-2022")</f>
        <v/>
      </c>
      <c r="Y325">
        <f>HYPERLINK("https://klasma.github.io/Logging_ESKILSTUNA/tillsynsmail/A 36155-2022.docx", "A 36155-2022")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45186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36220-2022.xlsx", "A 36220-2022")</f>
        <v/>
      </c>
      <c r="T326">
        <f>HYPERLINK("https://klasma.github.io/Logging_KATRINEHOLM/kartor/A 36220-2022.png", "A 36220-2022")</f>
        <v/>
      </c>
      <c r="V326">
        <f>HYPERLINK("https://klasma.github.io/Logging_KATRINEHOLM/klagomål/A 36220-2022.docx", "A 36220-2022")</f>
        <v/>
      </c>
      <c r="W326">
        <f>HYPERLINK("https://klasma.github.io/Logging_KATRINEHOLM/klagomålsmail/A 36220-2022.docx", "A 36220-2022")</f>
        <v/>
      </c>
      <c r="X326">
        <f>HYPERLINK("https://klasma.github.io/Logging_KATRINEHOLM/tillsyn/A 36220-2022.docx", "A 36220-2022")</f>
        <v/>
      </c>
      <c r="Y326">
        <f>HYPERLINK("https://klasma.github.io/Logging_KATRINEHOLM/tillsynsmail/A 36220-2022.docx", "A 36220-2022")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45186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36140-2022.xlsx", "A 36140-2022")</f>
        <v/>
      </c>
      <c r="T327">
        <f>HYPERLINK("https://klasma.github.io/Logging_ESKILSTUNA/kartor/A 36140-2022.png", "A 36140-2022")</f>
        <v/>
      </c>
      <c r="V327">
        <f>HYPERLINK("https://klasma.github.io/Logging_ESKILSTUNA/klagomål/A 36140-2022.docx", "A 36140-2022")</f>
        <v/>
      </c>
      <c r="W327">
        <f>HYPERLINK("https://klasma.github.io/Logging_ESKILSTUNA/klagomålsmail/A 36140-2022.docx", "A 36140-2022")</f>
        <v/>
      </c>
      <c r="X327">
        <f>HYPERLINK("https://klasma.github.io/Logging_ESKILSTUNA/tillsyn/A 36140-2022.docx", "A 36140-2022")</f>
        <v/>
      </c>
      <c r="Y327">
        <f>HYPERLINK("https://klasma.github.io/Logging_ESKILSTUNA/tillsynsmail/A 36140-2022.docx", "A 36140-2022")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45186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36996-2022.xlsx", "A 36996-2022")</f>
        <v/>
      </c>
      <c r="T328">
        <f>HYPERLINK("https://klasma.github.io/Logging_NYKOPING/kartor/A 36996-2022.png", "A 36996-2022")</f>
        <v/>
      </c>
      <c r="V328">
        <f>HYPERLINK("https://klasma.github.io/Logging_NYKOPING/klagomål/A 36996-2022.docx", "A 36996-2022")</f>
        <v/>
      </c>
      <c r="W328">
        <f>HYPERLINK("https://klasma.github.io/Logging_NYKOPING/klagomålsmail/A 36996-2022.docx", "A 36996-2022")</f>
        <v/>
      </c>
      <c r="X328">
        <f>HYPERLINK("https://klasma.github.io/Logging_NYKOPING/tillsyn/A 36996-2022.docx", "A 36996-2022")</f>
        <v/>
      </c>
      <c r="Y328">
        <f>HYPERLINK("https://klasma.github.io/Logging_NYKOPING/tillsynsmail/A 36996-2022.docx", "A 36996-2022")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45186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39740-2022.xlsx", "A 39740-2022")</f>
        <v/>
      </c>
      <c r="T329">
        <f>HYPERLINK("https://klasma.github.io/Logging_NYKOPING/kartor/A 39740-2022.png", "A 39740-2022")</f>
        <v/>
      </c>
      <c r="V329">
        <f>HYPERLINK("https://klasma.github.io/Logging_NYKOPING/klagomål/A 39740-2022.docx", "A 39740-2022")</f>
        <v/>
      </c>
      <c r="W329">
        <f>HYPERLINK("https://klasma.github.io/Logging_NYKOPING/klagomålsmail/A 39740-2022.docx", "A 39740-2022")</f>
        <v/>
      </c>
      <c r="X329">
        <f>HYPERLINK("https://klasma.github.io/Logging_NYKOPING/tillsyn/A 39740-2022.docx", "A 39740-2022")</f>
        <v/>
      </c>
      <c r="Y329">
        <f>HYPERLINK("https://klasma.github.io/Logging_NYKOPING/tillsynsmail/A 39740-2022.docx", "A 39740-2022")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45186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41511-2022.xlsx", "A 41511-2022")</f>
        <v/>
      </c>
      <c r="T330">
        <f>HYPERLINK("https://klasma.github.io/Logging_STRANGNAS/kartor/A 41511-2022.png", "A 41511-2022")</f>
        <v/>
      </c>
      <c r="V330">
        <f>HYPERLINK("https://klasma.github.io/Logging_STRANGNAS/klagomål/A 41511-2022.docx", "A 41511-2022")</f>
        <v/>
      </c>
      <c r="W330">
        <f>HYPERLINK("https://klasma.github.io/Logging_STRANGNAS/klagomålsmail/A 41511-2022.docx", "A 41511-2022")</f>
        <v/>
      </c>
      <c r="X330">
        <f>HYPERLINK("https://klasma.github.io/Logging_STRANGNAS/tillsyn/A 41511-2022.docx", "A 41511-2022")</f>
        <v/>
      </c>
      <c r="Y330">
        <f>HYPERLINK("https://klasma.github.io/Logging_STRANGNAS/tillsynsmail/A 41511-2022.docx", "A 41511-2022")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45186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42227-2022.xlsx", "A 42227-2022")</f>
        <v/>
      </c>
      <c r="T331">
        <f>HYPERLINK("https://klasma.github.io/Logging_GNESTA/kartor/A 42227-2022.png", "A 42227-2022")</f>
        <v/>
      </c>
      <c r="V331">
        <f>HYPERLINK("https://klasma.github.io/Logging_GNESTA/klagomål/A 42227-2022.docx", "A 42227-2022")</f>
        <v/>
      </c>
      <c r="W331">
        <f>HYPERLINK("https://klasma.github.io/Logging_GNESTA/klagomålsmail/A 42227-2022.docx", "A 42227-2022")</f>
        <v/>
      </c>
      <c r="X331">
        <f>HYPERLINK("https://klasma.github.io/Logging_GNESTA/tillsyn/A 42227-2022.docx", "A 42227-2022")</f>
        <v/>
      </c>
      <c r="Y331">
        <f>HYPERLINK("https://klasma.github.io/Logging_GNESTA/tillsynsmail/A 42227-2022.docx", "A 42227-2022")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45186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42745-2022.xlsx", "A 42745-2022")</f>
        <v/>
      </c>
      <c r="T332">
        <f>HYPERLINK("https://klasma.github.io/Logging_KATRINEHOLM/kartor/A 42745-2022.png", "A 42745-2022")</f>
        <v/>
      </c>
      <c r="V332">
        <f>HYPERLINK("https://klasma.github.io/Logging_KATRINEHOLM/klagomål/A 42745-2022.docx", "A 42745-2022")</f>
        <v/>
      </c>
      <c r="W332">
        <f>HYPERLINK("https://klasma.github.io/Logging_KATRINEHOLM/klagomålsmail/A 42745-2022.docx", "A 42745-2022")</f>
        <v/>
      </c>
      <c r="X332">
        <f>HYPERLINK("https://klasma.github.io/Logging_KATRINEHOLM/tillsyn/A 42745-2022.docx", "A 42745-2022")</f>
        <v/>
      </c>
      <c r="Y332">
        <f>HYPERLINK("https://klasma.github.io/Logging_KATRINEHOLM/tillsynsmail/A 42745-2022.docx", "A 42745-2022")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45186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43547-2022.xlsx", "A 43547-2022")</f>
        <v/>
      </c>
      <c r="T333">
        <f>HYPERLINK("https://klasma.github.io/Logging_ESKILSTUNA/kartor/A 43547-2022.png", "A 43547-2022")</f>
        <v/>
      </c>
      <c r="U333">
        <f>HYPERLINK("https://klasma.github.io/Logging_ESKILSTUNA/knärot/A 43547-2022.png", "A 43547-2022")</f>
        <v/>
      </c>
      <c r="V333">
        <f>HYPERLINK("https://klasma.github.io/Logging_ESKILSTUNA/klagomål/A 43547-2022.docx", "A 43547-2022")</f>
        <v/>
      </c>
      <c r="W333">
        <f>HYPERLINK("https://klasma.github.io/Logging_ESKILSTUNA/klagomålsmail/A 43547-2022.docx", "A 43547-2022")</f>
        <v/>
      </c>
      <c r="X333">
        <f>HYPERLINK("https://klasma.github.io/Logging_ESKILSTUNA/tillsyn/A 43547-2022.docx", "A 43547-2022")</f>
        <v/>
      </c>
      <c r="Y333">
        <f>HYPERLINK("https://klasma.github.io/Logging_ESKILSTUNA/tillsynsmail/A 43547-2022.docx", "A 43547-2022")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45186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44782-2022.xlsx", "A 44782-2022")</f>
        <v/>
      </c>
      <c r="T334">
        <f>HYPERLINK("https://klasma.github.io/Logging_GNESTA/kartor/A 44782-2022.png", "A 44782-2022")</f>
        <v/>
      </c>
      <c r="V334">
        <f>HYPERLINK("https://klasma.github.io/Logging_GNESTA/klagomål/A 44782-2022.docx", "A 44782-2022")</f>
        <v/>
      </c>
      <c r="W334">
        <f>HYPERLINK("https://klasma.github.io/Logging_GNESTA/klagomålsmail/A 44782-2022.docx", "A 44782-2022")</f>
        <v/>
      </c>
      <c r="X334">
        <f>HYPERLINK("https://klasma.github.io/Logging_GNESTA/tillsyn/A 44782-2022.docx", "A 44782-2022")</f>
        <v/>
      </c>
      <c r="Y334">
        <f>HYPERLINK("https://klasma.github.io/Logging_GNESTA/tillsynsmail/A 44782-2022.docx", "A 44782-2022")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45186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44262-2022.xlsx", "A 44262-2022")</f>
        <v/>
      </c>
      <c r="T335">
        <f>HYPERLINK("https://klasma.github.io/Logging_KATRINEHOLM/kartor/A 44262-2022.png", "A 44262-2022")</f>
        <v/>
      </c>
      <c r="V335">
        <f>HYPERLINK("https://klasma.github.io/Logging_KATRINEHOLM/klagomål/A 44262-2022.docx", "A 44262-2022")</f>
        <v/>
      </c>
      <c r="W335">
        <f>HYPERLINK("https://klasma.github.io/Logging_KATRINEHOLM/klagomålsmail/A 44262-2022.docx", "A 44262-2022")</f>
        <v/>
      </c>
      <c r="X335">
        <f>HYPERLINK("https://klasma.github.io/Logging_KATRINEHOLM/tillsyn/A 44262-2022.docx", "A 44262-2022")</f>
        <v/>
      </c>
      <c r="Y335">
        <f>HYPERLINK("https://klasma.github.io/Logging_KATRINEHOLM/tillsynsmail/A 44262-2022.docx", "A 44262-2022")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45186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44664-2022.xlsx", "A 44664-2022")</f>
        <v/>
      </c>
      <c r="T336">
        <f>HYPERLINK("https://klasma.github.io/Logging_ESKILSTUNA/kartor/A 44664-2022.png", "A 44664-2022")</f>
        <v/>
      </c>
      <c r="U336">
        <f>HYPERLINK("https://klasma.github.io/Logging_ESKILSTUNA/knärot/A 44664-2022.png", "A 44664-2022")</f>
        <v/>
      </c>
      <c r="V336">
        <f>HYPERLINK("https://klasma.github.io/Logging_ESKILSTUNA/klagomål/A 44664-2022.docx", "A 44664-2022")</f>
        <v/>
      </c>
      <c r="W336">
        <f>HYPERLINK("https://klasma.github.io/Logging_ESKILSTUNA/klagomålsmail/A 44664-2022.docx", "A 44664-2022")</f>
        <v/>
      </c>
      <c r="X336">
        <f>HYPERLINK("https://klasma.github.io/Logging_ESKILSTUNA/tillsyn/A 44664-2022.docx", "A 44664-2022")</f>
        <v/>
      </c>
      <c r="Y336">
        <f>HYPERLINK("https://klasma.github.io/Logging_ESKILSTUNA/tillsynsmail/A 44664-2022.docx", "A 44664-2022")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45186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45656-2022.xlsx", "A 45656-2022")</f>
        <v/>
      </c>
      <c r="T337">
        <f>HYPERLINK("https://klasma.github.io/Logging_GNESTA/kartor/A 45656-2022.png", "A 45656-2022")</f>
        <v/>
      </c>
      <c r="V337">
        <f>HYPERLINK("https://klasma.github.io/Logging_GNESTA/klagomål/A 45656-2022.docx", "A 45656-2022")</f>
        <v/>
      </c>
      <c r="W337">
        <f>HYPERLINK("https://klasma.github.io/Logging_GNESTA/klagomålsmail/A 45656-2022.docx", "A 45656-2022")</f>
        <v/>
      </c>
      <c r="X337">
        <f>HYPERLINK("https://klasma.github.io/Logging_GNESTA/tillsyn/A 45656-2022.docx", "A 45656-2022")</f>
        <v/>
      </c>
      <c r="Y337">
        <f>HYPERLINK("https://klasma.github.io/Logging_GNESTA/tillsynsmail/A 45656-2022.docx", "A 45656-2022")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45186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47648-2022.xlsx", "A 47648-2022")</f>
        <v/>
      </c>
      <c r="T338">
        <f>HYPERLINK("https://klasma.github.io/Logging_ESKILSTUNA/kartor/A 47648-2022.png", "A 47648-2022")</f>
        <v/>
      </c>
      <c r="V338">
        <f>HYPERLINK("https://klasma.github.io/Logging_ESKILSTUNA/klagomål/A 47648-2022.docx", "A 47648-2022")</f>
        <v/>
      </c>
      <c r="W338">
        <f>HYPERLINK("https://klasma.github.io/Logging_ESKILSTUNA/klagomålsmail/A 47648-2022.docx", "A 47648-2022")</f>
        <v/>
      </c>
      <c r="X338">
        <f>HYPERLINK("https://klasma.github.io/Logging_ESKILSTUNA/tillsyn/A 47648-2022.docx", "A 47648-2022")</f>
        <v/>
      </c>
      <c r="Y338">
        <f>HYPERLINK("https://klasma.github.io/Logging_ESKILSTUNA/tillsynsmail/A 47648-2022.docx", "A 47648-2022")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45186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48822-2022.xlsx", "A 48822-2022")</f>
        <v/>
      </c>
      <c r="T339">
        <f>HYPERLINK("https://klasma.github.io/Logging_KATRINEHOLM/kartor/A 48822-2022.png", "A 48822-2022")</f>
        <v/>
      </c>
      <c r="V339">
        <f>HYPERLINK("https://klasma.github.io/Logging_KATRINEHOLM/klagomål/A 48822-2022.docx", "A 48822-2022")</f>
        <v/>
      </c>
      <c r="W339">
        <f>HYPERLINK("https://klasma.github.io/Logging_KATRINEHOLM/klagomålsmail/A 48822-2022.docx", "A 48822-2022")</f>
        <v/>
      </c>
      <c r="X339">
        <f>HYPERLINK("https://klasma.github.io/Logging_KATRINEHOLM/tillsyn/A 48822-2022.docx", "A 48822-2022")</f>
        <v/>
      </c>
      <c r="Y339">
        <f>HYPERLINK("https://klasma.github.io/Logging_KATRINEHOLM/tillsynsmail/A 48822-2022.docx", "A 48822-2022")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45186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49442-2022.xlsx", "A 49442-2022")</f>
        <v/>
      </c>
      <c r="T340">
        <f>HYPERLINK("https://klasma.github.io/Logging_GNESTA/kartor/A 49442-2022.png", "A 49442-2022")</f>
        <v/>
      </c>
      <c r="V340">
        <f>HYPERLINK("https://klasma.github.io/Logging_GNESTA/klagomål/A 49442-2022.docx", "A 49442-2022")</f>
        <v/>
      </c>
      <c r="W340">
        <f>HYPERLINK("https://klasma.github.io/Logging_GNESTA/klagomålsmail/A 49442-2022.docx", "A 49442-2022")</f>
        <v/>
      </c>
      <c r="X340">
        <f>HYPERLINK("https://klasma.github.io/Logging_GNESTA/tillsyn/A 49442-2022.docx", "A 49442-2022")</f>
        <v/>
      </c>
      <c r="Y340">
        <f>HYPERLINK("https://klasma.github.io/Logging_GNESTA/tillsynsmail/A 49442-2022.docx", "A 49442-2022")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45186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49460-2022.xlsx", "A 49460-2022")</f>
        <v/>
      </c>
      <c r="T341">
        <f>HYPERLINK("https://klasma.github.io/Logging_GNESTA/kartor/A 49460-2022.png", "A 49460-2022")</f>
        <v/>
      </c>
      <c r="V341">
        <f>HYPERLINK("https://klasma.github.io/Logging_GNESTA/klagomål/A 49460-2022.docx", "A 49460-2022")</f>
        <v/>
      </c>
      <c r="W341">
        <f>HYPERLINK("https://klasma.github.io/Logging_GNESTA/klagomålsmail/A 49460-2022.docx", "A 49460-2022")</f>
        <v/>
      </c>
      <c r="X341">
        <f>HYPERLINK("https://klasma.github.io/Logging_GNESTA/tillsyn/A 49460-2022.docx", "A 49460-2022")</f>
        <v/>
      </c>
      <c r="Y341">
        <f>HYPERLINK("https://klasma.github.io/Logging_GNESTA/tillsynsmail/A 49460-2022.docx", "A 49460-2022")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45186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50202-2022.xlsx", "A 50202-2022")</f>
        <v/>
      </c>
      <c r="T342">
        <f>HYPERLINK("https://klasma.github.io/Logging_FLEN/kartor/A 50202-2022.png", "A 50202-2022")</f>
        <v/>
      </c>
      <c r="V342">
        <f>HYPERLINK("https://klasma.github.io/Logging_FLEN/klagomål/A 50202-2022.docx", "A 50202-2022")</f>
        <v/>
      </c>
      <c r="W342">
        <f>HYPERLINK("https://klasma.github.io/Logging_FLEN/klagomålsmail/A 50202-2022.docx", "A 50202-2022")</f>
        <v/>
      </c>
      <c r="X342">
        <f>HYPERLINK("https://klasma.github.io/Logging_FLEN/tillsyn/A 50202-2022.docx", "A 50202-2022")</f>
        <v/>
      </c>
      <c r="Y342">
        <f>HYPERLINK("https://klasma.github.io/Logging_FLEN/tillsynsmail/A 50202-2022.docx", "A 50202-2022")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45186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56074-2022.xlsx", "A 56074-2022")</f>
        <v/>
      </c>
      <c r="T343">
        <f>HYPERLINK("https://klasma.github.io/Logging_KATRINEHOLM/kartor/A 56074-2022.png", "A 56074-2022")</f>
        <v/>
      </c>
      <c r="V343">
        <f>HYPERLINK("https://klasma.github.io/Logging_KATRINEHOLM/klagomål/A 56074-2022.docx", "A 56074-2022")</f>
        <v/>
      </c>
      <c r="W343">
        <f>HYPERLINK("https://klasma.github.io/Logging_KATRINEHOLM/klagomålsmail/A 56074-2022.docx", "A 56074-2022")</f>
        <v/>
      </c>
      <c r="X343">
        <f>HYPERLINK("https://klasma.github.io/Logging_KATRINEHOLM/tillsyn/A 56074-2022.docx", "A 56074-2022")</f>
        <v/>
      </c>
      <c r="Y343">
        <f>HYPERLINK("https://klasma.github.io/Logging_KATRINEHOLM/tillsynsmail/A 56074-2022.docx", "A 56074-2022")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45186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56791-2022.xlsx", "A 56791-2022")</f>
        <v/>
      </c>
      <c r="T344">
        <f>HYPERLINK("https://klasma.github.io/Logging_GNESTA/kartor/A 56791-2022.png", "A 56791-2022")</f>
        <v/>
      </c>
      <c r="V344">
        <f>HYPERLINK("https://klasma.github.io/Logging_GNESTA/klagomål/A 56791-2022.docx", "A 56791-2022")</f>
        <v/>
      </c>
      <c r="W344">
        <f>HYPERLINK("https://klasma.github.io/Logging_GNESTA/klagomålsmail/A 56791-2022.docx", "A 56791-2022")</f>
        <v/>
      </c>
      <c r="X344">
        <f>HYPERLINK("https://klasma.github.io/Logging_GNESTA/tillsyn/A 56791-2022.docx", "A 56791-2022")</f>
        <v/>
      </c>
      <c r="Y344">
        <f>HYPERLINK("https://klasma.github.io/Logging_GNESTA/tillsynsmail/A 56791-2022.docx", "A 56791-2022")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45186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60591-2022.xlsx", "A 60591-2022")</f>
        <v/>
      </c>
      <c r="T345">
        <f>HYPERLINK("https://klasma.github.io/Logging_FLEN/kartor/A 60591-2022.png", "A 60591-2022")</f>
        <v/>
      </c>
      <c r="V345">
        <f>HYPERLINK("https://klasma.github.io/Logging_FLEN/klagomål/A 60591-2022.docx", "A 60591-2022")</f>
        <v/>
      </c>
      <c r="W345">
        <f>HYPERLINK("https://klasma.github.io/Logging_FLEN/klagomålsmail/A 60591-2022.docx", "A 60591-2022")</f>
        <v/>
      </c>
      <c r="X345">
        <f>HYPERLINK("https://klasma.github.io/Logging_FLEN/tillsyn/A 60591-2022.docx", "A 60591-2022")</f>
        <v/>
      </c>
      <c r="Y345">
        <f>HYPERLINK("https://klasma.github.io/Logging_FLEN/tillsynsmail/A 60591-2022.docx", "A 60591-2022")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45186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61986-2022.xlsx", "A 61986-2022")</f>
        <v/>
      </c>
      <c r="T346">
        <f>HYPERLINK("https://klasma.github.io/Logging_GNESTA/kartor/A 61986-2022.png", "A 61986-2022")</f>
        <v/>
      </c>
      <c r="V346">
        <f>HYPERLINK("https://klasma.github.io/Logging_GNESTA/klagomål/A 61986-2022.docx", "A 61986-2022")</f>
        <v/>
      </c>
      <c r="W346">
        <f>HYPERLINK("https://klasma.github.io/Logging_GNESTA/klagomålsmail/A 61986-2022.docx", "A 61986-2022")</f>
        <v/>
      </c>
      <c r="X346">
        <f>HYPERLINK("https://klasma.github.io/Logging_GNESTA/tillsyn/A 61986-2022.docx", "A 61986-2022")</f>
        <v/>
      </c>
      <c r="Y346">
        <f>HYPERLINK("https://klasma.github.io/Logging_GNESTA/tillsynsmail/A 61986-2022.docx", "A 61986-2022")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45186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62007-2022.xlsx", "A 62007-2022")</f>
        <v/>
      </c>
      <c r="T347">
        <f>HYPERLINK("https://klasma.github.io/Logging_GNESTA/kartor/A 62007-2022.png", "A 62007-2022")</f>
        <v/>
      </c>
      <c r="V347">
        <f>HYPERLINK("https://klasma.github.io/Logging_GNESTA/klagomål/A 62007-2022.docx", "A 62007-2022")</f>
        <v/>
      </c>
      <c r="W347">
        <f>HYPERLINK("https://klasma.github.io/Logging_GNESTA/klagomålsmail/A 62007-2022.docx", "A 62007-2022")</f>
        <v/>
      </c>
      <c r="X347">
        <f>HYPERLINK("https://klasma.github.io/Logging_GNESTA/tillsyn/A 62007-2022.docx", "A 62007-2022")</f>
        <v/>
      </c>
      <c r="Y347">
        <f>HYPERLINK("https://klasma.github.io/Logging_GNESTA/tillsynsmail/A 62007-2022.docx", "A 62007-2022")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45186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61987-2022.xlsx", "A 61987-2022")</f>
        <v/>
      </c>
      <c r="T348">
        <f>HYPERLINK("https://klasma.github.io/Logging_ESKILSTUNA/kartor/A 61987-2022.png", "A 61987-2022")</f>
        <v/>
      </c>
      <c r="V348">
        <f>HYPERLINK("https://klasma.github.io/Logging_ESKILSTUNA/klagomål/A 61987-2022.docx", "A 61987-2022")</f>
        <v/>
      </c>
      <c r="W348">
        <f>HYPERLINK("https://klasma.github.io/Logging_ESKILSTUNA/klagomålsmail/A 61987-2022.docx", "A 61987-2022")</f>
        <v/>
      </c>
      <c r="X348">
        <f>HYPERLINK("https://klasma.github.io/Logging_ESKILSTUNA/tillsyn/A 61987-2022.docx", "A 61987-2022")</f>
        <v/>
      </c>
      <c r="Y348">
        <f>HYPERLINK("https://klasma.github.io/Logging_ESKILSTUNA/tillsynsmail/A 61987-2022.docx", "A 61987-2022")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45186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692-2023.xlsx", "A 692-2023")</f>
        <v/>
      </c>
      <c r="T349">
        <f>HYPERLINK("https://klasma.github.io/Logging_STRANGNAS/kartor/A 692-2023.png", "A 692-2023")</f>
        <v/>
      </c>
      <c r="V349">
        <f>HYPERLINK("https://klasma.github.io/Logging_STRANGNAS/klagomål/A 692-2023.docx", "A 692-2023")</f>
        <v/>
      </c>
      <c r="W349">
        <f>HYPERLINK("https://klasma.github.io/Logging_STRANGNAS/klagomålsmail/A 692-2023.docx", "A 692-2023")</f>
        <v/>
      </c>
      <c r="X349">
        <f>HYPERLINK("https://klasma.github.io/Logging_STRANGNAS/tillsyn/A 692-2023.docx", "A 692-2023")</f>
        <v/>
      </c>
      <c r="Y349">
        <f>HYPERLINK("https://klasma.github.io/Logging_STRANGNAS/tillsynsmail/A 692-2023.docx", "A 692-2023")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45186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882-2023.xlsx", "A 882-2023")</f>
        <v/>
      </c>
      <c r="T350">
        <f>HYPERLINK("https://klasma.github.io/Logging_FLEN/kartor/A 882-2023.png", "A 882-2023")</f>
        <v/>
      </c>
      <c r="V350">
        <f>HYPERLINK("https://klasma.github.io/Logging_FLEN/klagomål/A 882-2023.docx", "A 882-2023")</f>
        <v/>
      </c>
      <c r="W350">
        <f>HYPERLINK("https://klasma.github.io/Logging_FLEN/klagomålsmail/A 882-2023.docx", "A 882-2023")</f>
        <v/>
      </c>
      <c r="X350">
        <f>HYPERLINK("https://klasma.github.io/Logging_FLEN/tillsyn/A 882-2023.docx", "A 882-2023")</f>
        <v/>
      </c>
      <c r="Y350">
        <f>HYPERLINK("https://klasma.github.io/Logging_FLEN/tillsynsmail/A 882-2023.docx", "A 882-2023")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45186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2303-2023.xlsx", "A 2303-2023")</f>
        <v/>
      </c>
      <c r="T351">
        <f>HYPERLINK("https://klasma.github.io/Logging_STRANGNAS/kartor/A 2303-2023.png", "A 2303-2023")</f>
        <v/>
      </c>
      <c r="V351">
        <f>HYPERLINK("https://klasma.github.io/Logging_STRANGNAS/klagomål/A 2303-2023.docx", "A 2303-2023")</f>
        <v/>
      </c>
      <c r="W351">
        <f>HYPERLINK("https://klasma.github.io/Logging_STRANGNAS/klagomålsmail/A 2303-2023.docx", "A 2303-2023")</f>
        <v/>
      </c>
      <c r="X351">
        <f>HYPERLINK("https://klasma.github.io/Logging_STRANGNAS/tillsyn/A 2303-2023.docx", "A 2303-2023")</f>
        <v/>
      </c>
      <c r="Y351">
        <f>HYPERLINK("https://klasma.github.io/Logging_STRANGNAS/tillsynsmail/A 2303-2023.docx", "A 2303-2023")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45186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2842-2023.xlsx", "A 2842-2023")</f>
        <v/>
      </c>
      <c r="T352">
        <f>HYPERLINK("https://klasma.github.io/Logging_NYKOPING/kartor/A 2842-2023.png", "A 2842-2023")</f>
        <v/>
      </c>
      <c r="V352">
        <f>HYPERLINK("https://klasma.github.io/Logging_NYKOPING/klagomål/A 2842-2023.docx", "A 2842-2023")</f>
        <v/>
      </c>
      <c r="W352">
        <f>HYPERLINK("https://klasma.github.io/Logging_NYKOPING/klagomålsmail/A 2842-2023.docx", "A 2842-2023")</f>
        <v/>
      </c>
      <c r="X352">
        <f>HYPERLINK("https://klasma.github.io/Logging_NYKOPING/tillsyn/A 2842-2023.docx", "A 2842-2023")</f>
        <v/>
      </c>
      <c r="Y352">
        <f>HYPERLINK("https://klasma.github.io/Logging_NYKOPING/tillsynsmail/A 2842-2023.docx", "A 2842-2023")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45186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4699-2023.xlsx", "A 4699-2023")</f>
        <v/>
      </c>
      <c r="T353">
        <f>HYPERLINK("https://klasma.github.io/Logging_FLEN/kartor/A 4699-2023.png", "A 4699-2023")</f>
        <v/>
      </c>
      <c r="V353">
        <f>HYPERLINK("https://klasma.github.io/Logging_FLEN/klagomål/A 4699-2023.docx", "A 4699-2023")</f>
        <v/>
      </c>
      <c r="W353">
        <f>HYPERLINK("https://klasma.github.io/Logging_FLEN/klagomålsmail/A 4699-2023.docx", "A 4699-2023")</f>
        <v/>
      </c>
      <c r="X353">
        <f>HYPERLINK("https://klasma.github.io/Logging_FLEN/tillsyn/A 4699-2023.docx", "A 4699-2023")</f>
        <v/>
      </c>
      <c r="Y353">
        <f>HYPERLINK("https://klasma.github.io/Logging_FLEN/tillsynsmail/A 4699-2023.docx", "A 4699-2023")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45186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7506-2023.xlsx", "A 7506-2023")</f>
        <v/>
      </c>
      <c r="T354">
        <f>HYPERLINK("https://klasma.github.io/Logging_FLEN/kartor/A 7506-2023.png", "A 7506-2023")</f>
        <v/>
      </c>
      <c r="V354">
        <f>HYPERLINK("https://klasma.github.io/Logging_FLEN/klagomål/A 7506-2023.docx", "A 7506-2023")</f>
        <v/>
      </c>
      <c r="W354">
        <f>HYPERLINK("https://klasma.github.io/Logging_FLEN/klagomålsmail/A 7506-2023.docx", "A 7506-2023")</f>
        <v/>
      </c>
      <c r="X354">
        <f>HYPERLINK("https://klasma.github.io/Logging_FLEN/tillsyn/A 7506-2023.docx", "A 7506-2023")</f>
        <v/>
      </c>
      <c r="Y354">
        <f>HYPERLINK("https://klasma.github.io/Logging_FLEN/tillsynsmail/A 7506-2023.docx", "A 7506-2023")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45186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7661-2023.xlsx", "A 7661-2023")</f>
        <v/>
      </c>
      <c r="T355">
        <f>HYPERLINK("https://klasma.github.io/Logging_GNESTA/kartor/A 7661-2023.png", "A 7661-2023")</f>
        <v/>
      </c>
      <c r="V355">
        <f>HYPERLINK("https://klasma.github.io/Logging_GNESTA/klagomål/A 7661-2023.docx", "A 7661-2023")</f>
        <v/>
      </c>
      <c r="W355">
        <f>HYPERLINK("https://klasma.github.io/Logging_GNESTA/klagomålsmail/A 7661-2023.docx", "A 7661-2023")</f>
        <v/>
      </c>
      <c r="X355">
        <f>HYPERLINK("https://klasma.github.io/Logging_GNESTA/tillsyn/A 7661-2023.docx", "A 7661-2023")</f>
        <v/>
      </c>
      <c r="Y355">
        <f>HYPERLINK("https://klasma.github.io/Logging_GNESTA/tillsynsmail/A 7661-2023.docx", "A 7661-2023")</f>
        <v/>
      </c>
    </row>
    <row r="356" ht="15" customHeight="1">
      <c r="A356" t="inlineStr">
        <is>
          <t>A 7681-2023</t>
        </is>
      </c>
      <c r="B356" s="1" t="n">
        <v>44972</v>
      </c>
      <c r="C356" s="1" t="n">
        <v>45186</v>
      </c>
      <c r="D356" t="inlineStr">
        <is>
          <t>SÖDERMANLANDS LÄN</t>
        </is>
      </c>
      <c r="E356" t="inlineStr">
        <is>
          <t>GNESTA</t>
        </is>
      </c>
      <c r="G356" t="n">
        <v>2.3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Gullklöver</t>
        </is>
      </c>
      <c r="S356">
        <f>HYPERLINK("https://klasma.github.io/Logging_GNESTA/artfynd/A 7681-2023.xlsx", "A 7681-2023")</f>
        <v/>
      </c>
      <c r="T356">
        <f>HYPERLINK("https://klasma.github.io/Logging_GNESTA/kartor/A 7681-2023.png", "A 7681-2023")</f>
        <v/>
      </c>
      <c r="V356">
        <f>HYPERLINK("https://klasma.github.io/Logging_GNESTA/klagomål/A 7681-2023.docx", "A 7681-2023")</f>
        <v/>
      </c>
      <c r="W356">
        <f>HYPERLINK("https://klasma.github.io/Logging_GNESTA/klagomålsmail/A 7681-2023.docx", "A 7681-2023")</f>
        <v/>
      </c>
      <c r="X356">
        <f>HYPERLINK("https://klasma.github.io/Logging_GNESTA/tillsyn/A 7681-2023.docx", "A 7681-2023")</f>
        <v/>
      </c>
      <c r="Y356">
        <f>HYPERLINK("https://klasma.github.io/Logging_GNESTA/tillsynsmail/A 7681-2023.docx", "A 7681-2023")</f>
        <v/>
      </c>
    </row>
    <row r="357" ht="15" customHeight="1">
      <c r="A357" t="inlineStr">
        <is>
          <t>A 8019-2023</t>
        </is>
      </c>
      <c r="B357" s="1" t="n">
        <v>44973</v>
      </c>
      <c r="C357" s="1" t="n">
        <v>45186</v>
      </c>
      <c r="D357" t="inlineStr">
        <is>
          <t>SÖDERMANLANDS LÄN</t>
        </is>
      </c>
      <c r="E357" t="inlineStr">
        <is>
          <t>GNESTA</t>
        </is>
      </c>
      <c r="G357" t="n">
        <v>3.9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Klasefibbla</t>
        </is>
      </c>
      <c r="S357">
        <f>HYPERLINK("https://klasma.github.io/Logging_GNESTA/artfynd/A 8019-2023.xlsx", "A 8019-2023")</f>
        <v/>
      </c>
      <c r="T357">
        <f>HYPERLINK("https://klasma.github.io/Logging_GNESTA/kartor/A 8019-2023.png", "A 8019-2023")</f>
        <v/>
      </c>
      <c r="V357">
        <f>HYPERLINK("https://klasma.github.io/Logging_GNESTA/klagomål/A 8019-2023.docx", "A 8019-2023")</f>
        <v/>
      </c>
      <c r="W357">
        <f>HYPERLINK("https://klasma.github.io/Logging_GNESTA/klagomålsmail/A 8019-2023.docx", "A 8019-2023")</f>
        <v/>
      </c>
      <c r="X357">
        <f>HYPERLINK("https://klasma.github.io/Logging_GNESTA/tillsyn/A 8019-2023.docx", "A 8019-2023")</f>
        <v/>
      </c>
      <c r="Y357">
        <f>HYPERLINK("https://klasma.github.io/Logging_GNESTA/tillsynsmail/A 8019-2023.docx", "A 8019-2023")</f>
        <v/>
      </c>
    </row>
    <row r="358" ht="15" customHeight="1">
      <c r="A358" t="inlineStr">
        <is>
          <t>A 7741-2023</t>
        </is>
      </c>
      <c r="B358" s="1" t="n">
        <v>44973</v>
      </c>
      <c r="C358" s="1" t="n">
        <v>45186</v>
      </c>
      <c r="D358" t="inlineStr">
        <is>
          <t>SÖDERMANLANDS LÄN</t>
        </is>
      </c>
      <c r="E358" t="inlineStr">
        <is>
          <t>GNESTA</t>
        </is>
      </c>
      <c r="G358" t="n">
        <v>3.4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7741-2023.xlsx", "A 7741-2023")</f>
        <v/>
      </c>
      <c r="T358">
        <f>HYPERLINK("https://klasma.github.io/Logging_GNESTA/kartor/A 7741-2023.png", "A 7741-2023")</f>
        <v/>
      </c>
      <c r="V358">
        <f>HYPERLINK("https://klasma.github.io/Logging_GNESTA/klagomål/A 7741-2023.docx", "A 7741-2023")</f>
        <v/>
      </c>
      <c r="W358">
        <f>HYPERLINK("https://klasma.github.io/Logging_GNESTA/klagomålsmail/A 7741-2023.docx", "A 7741-2023")</f>
        <v/>
      </c>
      <c r="X358">
        <f>HYPERLINK("https://klasma.github.io/Logging_GNESTA/tillsyn/A 7741-2023.docx", "A 7741-2023")</f>
        <v/>
      </c>
      <c r="Y358">
        <f>HYPERLINK("https://klasma.github.io/Logging_GNESTA/tillsynsmail/A 7741-2023.docx", "A 7741-2023")</f>
        <v/>
      </c>
    </row>
    <row r="359" ht="15" customHeight="1">
      <c r="A359" t="inlineStr">
        <is>
          <t>A 7739-2023</t>
        </is>
      </c>
      <c r="B359" s="1" t="n">
        <v>44973</v>
      </c>
      <c r="C359" s="1" t="n">
        <v>45186</v>
      </c>
      <c r="D359" t="inlineStr">
        <is>
          <t>SÖDERMANLANDS LÄN</t>
        </is>
      </c>
      <c r="E359" t="inlineStr">
        <is>
          <t>GNESTA</t>
        </is>
      </c>
      <c r="G359" t="n">
        <v>4.7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Nattviol</t>
        </is>
      </c>
      <c r="S359">
        <f>HYPERLINK("https://klasma.github.io/Logging_GNESTA/artfynd/A 7739-2023.xlsx", "A 7739-2023")</f>
        <v/>
      </c>
      <c r="T359">
        <f>HYPERLINK("https://klasma.github.io/Logging_GNESTA/kartor/A 7739-2023.png", "A 7739-2023")</f>
        <v/>
      </c>
      <c r="V359">
        <f>HYPERLINK("https://klasma.github.io/Logging_GNESTA/klagomål/A 7739-2023.docx", "A 7739-2023")</f>
        <v/>
      </c>
      <c r="W359">
        <f>HYPERLINK("https://klasma.github.io/Logging_GNESTA/klagomålsmail/A 7739-2023.docx", "A 7739-2023")</f>
        <v/>
      </c>
      <c r="X359">
        <f>HYPERLINK("https://klasma.github.io/Logging_GNESTA/tillsyn/A 7739-2023.docx", "A 7739-2023")</f>
        <v/>
      </c>
      <c r="Y359">
        <f>HYPERLINK("https://klasma.github.io/Logging_GNESTA/tillsynsmail/A 7739-2023.docx", "A 7739-2023")</f>
        <v/>
      </c>
    </row>
    <row r="360" ht="15" customHeight="1">
      <c r="A360" t="inlineStr">
        <is>
          <t>A 9303-2023</t>
        </is>
      </c>
      <c r="B360" s="1" t="n">
        <v>44980</v>
      </c>
      <c r="C360" s="1" t="n">
        <v>45186</v>
      </c>
      <c r="D360" t="inlineStr">
        <is>
          <t>SÖDERMANLANDS LÄN</t>
        </is>
      </c>
      <c r="E360" t="inlineStr">
        <is>
          <t>GNESTA</t>
        </is>
      </c>
      <c r="G360" t="n">
        <v>0.7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Zontaggsvamp</t>
        </is>
      </c>
      <c r="S360">
        <f>HYPERLINK("https://klasma.github.io/Logging_GNESTA/artfynd/A 9303-2023.xlsx", "A 9303-2023")</f>
        <v/>
      </c>
      <c r="T360">
        <f>HYPERLINK("https://klasma.github.io/Logging_GNESTA/kartor/A 9303-2023.png", "A 9303-2023")</f>
        <v/>
      </c>
      <c r="V360">
        <f>HYPERLINK("https://klasma.github.io/Logging_GNESTA/klagomål/A 9303-2023.docx", "A 9303-2023")</f>
        <v/>
      </c>
      <c r="W360">
        <f>HYPERLINK("https://klasma.github.io/Logging_GNESTA/klagomålsmail/A 9303-2023.docx", "A 9303-2023")</f>
        <v/>
      </c>
      <c r="X360">
        <f>HYPERLINK("https://klasma.github.io/Logging_GNESTA/tillsyn/A 9303-2023.docx", "A 9303-2023")</f>
        <v/>
      </c>
      <c r="Y360">
        <f>HYPERLINK("https://klasma.github.io/Logging_GNESTA/tillsynsmail/A 9303-2023.docx", "A 9303-2023")</f>
        <v/>
      </c>
    </row>
    <row r="361" ht="15" customHeight="1">
      <c r="A361" t="inlineStr">
        <is>
          <t>A 11890-2023</t>
        </is>
      </c>
      <c r="B361" s="1" t="n">
        <v>44995</v>
      </c>
      <c r="C361" s="1" t="n">
        <v>45186</v>
      </c>
      <c r="D361" t="inlineStr">
        <is>
          <t>SÖDERMANLANDS LÄN</t>
        </is>
      </c>
      <c r="E361" t="inlineStr">
        <is>
          <t>KATRINEHOLM</t>
        </is>
      </c>
      <c r="F361" t="inlineStr">
        <is>
          <t>Kommuner</t>
        </is>
      </c>
      <c r="G361" t="n">
        <v>6.7</v>
      </c>
      <c r="H361" t="n">
        <v>1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Skogsknipprot</t>
        </is>
      </c>
      <c r="S361">
        <f>HYPERLINK("https://klasma.github.io/Logging_KATRINEHOLM/artfynd/A 11890-2023.xlsx", "A 11890-2023")</f>
        <v/>
      </c>
      <c r="T361">
        <f>HYPERLINK("https://klasma.github.io/Logging_KATRINEHOLM/kartor/A 11890-2023.png", "A 11890-2023")</f>
        <v/>
      </c>
      <c r="V361">
        <f>HYPERLINK("https://klasma.github.io/Logging_KATRINEHOLM/klagomål/A 11890-2023.docx", "A 11890-2023")</f>
        <v/>
      </c>
      <c r="W361">
        <f>HYPERLINK("https://klasma.github.io/Logging_KATRINEHOLM/klagomålsmail/A 11890-2023.docx", "A 11890-2023")</f>
        <v/>
      </c>
      <c r="X361">
        <f>HYPERLINK("https://klasma.github.io/Logging_KATRINEHOLM/tillsyn/A 11890-2023.docx", "A 11890-2023")</f>
        <v/>
      </c>
      <c r="Y361">
        <f>HYPERLINK("https://klasma.github.io/Logging_KATRINEHOLM/tillsynsmail/A 11890-2023.docx", "A 11890-2023")</f>
        <v/>
      </c>
    </row>
    <row r="362" ht="15" customHeight="1">
      <c r="A362" t="inlineStr">
        <is>
          <t>A 12238-2023</t>
        </is>
      </c>
      <c r="B362" s="1" t="n">
        <v>44995</v>
      </c>
      <c r="C362" s="1" t="n">
        <v>45186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Övriga Aktiebolag</t>
        </is>
      </c>
      <c r="G362" t="n">
        <v>58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Skogsklocka</t>
        </is>
      </c>
      <c r="S362">
        <f>HYPERLINK("https://klasma.github.io/Logging_KATRINEHOLM/artfynd/A 12238-2023.xlsx", "A 12238-2023")</f>
        <v/>
      </c>
      <c r="T362">
        <f>HYPERLINK("https://klasma.github.io/Logging_KATRINEHOLM/kartor/A 12238-2023.png", "A 12238-2023")</f>
        <v/>
      </c>
      <c r="V362">
        <f>HYPERLINK("https://klasma.github.io/Logging_KATRINEHOLM/klagomål/A 12238-2023.docx", "A 12238-2023")</f>
        <v/>
      </c>
      <c r="W362">
        <f>HYPERLINK("https://klasma.github.io/Logging_KATRINEHOLM/klagomålsmail/A 12238-2023.docx", "A 12238-2023")</f>
        <v/>
      </c>
      <c r="X362">
        <f>HYPERLINK("https://klasma.github.io/Logging_KATRINEHOLM/tillsyn/A 12238-2023.docx", "A 12238-2023")</f>
        <v/>
      </c>
      <c r="Y362">
        <f>HYPERLINK("https://klasma.github.io/Logging_KATRINEHOLM/tillsynsmail/A 12238-2023.docx", "A 12238-2023")</f>
        <v/>
      </c>
    </row>
    <row r="363" ht="15" customHeight="1">
      <c r="A363" t="inlineStr">
        <is>
          <t>A 12174-2023</t>
        </is>
      </c>
      <c r="B363" s="1" t="n">
        <v>44995</v>
      </c>
      <c r="C363" s="1" t="n">
        <v>45186</v>
      </c>
      <c r="D363" t="inlineStr">
        <is>
          <t>SÖDERMANLANDS LÄN</t>
        </is>
      </c>
      <c r="E363" t="inlineStr">
        <is>
          <t>GNESTA</t>
        </is>
      </c>
      <c r="G363" t="n">
        <v>11.2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HYPERLINK("https://klasma.github.io/Logging_GNESTA/artfynd/A 12174-2023.xlsx", "A 12174-2023")</f>
        <v/>
      </c>
      <c r="T363">
        <f>HYPERLINK("https://klasma.github.io/Logging_GNESTA/kartor/A 12174-2023.png", "A 12174-2023")</f>
        <v/>
      </c>
      <c r="V363">
        <f>HYPERLINK("https://klasma.github.io/Logging_GNESTA/klagomål/A 12174-2023.docx", "A 12174-2023")</f>
        <v/>
      </c>
      <c r="W363">
        <f>HYPERLINK("https://klasma.github.io/Logging_GNESTA/klagomålsmail/A 12174-2023.docx", "A 12174-2023")</f>
        <v/>
      </c>
      <c r="X363">
        <f>HYPERLINK("https://klasma.github.io/Logging_GNESTA/tillsyn/A 12174-2023.docx", "A 12174-2023")</f>
        <v/>
      </c>
      <c r="Y363">
        <f>HYPERLINK("https://klasma.github.io/Logging_GNESTA/tillsynsmail/A 12174-2023.docx", "A 12174-2023")</f>
        <v/>
      </c>
    </row>
    <row r="364" ht="15" customHeight="1">
      <c r="A364" t="inlineStr">
        <is>
          <t>A 12891-2023</t>
        </is>
      </c>
      <c r="B364" s="1" t="n">
        <v>45001</v>
      </c>
      <c r="C364" s="1" t="n">
        <v>45186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6.9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Revlummer</t>
        </is>
      </c>
      <c r="S364">
        <f>HYPERLINK("https://klasma.github.io/Logging_NYKOPING/artfynd/A 12891-2023.xlsx", "A 12891-2023")</f>
        <v/>
      </c>
      <c r="T364">
        <f>HYPERLINK("https://klasma.github.io/Logging_NYKOPING/kartor/A 12891-2023.png", "A 12891-2023")</f>
        <v/>
      </c>
      <c r="V364">
        <f>HYPERLINK("https://klasma.github.io/Logging_NYKOPING/klagomål/A 12891-2023.docx", "A 12891-2023")</f>
        <v/>
      </c>
      <c r="W364">
        <f>HYPERLINK("https://klasma.github.io/Logging_NYKOPING/klagomålsmail/A 12891-2023.docx", "A 12891-2023")</f>
        <v/>
      </c>
      <c r="X364">
        <f>HYPERLINK("https://klasma.github.io/Logging_NYKOPING/tillsyn/A 12891-2023.docx", "A 12891-2023")</f>
        <v/>
      </c>
      <c r="Y364">
        <f>HYPERLINK("https://klasma.github.io/Logging_NYKOPING/tillsynsmail/A 12891-2023.docx", "A 12891-2023")</f>
        <v/>
      </c>
    </row>
    <row r="365" ht="15" customHeight="1">
      <c r="A365" t="inlineStr">
        <is>
          <t>A 14013-2023</t>
        </is>
      </c>
      <c r="B365" s="1" t="n">
        <v>45007</v>
      </c>
      <c r="C365" s="1" t="n">
        <v>45186</v>
      </c>
      <c r="D365" t="inlineStr">
        <is>
          <t>SÖDERMANLANDS LÄN</t>
        </is>
      </c>
      <c r="E365" t="inlineStr">
        <is>
          <t>KATRINEHOLM</t>
        </is>
      </c>
      <c r="G365" t="n">
        <v>10.8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Grönsångare</t>
        </is>
      </c>
      <c r="S365">
        <f>HYPERLINK("https://klasma.github.io/Logging_KATRINEHOLM/artfynd/A 14013-2023.xlsx", "A 14013-2023")</f>
        <v/>
      </c>
      <c r="T365">
        <f>HYPERLINK("https://klasma.github.io/Logging_KATRINEHOLM/kartor/A 14013-2023.png", "A 14013-2023")</f>
        <v/>
      </c>
      <c r="V365">
        <f>HYPERLINK("https://klasma.github.io/Logging_KATRINEHOLM/klagomål/A 14013-2023.docx", "A 14013-2023")</f>
        <v/>
      </c>
      <c r="W365">
        <f>HYPERLINK("https://klasma.github.io/Logging_KATRINEHOLM/klagomålsmail/A 14013-2023.docx", "A 14013-2023")</f>
        <v/>
      </c>
      <c r="X365">
        <f>HYPERLINK("https://klasma.github.io/Logging_KATRINEHOLM/tillsyn/A 14013-2023.docx", "A 14013-2023")</f>
        <v/>
      </c>
      <c r="Y365">
        <f>HYPERLINK("https://klasma.github.io/Logging_KATRINEHOLM/tillsynsmail/A 14013-2023.docx", "A 14013-2023")</f>
        <v/>
      </c>
    </row>
    <row r="366" ht="15" customHeight="1">
      <c r="A366" t="inlineStr">
        <is>
          <t>A 14327-2023</t>
        </is>
      </c>
      <c r="B366" s="1" t="n">
        <v>45012</v>
      </c>
      <c r="C366" s="1" t="n">
        <v>45186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Kommuner</t>
        </is>
      </c>
      <c r="G366" t="n">
        <v>2.6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Mattlummer</t>
        </is>
      </c>
      <c r="S366">
        <f>HYPERLINK("https://klasma.github.io/Logging_ESKILSTUNA/artfynd/A 14327-2023.xlsx", "A 14327-2023")</f>
        <v/>
      </c>
      <c r="T366">
        <f>HYPERLINK("https://klasma.github.io/Logging_ESKILSTUNA/kartor/A 14327-2023.png", "A 14327-2023")</f>
        <v/>
      </c>
      <c r="V366">
        <f>HYPERLINK("https://klasma.github.io/Logging_ESKILSTUNA/klagomål/A 14327-2023.docx", "A 14327-2023")</f>
        <v/>
      </c>
      <c r="W366">
        <f>HYPERLINK("https://klasma.github.io/Logging_ESKILSTUNA/klagomålsmail/A 14327-2023.docx", "A 14327-2023")</f>
        <v/>
      </c>
      <c r="X366">
        <f>HYPERLINK("https://klasma.github.io/Logging_ESKILSTUNA/tillsyn/A 14327-2023.docx", "A 14327-2023")</f>
        <v/>
      </c>
      <c r="Y366">
        <f>HYPERLINK("https://klasma.github.io/Logging_ESKILSTUNA/tillsynsmail/A 14327-2023.docx", "A 14327-2023")</f>
        <v/>
      </c>
    </row>
    <row r="367" ht="15" customHeight="1">
      <c r="A367" t="inlineStr">
        <is>
          <t>A 18928-2023</t>
        </is>
      </c>
      <c r="B367" s="1" t="n">
        <v>45044</v>
      </c>
      <c r="C367" s="1" t="n">
        <v>45186</v>
      </c>
      <c r="D367" t="inlineStr">
        <is>
          <t>SÖDERMANLANDS LÄN</t>
        </is>
      </c>
      <c r="E367" t="inlineStr">
        <is>
          <t>FLEN</t>
        </is>
      </c>
      <c r="G367" t="n">
        <v>6.2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HYPERLINK("https://klasma.github.io/Logging_FLEN/artfynd/A 18928-2023.xlsx", "A 18928-2023")</f>
        <v/>
      </c>
      <c r="T367">
        <f>HYPERLINK("https://klasma.github.io/Logging_FLEN/kartor/A 18928-2023.png", "A 18928-2023")</f>
        <v/>
      </c>
      <c r="V367">
        <f>HYPERLINK("https://klasma.github.io/Logging_FLEN/klagomål/A 18928-2023.docx", "A 18928-2023")</f>
        <v/>
      </c>
      <c r="W367">
        <f>HYPERLINK("https://klasma.github.io/Logging_FLEN/klagomålsmail/A 18928-2023.docx", "A 18928-2023")</f>
        <v/>
      </c>
      <c r="X367">
        <f>HYPERLINK("https://klasma.github.io/Logging_FLEN/tillsyn/A 18928-2023.docx", "A 18928-2023")</f>
        <v/>
      </c>
      <c r="Y367">
        <f>HYPERLINK("https://klasma.github.io/Logging_FLEN/tillsynsmail/A 18928-2023.docx", "A 18928-2023")</f>
        <v/>
      </c>
    </row>
    <row r="368" ht="15" customHeight="1">
      <c r="A368" t="inlineStr">
        <is>
          <t>A 19627-2023</t>
        </is>
      </c>
      <c r="B368" s="1" t="n">
        <v>45050</v>
      </c>
      <c r="C368" s="1" t="n">
        <v>45186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2.7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HYPERLINK("https://klasma.github.io/Logging_ESKILSTUNA/artfynd/A 19627-2023.xlsx", "A 19627-2023")</f>
        <v/>
      </c>
      <c r="T368">
        <f>HYPERLINK("https://klasma.github.io/Logging_ESKILSTUNA/kartor/A 19627-2023.png", "A 19627-2023")</f>
        <v/>
      </c>
      <c r="V368">
        <f>HYPERLINK("https://klasma.github.io/Logging_ESKILSTUNA/klagomål/A 19627-2023.docx", "A 19627-2023")</f>
        <v/>
      </c>
      <c r="W368">
        <f>HYPERLINK("https://klasma.github.io/Logging_ESKILSTUNA/klagomålsmail/A 19627-2023.docx", "A 19627-2023")</f>
        <v/>
      </c>
      <c r="X368">
        <f>HYPERLINK("https://klasma.github.io/Logging_ESKILSTUNA/tillsyn/A 19627-2023.docx", "A 19627-2023")</f>
        <v/>
      </c>
      <c r="Y368">
        <f>HYPERLINK("https://klasma.github.io/Logging_ESKILSTUNA/tillsynsmail/A 19627-2023.docx", "A 19627-2023")</f>
        <v/>
      </c>
    </row>
    <row r="369" ht="15" customHeight="1">
      <c r="A369" t="inlineStr">
        <is>
          <t>A 20325-2023</t>
        </is>
      </c>
      <c r="B369" s="1" t="n">
        <v>45056</v>
      </c>
      <c r="C369" s="1" t="n">
        <v>45186</v>
      </c>
      <c r="D369" t="inlineStr">
        <is>
          <t>SÖDERMANLANDS LÄN</t>
        </is>
      </c>
      <c r="E369" t="inlineStr">
        <is>
          <t>NYKÖPING</t>
        </is>
      </c>
      <c r="G369" t="n">
        <v>0.2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Kamjordstjärna</t>
        </is>
      </c>
      <c r="S369">
        <f>HYPERLINK("https://klasma.github.io/Logging_NYKOPING/artfynd/A 20325-2023.xlsx", "A 20325-2023")</f>
        <v/>
      </c>
      <c r="T369">
        <f>HYPERLINK("https://klasma.github.io/Logging_NYKOPING/kartor/A 20325-2023.png", "A 20325-2023")</f>
        <v/>
      </c>
      <c r="V369">
        <f>HYPERLINK("https://klasma.github.io/Logging_NYKOPING/klagomål/A 20325-2023.docx", "A 20325-2023")</f>
        <v/>
      </c>
      <c r="W369">
        <f>HYPERLINK("https://klasma.github.io/Logging_NYKOPING/klagomålsmail/A 20325-2023.docx", "A 20325-2023")</f>
        <v/>
      </c>
      <c r="X369">
        <f>HYPERLINK("https://klasma.github.io/Logging_NYKOPING/tillsyn/A 20325-2023.docx", "A 20325-2023")</f>
        <v/>
      </c>
      <c r="Y369">
        <f>HYPERLINK("https://klasma.github.io/Logging_NYKOPING/tillsynsmail/A 20325-2023.docx", "A 20325-2023")</f>
        <v/>
      </c>
    </row>
    <row r="370" ht="15" customHeight="1">
      <c r="A370" t="inlineStr">
        <is>
          <t>A 21734-2023</t>
        </is>
      </c>
      <c r="B370" s="1" t="n">
        <v>45063</v>
      </c>
      <c r="C370" s="1" t="n">
        <v>45186</v>
      </c>
      <c r="D370" t="inlineStr">
        <is>
          <t>SÖDERMANLANDS LÄN</t>
        </is>
      </c>
      <c r="E370" t="inlineStr">
        <is>
          <t>ESKILSTUNA</t>
        </is>
      </c>
      <c r="G370" t="n">
        <v>10.5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Kryddspindling</t>
        </is>
      </c>
      <c r="S370">
        <f>HYPERLINK("https://klasma.github.io/Logging_ESKILSTUNA/artfynd/A 21734-2023.xlsx", "A 21734-2023")</f>
        <v/>
      </c>
      <c r="T370">
        <f>HYPERLINK("https://klasma.github.io/Logging_ESKILSTUNA/kartor/A 21734-2023.png", "A 21734-2023")</f>
        <v/>
      </c>
      <c r="V370">
        <f>HYPERLINK("https://klasma.github.io/Logging_ESKILSTUNA/klagomål/A 21734-2023.docx", "A 21734-2023")</f>
        <v/>
      </c>
      <c r="W370">
        <f>HYPERLINK("https://klasma.github.io/Logging_ESKILSTUNA/klagomålsmail/A 21734-2023.docx", "A 21734-2023")</f>
        <v/>
      </c>
      <c r="X370">
        <f>HYPERLINK("https://klasma.github.io/Logging_ESKILSTUNA/tillsyn/A 21734-2023.docx", "A 21734-2023")</f>
        <v/>
      </c>
      <c r="Y370">
        <f>HYPERLINK("https://klasma.github.io/Logging_ESKILSTUNA/tillsynsmail/A 21734-2023.docx", "A 21734-2023")</f>
        <v/>
      </c>
    </row>
    <row r="371" ht="15" customHeight="1">
      <c r="A371" t="inlineStr">
        <is>
          <t>A 23637-2023</t>
        </is>
      </c>
      <c r="B371" s="1" t="n">
        <v>45077</v>
      </c>
      <c r="C371" s="1" t="n">
        <v>45186</v>
      </c>
      <c r="D371" t="inlineStr">
        <is>
          <t>SÖDERMANLANDS LÄN</t>
        </is>
      </c>
      <c r="E371" t="inlineStr">
        <is>
          <t>ESKILSTUNA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1</v>
      </c>
      <c r="L371" t="n">
        <v>0</v>
      </c>
      <c r="M371" t="n">
        <v>0</v>
      </c>
      <c r="N371" t="n">
        <v>0</v>
      </c>
      <c r="O371" t="n">
        <v>1</v>
      </c>
      <c r="P371" t="n">
        <v>1</v>
      </c>
      <c r="Q371" t="n">
        <v>1</v>
      </c>
      <c r="R371" s="2" t="inlineStr">
        <is>
          <t>Violett fingersvamp</t>
        </is>
      </c>
      <c r="S371">
        <f>HYPERLINK("https://klasma.github.io/Logging_ESKILSTUNA/artfynd/A 23637-2023.xlsx", "A 23637-2023")</f>
        <v/>
      </c>
      <c r="T371">
        <f>HYPERLINK("https://klasma.github.io/Logging_ESKILSTUNA/kartor/A 23637-2023.png", "A 23637-2023")</f>
        <v/>
      </c>
      <c r="V371">
        <f>HYPERLINK("https://klasma.github.io/Logging_ESKILSTUNA/klagomål/A 23637-2023.docx", "A 23637-2023")</f>
        <v/>
      </c>
      <c r="W371">
        <f>HYPERLINK("https://klasma.github.io/Logging_ESKILSTUNA/klagomålsmail/A 23637-2023.docx", "A 23637-2023")</f>
        <v/>
      </c>
      <c r="X371">
        <f>HYPERLINK("https://klasma.github.io/Logging_ESKILSTUNA/tillsyn/A 23637-2023.docx", "A 23637-2023")</f>
        <v/>
      </c>
      <c r="Y371">
        <f>HYPERLINK("https://klasma.github.io/Logging_ESKILSTUNA/tillsynsmail/A 23637-2023.docx", "A 23637-2023")</f>
        <v/>
      </c>
    </row>
    <row r="372" ht="15" customHeight="1">
      <c r="A372" t="inlineStr">
        <is>
          <t>A 23568-2023</t>
        </is>
      </c>
      <c r="B372" s="1" t="n">
        <v>45077</v>
      </c>
      <c r="C372" s="1" t="n">
        <v>45186</v>
      </c>
      <c r="D372" t="inlineStr">
        <is>
          <t>SÖDERMANLANDS LÄN</t>
        </is>
      </c>
      <c r="E372" t="inlineStr">
        <is>
          <t>KATRINEHOLM</t>
        </is>
      </c>
      <c r="F372" t="inlineStr">
        <is>
          <t>Kommuner</t>
        </is>
      </c>
      <c r="G372" t="n">
        <v>1.4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Fyrflikig jordstjärna</t>
        </is>
      </c>
      <c r="S372">
        <f>HYPERLINK("https://klasma.github.io/Logging_KATRINEHOLM/artfynd/A 23568-2023.xlsx", "A 23568-2023")</f>
        <v/>
      </c>
      <c r="T372">
        <f>HYPERLINK("https://klasma.github.io/Logging_KATRINEHOLM/kartor/A 23568-2023.png", "A 23568-2023")</f>
        <v/>
      </c>
      <c r="V372">
        <f>HYPERLINK("https://klasma.github.io/Logging_KATRINEHOLM/klagomål/A 23568-2023.docx", "A 23568-2023")</f>
        <v/>
      </c>
      <c r="W372">
        <f>HYPERLINK("https://klasma.github.io/Logging_KATRINEHOLM/klagomålsmail/A 23568-2023.docx", "A 23568-2023")</f>
        <v/>
      </c>
      <c r="X372">
        <f>HYPERLINK("https://klasma.github.io/Logging_KATRINEHOLM/tillsyn/A 23568-2023.docx", "A 23568-2023")</f>
        <v/>
      </c>
      <c r="Y372">
        <f>HYPERLINK("https://klasma.github.io/Logging_KATRINEHOLM/tillsynsmail/A 23568-2023.docx", "A 23568-2023")</f>
        <v/>
      </c>
    </row>
    <row r="373" ht="15" customHeight="1">
      <c r="A373" t="inlineStr">
        <is>
          <t>A 25122-2023</t>
        </is>
      </c>
      <c r="B373" s="1" t="n">
        <v>45086</v>
      </c>
      <c r="C373" s="1" t="n">
        <v>45186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7.5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HYPERLINK("https://klasma.github.io/Logging_ESKILSTUNA/artfynd/A 25122-2023.xlsx", "A 25122-2023")</f>
        <v/>
      </c>
      <c r="T373">
        <f>HYPERLINK("https://klasma.github.io/Logging_ESKILSTUNA/kartor/A 25122-2023.png", "A 25122-2023")</f>
        <v/>
      </c>
      <c r="V373">
        <f>HYPERLINK("https://klasma.github.io/Logging_ESKILSTUNA/klagomål/A 25122-2023.docx", "A 25122-2023")</f>
        <v/>
      </c>
      <c r="W373">
        <f>HYPERLINK("https://klasma.github.io/Logging_ESKILSTUNA/klagomålsmail/A 25122-2023.docx", "A 25122-2023")</f>
        <v/>
      </c>
      <c r="X373">
        <f>HYPERLINK("https://klasma.github.io/Logging_ESKILSTUNA/tillsyn/A 25122-2023.docx", "A 25122-2023")</f>
        <v/>
      </c>
      <c r="Y373">
        <f>HYPERLINK("https://klasma.github.io/Logging_ESKILSTUNA/tillsynsmail/A 25122-2023.docx", "A 25122-2023")</f>
        <v/>
      </c>
    </row>
    <row r="374" ht="15" customHeight="1">
      <c r="A374" t="inlineStr">
        <is>
          <t>A 26114-2023</t>
        </is>
      </c>
      <c r="B374" s="1" t="n">
        <v>45091</v>
      </c>
      <c r="C374" s="1" t="n">
        <v>45186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3.7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Ängsskära</t>
        </is>
      </c>
      <c r="S374">
        <f>HYPERLINK("https://klasma.github.io/Logging_ESKILSTUNA/artfynd/A 26114-2023.xlsx", "A 26114-2023")</f>
        <v/>
      </c>
      <c r="T374">
        <f>HYPERLINK("https://klasma.github.io/Logging_ESKILSTUNA/kartor/A 26114-2023.png", "A 26114-2023")</f>
        <v/>
      </c>
      <c r="V374">
        <f>HYPERLINK("https://klasma.github.io/Logging_ESKILSTUNA/klagomål/A 26114-2023.docx", "A 26114-2023")</f>
        <v/>
      </c>
      <c r="W374">
        <f>HYPERLINK("https://klasma.github.io/Logging_ESKILSTUNA/klagomålsmail/A 26114-2023.docx", "A 26114-2023")</f>
        <v/>
      </c>
      <c r="X374">
        <f>HYPERLINK("https://klasma.github.io/Logging_ESKILSTUNA/tillsyn/A 26114-2023.docx", "A 26114-2023")</f>
        <v/>
      </c>
      <c r="Y374">
        <f>HYPERLINK("https://klasma.github.io/Logging_ESKILSTUNA/tillsynsmail/A 26114-2023.docx", "A 26114-2023")</f>
        <v/>
      </c>
    </row>
    <row r="375" ht="15" customHeight="1">
      <c r="A375" t="inlineStr">
        <is>
          <t>A 26133-2023</t>
        </is>
      </c>
      <c r="B375" s="1" t="n">
        <v>45091</v>
      </c>
      <c r="C375" s="1" t="n">
        <v>45186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26133-2023.xlsx", "A 26133-2023")</f>
        <v/>
      </c>
      <c r="T375">
        <f>HYPERLINK("https://klasma.github.io/Logging_ESKILSTUNA/kartor/A 26133-2023.png", "A 26133-2023")</f>
        <v/>
      </c>
      <c r="V375">
        <f>HYPERLINK("https://klasma.github.io/Logging_ESKILSTUNA/klagomål/A 26133-2023.docx", "A 26133-2023")</f>
        <v/>
      </c>
      <c r="W375">
        <f>HYPERLINK("https://klasma.github.io/Logging_ESKILSTUNA/klagomålsmail/A 26133-2023.docx", "A 26133-2023")</f>
        <v/>
      </c>
      <c r="X375">
        <f>HYPERLINK("https://klasma.github.io/Logging_ESKILSTUNA/tillsyn/A 26133-2023.docx", "A 26133-2023")</f>
        <v/>
      </c>
      <c r="Y375">
        <f>HYPERLINK("https://klasma.github.io/Logging_ESKILSTUNA/tillsynsmail/A 26133-2023.docx", "A 26133-2023")</f>
        <v/>
      </c>
    </row>
    <row r="376" ht="15" customHeight="1">
      <c r="A376" t="inlineStr">
        <is>
          <t>A 26950-2023</t>
        </is>
      </c>
      <c r="B376" s="1" t="n">
        <v>45091</v>
      </c>
      <c r="C376" s="1" t="n">
        <v>45186</v>
      </c>
      <c r="D376" t="inlineStr">
        <is>
          <t>SÖDERMANLANDS LÄN</t>
        </is>
      </c>
      <c r="E376" t="inlineStr">
        <is>
          <t>KATRINEHOLM</t>
        </is>
      </c>
      <c r="G376" t="n">
        <v>13.5</v>
      </c>
      <c r="H376" t="n">
        <v>1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Havsörn</t>
        </is>
      </c>
      <c r="S376">
        <f>HYPERLINK("https://klasma.github.io/Logging_KATRINEHOLM/artfynd/A 26950-2023.xlsx", "A 26950-2023")</f>
        <v/>
      </c>
      <c r="T376">
        <f>HYPERLINK("https://klasma.github.io/Logging_KATRINEHOLM/kartor/A 26950-2023.png", "A 26950-2023")</f>
        <v/>
      </c>
      <c r="V376">
        <f>HYPERLINK("https://klasma.github.io/Logging_KATRINEHOLM/klagomål/A 26950-2023.docx", "A 26950-2023")</f>
        <v/>
      </c>
      <c r="W376">
        <f>HYPERLINK("https://klasma.github.io/Logging_KATRINEHOLM/klagomålsmail/A 26950-2023.docx", "A 26950-2023")</f>
        <v/>
      </c>
      <c r="X376">
        <f>HYPERLINK("https://klasma.github.io/Logging_KATRINEHOLM/tillsyn/A 26950-2023.docx", "A 26950-2023")</f>
        <v/>
      </c>
      <c r="Y376">
        <f>HYPERLINK("https://klasma.github.io/Logging_KATRINEHOLM/tillsynsmail/A 26950-2023.docx", "A 26950-2023")</f>
        <v/>
      </c>
    </row>
    <row r="377" ht="15" customHeight="1">
      <c r="A377" t="inlineStr">
        <is>
          <t>A 27580-2023</t>
        </is>
      </c>
      <c r="B377" s="1" t="n">
        <v>45097</v>
      </c>
      <c r="C377" s="1" t="n">
        <v>45186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9.199999999999999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Motaggsvamp</t>
        </is>
      </c>
      <c r="S377">
        <f>HYPERLINK("https://klasma.github.io/Logging_ESKILSTUNA/artfynd/A 27580-2023.xlsx", "A 27580-2023")</f>
        <v/>
      </c>
      <c r="T377">
        <f>HYPERLINK("https://klasma.github.io/Logging_ESKILSTUNA/kartor/A 27580-2023.png", "A 27580-2023")</f>
        <v/>
      </c>
      <c r="V377">
        <f>HYPERLINK("https://klasma.github.io/Logging_ESKILSTUNA/klagomål/A 27580-2023.docx", "A 27580-2023")</f>
        <v/>
      </c>
      <c r="W377">
        <f>HYPERLINK("https://klasma.github.io/Logging_ESKILSTUNA/klagomålsmail/A 27580-2023.docx", "A 27580-2023")</f>
        <v/>
      </c>
      <c r="X377">
        <f>HYPERLINK("https://klasma.github.io/Logging_ESKILSTUNA/tillsyn/A 27580-2023.docx", "A 27580-2023")</f>
        <v/>
      </c>
      <c r="Y377">
        <f>HYPERLINK("https://klasma.github.io/Logging_ESKILSTUNA/tillsynsmail/A 27580-2023.docx", "A 27580-2023")</f>
        <v/>
      </c>
    </row>
    <row r="378" ht="15" customHeight="1">
      <c r="A378" t="inlineStr">
        <is>
          <t>A 30229-2023</t>
        </is>
      </c>
      <c r="B378" s="1" t="n">
        <v>45099</v>
      </c>
      <c r="C378" s="1" t="n">
        <v>45186</v>
      </c>
      <c r="D378" t="inlineStr">
        <is>
          <t>SÖDERMANLANDS LÄN</t>
        </is>
      </c>
      <c r="E378" t="inlineStr">
        <is>
          <t>KATRINEHOLM</t>
        </is>
      </c>
      <c r="G378" t="n">
        <v>11.8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Silversmygare</t>
        </is>
      </c>
      <c r="S378">
        <f>HYPERLINK("https://klasma.github.io/Logging_KATRINEHOLM/artfynd/A 30229-2023.xlsx", "A 30229-2023")</f>
        <v/>
      </c>
      <c r="T378">
        <f>HYPERLINK("https://klasma.github.io/Logging_KATRINEHOLM/kartor/A 30229-2023.png", "A 30229-2023")</f>
        <v/>
      </c>
      <c r="V378">
        <f>HYPERLINK("https://klasma.github.io/Logging_KATRINEHOLM/klagomål/A 30229-2023.docx", "A 30229-2023")</f>
        <v/>
      </c>
      <c r="W378">
        <f>HYPERLINK("https://klasma.github.io/Logging_KATRINEHOLM/klagomålsmail/A 30229-2023.docx", "A 30229-2023")</f>
        <v/>
      </c>
      <c r="X378">
        <f>HYPERLINK("https://klasma.github.io/Logging_KATRINEHOLM/tillsyn/A 30229-2023.docx", "A 30229-2023")</f>
        <v/>
      </c>
      <c r="Y378">
        <f>HYPERLINK("https://klasma.github.io/Logging_KATRINEHOLM/tillsynsmail/A 30229-2023.docx", "A 30229-2023")</f>
        <v/>
      </c>
    </row>
    <row r="379" ht="15" customHeight="1">
      <c r="A379" t="inlineStr">
        <is>
          <t>A 28542-2023</t>
        </is>
      </c>
      <c r="B379" s="1" t="n">
        <v>45103</v>
      </c>
      <c r="C379" s="1" t="n">
        <v>45186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Knärot</t>
        </is>
      </c>
      <c r="S379">
        <f>HYPERLINK("https://klasma.github.io/Logging_NYKOPING/artfynd/A 28542-2023.xlsx", "A 28542-2023")</f>
        <v/>
      </c>
      <c r="T379">
        <f>HYPERLINK("https://klasma.github.io/Logging_NYKOPING/kartor/A 28542-2023.png", "A 28542-2023")</f>
        <v/>
      </c>
      <c r="U379">
        <f>HYPERLINK("https://klasma.github.io/Logging_NYKOPING/knärot/A 28542-2023.png", "A 28542-2023")</f>
        <v/>
      </c>
      <c r="V379">
        <f>HYPERLINK("https://klasma.github.io/Logging_NYKOPING/klagomål/A 28542-2023.docx", "A 28542-2023")</f>
        <v/>
      </c>
      <c r="W379">
        <f>HYPERLINK("https://klasma.github.io/Logging_NYKOPING/klagomålsmail/A 28542-2023.docx", "A 28542-2023")</f>
        <v/>
      </c>
      <c r="X379">
        <f>HYPERLINK("https://klasma.github.io/Logging_NYKOPING/tillsyn/A 28542-2023.docx", "A 28542-2023")</f>
        <v/>
      </c>
      <c r="Y379">
        <f>HYPERLINK("https://klasma.github.io/Logging_NYKOPING/tillsynsmail/A 28542-2023.docx", "A 28542-2023")</f>
        <v/>
      </c>
    </row>
    <row r="380" ht="15" customHeight="1">
      <c r="A380" t="inlineStr">
        <is>
          <t>A 32279-2023</t>
        </is>
      </c>
      <c r="B380" s="1" t="n">
        <v>45109</v>
      </c>
      <c r="C380" s="1" t="n">
        <v>45186</v>
      </c>
      <c r="D380" t="inlineStr">
        <is>
          <t>SÖDERMANLANDS LÄN</t>
        </is>
      </c>
      <c r="E380" t="inlineStr">
        <is>
          <t>VINGÅKER</t>
        </is>
      </c>
      <c r="G380" t="n">
        <v>11.8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Barkticka</t>
        </is>
      </c>
      <c r="S380">
        <f>HYPERLINK("https://klasma.github.io/Logging_VINGAKER/artfynd/A 32279-2023.xlsx", "A 32279-2023")</f>
        <v/>
      </c>
      <c r="T380">
        <f>HYPERLINK("https://klasma.github.io/Logging_VINGAKER/kartor/A 32279-2023.png", "A 32279-2023")</f>
        <v/>
      </c>
      <c r="V380">
        <f>HYPERLINK("https://klasma.github.io/Logging_VINGAKER/klagomål/A 32279-2023.docx", "A 32279-2023")</f>
        <v/>
      </c>
      <c r="W380">
        <f>HYPERLINK("https://klasma.github.io/Logging_VINGAKER/klagomålsmail/A 32279-2023.docx", "A 32279-2023")</f>
        <v/>
      </c>
      <c r="X380">
        <f>HYPERLINK("https://klasma.github.io/Logging_VINGAKER/tillsyn/A 32279-2023.docx", "A 32279-2023")</f>
        <v/>
      </c>
      <c r="Y380">
        <f>HYPERLINK("https://klasma.github.io/Logging_VINGAKER/tillsynsmail/A 32279-2023.docx", "A 32279-2023")</f>
        <v/>
      </c>
    </row>
    <row r="381" ht="15" customHeight="1">
      <c r="A381" t="inlineStr">
        <is>
          <t>A 30045-2023</t>
        </is>
      </c>
      <c r="B381" s="1" t="n">
        <v>45110</v>
      </c>
      <c r="C381" s="1" t="n">
        <v>45186</v>
      </c>
      <c r="D381" t="inlineStr">
        <is>
          <t>SÖDERMANLANDS LÄN</t>
        </is>
      </c>
      <c r="E381" t="inlineStr">
        <is>
          <t>KATRINEHOLM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Tallticka</t>
        </is>
      </c>
      <c r="S381">
        <f>HYPERLINK("https://klasma.github.io/Logging_KATRINEHOLM/artfynd/A 30045-2023.xlsx", "A 30045-2023")</f>
        <v/>
      </c>
      <c r="T381">
        <f>HYPERLINK("https://klasma.github.io/Logging_KATRINEHOLM/kartor/A 30045-2023.png", "A 30045-2023")</f>
        <v/>
      </c>
      <c r="V381">
        <f>HYPERLINK("https://klasma.github.io/Logging_KATRINEHOLM/klagomål/A 30045-2023.docx", "A 30045-2023")</f>
        <v/>
      </c>
      <c r="W381">
        <f>HYPERLINK("https://klasma.github.io/Logging_KATRINEHOLM/klagomålsmail/A 30045-2023.docx", "A 30045-2023")</f>
        <v/>
      </c>
      <c r="X381">
        <f>HYPERLINK("https://klasma.github.io/Logging_KATRINEHOLM/tillsyn/A 30045-2023.docx", "A 30045-2023")</f>
        <v/>
      </c>
      <c r="Y381">
        <f>HYPERLINK("https://klasma.github.io/Logging_KATRINEHOLM/tillsynsmail/A 30045-2023.docx", "A 30045-2023")</f>
        <v/>
      </c>
    </row>
    <row r="382" ht="15" customHeight="1">
      <c r="A382" t="inlineStr">
        <is>
          <t>A 30124-2023</t>
        </is>
      </c>
      <c r="B382" s="1" t="n">
        <v>45110</v>
      </c>
      <c r="C382" s="1" t="n">
        <v>45186</v>
      </c>
      <c r="D382" t="inlineStr">
        <is>
          <t>SÖDERMANLANDS LÄN</t>
        </is>
      </c>
      <c r="E382" t="inlineStr">
        <is>
          <t>KATRINEHOLM</t>
        </is>
      </c>
      <c r="G382" t="n">
        <v>1.8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Bombmurkla</t>
        </is>
      </c>
      <c r="S382">
        <f>HYPERLINK("https://klasma.github.io/Logging_KATRINEHOLM/artfynd/A 30124-2023.xlsx", "A 30124-2023")</f>
        <v/>
      </c>
      <c r="T382">
        <f>HYPERLINK("https://klasma.github.io/Logging_KATRINEHOLM/kartor/A 30124-2023.png", "A 30124-2023")</f>
        <v/>
      </c>
      <c r="V382">
        <f>HYPERLINK("https://klasma.github.io/Logging_KATRINEHOLM/klagomål/A 30124-2023.docx", "A 30124-2023")</f>
        <v/>
      </c>
      <c r="W382">
        <f>HYPERLINK("https://klasma.github.io/Logging_KATRINEHOLM/klagomålsmail/A 30124-2023.docx", "A 30124-2023")</f>
        <v/>
      </c>
      <c r="X382">
        <f>HYPERLINK("https://klasma.github.io/Logging_KATRINEHOLM/tillsyn/A 30124-2023.docx", "A 30124-2023")</f>
        <v/>
      </c>
      <c r="Y382">
        <f>HYPERLINK("https://klasma.github.io/Logging_KATRINEHOLM/tillsynsmail/A 30124-2023.docx", "A 30124-2023")</f>
        <v/>
      </c>
    </row>
    <row r="383" ht="15" customHeight="1">
      <c r="A383" t="inlineStr">
        <is>
          <t>A 33639-2023</t>
        </is>
      </c>
      <c r="B383" s="1" t="n">
        <v>45119</v>
      </c>
      <c r="C383" s="1" t="n">
        <v>45186</v>
      </c>
      <c r="D383" t="inlineStr">
        <is>
          <t>SÖDERMANLANDS LÄN</t>
        </is>
      </c>
      <c r="E383" t="inlineStr">
        <is>
          <t>GNESTA</t>
        </is>
      </c>
      <c r="G383" t="n">
        <v>6.1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Springkorn</t>
        </is>
      </c>
      <c r="S383">
        <f>HYPERLINK("https://klasma.github.io/Logging_GNESTA/artfynd/A 33639-2023.xlsx", "A 33639-2023")</f>
        <v/>
      </c>
      <c r="T383">
        <f>HYPERLINK("https://klasma.github.io/Logging_GNESTA/kartor/A 33639-2023.png", "A 33639-2023")</f>
        <v/>
      </c>
      <c r="V383">
        <f>HYPERLINK("https://klasma.github.io/Logging_GNESTA/klagomål/A 33639-2023.docx", "A 33639-2023")</f>
        <v/>
      </c>
      <c r="W383">
        <f>HYPERLINK("https://klasma.github.io/Logging_GNESTA/klagomålsmail/A 33639-2023.docx", "A 33639-2023")</f>
        <v/>
      </c>
      <c r="X383">
        <f>HYPERLINK("https://klasma.github.io/Logging_GNESTA/tillsyn/A 33639-2023.docx", "A 33639-2023")</f>
        <v/>
      </c>
      <c r="Y383">
        <f>HYPERLINK("https://klasma.github.io/Logging_GNESTA/tillsynsmail/A 33639-2023.docx", "A 33639-2023")</f>
        <v/>
      </c>
    </row>
    <row r="384" ht="15" customHeight="1">
      <c r="A384" t="inlineStr">
        <is>
          <t>A 31987-2023</t>
        </is>
      </c>
      <c r="B384" s="1" t="n">
        <v>45119</v>
      </c>
      <c r="C384" s="1" t="n">
        <v>45186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Bredbrämad bastardsvärmare</t>
        </is>
      </c>
      <c r="S384">
        <f>HYPERLINK("https://klasma.github.io/Logging_ESKILSTUNA/artfynd/A 31987-2023.xlsx", "A 31987-2023")</f>
        <v/>
      </c>
      <c r="T384">
        <f>HYPERLINK("https://klasma.github.io/Logging_ESKILSTUNA/kartor/A 31987-2023.png", "A 31987-2023")</f>
        <v/>
      </c>
      <c r="V384">
        <f>HYPERLINK("https://klasma.github.io/Logging_ESKILSTUNA/klagomål/A 31987-2023.docx", "A 31987-2023")</f>
        <v/>
      </c>
      <c r="W384">
        <f>HYPERLINK("https://klasma.github.io/Logging_ESKILSTUNA/klagomålsmail/A 31987-2023.docx", "A 31987-2023")</f>
        <v/>
      </c>
      <c r="X384">
        <f>HYPERLINK("https://klasma.github.io/Logging_ESKILSTUNA/tillsyn/A 31987-2023.docx", "A 31987-2023")</f>
        <v/>
      </c>
      <c r="Y384">
        <f>HYPERLINK("https://klasma.github.io/Logging_ESKILSTUNA/tillsynsmail/A 31987-2023.docx", "A 31987-2023")</f>
        <v/>
      </c>
    </row>
    <row r="385" ht="15" customHeight="1">
      <c r="A385" t="inlineStr">
        <is>
          <t>A 33801-2023</t>
        </is>
      </c>
      <c r="B385" s="1" t="n">
        <v>45133</v>
      </c>
      <c r="C385" s="1" t="n">
        <v>45186</v>
      </c>
      <c r="D385" t="inlineStr">
        <is>
          <t>SÖDERMANLANDS LÄN</t>
        </is>
      </c>
      <c r="E385" t="inlineStr">
        <is>
          <t>KATRINEHOLM</t>
        </is>
      </c>
      <c r="G385" t="n">
        <v>2.1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Blåsippa</t>
        </is>
      </c>
      <c r="S385">
        <f>HYPERLINK("https://klasma.github.io/Logging_KATRINEHOLM/artfynd/A 33801-2023.xlsx", "A 33801-2023")</f>
        <v/>
      </c>
      <c r="T385">
        <f>HYPERLINK("https://klasma.github.io/Logging_KATRINEHOLM/kartor/A 33801-2023.png", "A 33801-2023")</f>
        <v/>
      </c>
      <c r="V385">
        <f>HYPERLINK("https://klasma.github.io/Logging_KATRINEHOLM/klagomål/A 33801-2023.docx", "A 33801-2023")</f>
        <v/>
      </c>
      <c r="W385">
        <f>HYPERLINK("https://klasma.github.io/Logging_KATRINEHOLM/klagomålsmail/A 33801-2023.docx", "A 33801-2023")</f>
        <v/>
      </c>
      <c r="X385">
        <f>HYPERLINK("https://klasma.github.io/Logging_KATRINEHOLM/tillsyn/A 33801-2023.docx", "A 33801-2023")</f>
        <v/>
      </c>
      <c r="Y385">
        <f>HYPERLINK("https://klasma.github.io/Logging_KATRINEHOLM/tillsynsmail/A 33801-2023.docx", "A 33801-2023")</f>
        <v/>
      </c>
    </row>
    <row r="386" ht="15" customHeight="1">
      <c r="A386" t="inlineStr">
        <is>
          <t>A 34717-2023</t>
        </is>
      </c>
      <c r="B386" s="1" t="n">
        <v>45141</v>
      </c>
      <c r="C386" s="1" t="n">
        <v>45186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Triplax rufipes</t>
        </is>
      </c>
      <c r="S386">
        <f>HYPERLINK("https://klasma.github.io/Logging_ESKILSTUNA/artfynd/A 34717-2023.xlsx", "A 34717-2023")</f>
        <v/>
      </c>
      <c r="T386">
        <f>HYPERLINK("https://klasma.github.io/Logging_ESKILSTUNA/kartor/A 34717-2023.png", "A 34717-2023")</f>
        <v/>
      </c>
      <c r="V386">
        <f>HYPERLINK("https://klasma.github.io/Logging_ESKILSTUNA/klagomål/A 34717-2023.docx", "A 34717-2023")</f>
        <v/>
      </c>
      <c r="W386">
        <f>HYPERLINK("https://klasma.github.io/Logging_ESKILSTUNA/klagomålsmail/A 34717-2023.docx", "A 34717-2023")</f>
        <v/>
      </c>
      <c r="X386">
        <f>HYPERLINK("https://klasma.github.io/Logging_ESKILSTUNA/tillsyn/A 34717-2023.docx", "A 34717-2023")</f>
        <v/>
      </c>
      <c r="Y386">
        <f>HYPERLINK("https://klasma.github.io/Logging_ESKILSTUNA/tillsynsmail/A 34717-2023.docx", "A 34717-2023")</f>
        <v/>
      </c>
    </row>
    <row r="387" ht="15" customHeight="1">
      <c r="A387" t="inlineStr">
        <is>
          <t>A 35122-2023</t>
        </is>
      </c>
      <c r="B387" s="1" t="n">
        <v>45145</v>
      </c>
      <c r="C387" s="1" t="n">
        <v>45186</v>
      </c>
      <c r="D387" t="inlineStr">
        <is>
          <t>SÖDERMANLANDS LÄN</t>
        </is>
      </c>
      <c r="E387" t="inlineStr">
        <is>
          <t>NYKÖPING</t>
        </is>
      </c>
      <c r="G387" t="n">
        <v>3.2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HYPERLINK("https://klasma.github.io/Logging_NYKOPING/artfynd/A 35122-2023.xlsx", "A 35122-2023")</f>
        <v/>
      </c>
      <c r="T387">
        <f>HYPERLINK("https://klasma.github.io/Logging_NYKOPING/kartor/A 35122-2023.png", "A 35122-2023")</f>
        <v/>
      </c>
      <c r="V387">
        <f>HYPERLINK("https://klasma.github.io/Logging_NYKOPING/klagomål/A 35122-2023.docx", "A 35122-2023")</f>
        <v/>
      </c>
      <c r="W387">
        <f>HYPERLINK("https://klasma.github.io/Logging_NYKOPING/klagomålsmail/A 35122-2023.docx", "A 35122-2023")</f>
        <v/>
      </c>
      <c r="X387">
        <f>HYPERLINK("https://klasma.github.io/Logging_NYKOPING/tillsyn/A 35122-2023.docx", "A 35122-2023")</f>
        <v/>
      </c>
      <c r="Y387">
        <f>HYPERLINK("https://klasma.github.io/Logging_NYKOPING/tillsynsmail/A 35122-2023.docx", "A 35122-2023")</f>
        <v/>
      </c>
    </row>
    <row r="388" ht="15" customHeight="1">
      <c r="A388" t="inlineStr">
        <is>
          <t>A 37317-2023</t>
        </is>
      </c>
      <c r="B388" s="1" t="n">
        <v>45156</v>
      </c>
      <c r="C388" s="1" t="n">
        <v>45186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5.1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Svavelriska</t>
        </is>
      </c>
      <c r="S388">
        <f>HYPERLINK("https://klasma.github.io/Logging_FLEN/artfynd/A 37317-2023.xlsx", "A 37317-2023")</f>
        <v/>
      </c>
      <c r="T388">
        <f>HYPERLINK("https://klasma.github.io/Logging_FLEN/kartor/A 37317-2023.png", "A 37317-2023")</f>
        <v/>
      </c>
      <c r="V388">
        <f>HYPERLINK("https://klasma.github.io/Logging_FLEN/klagomål/A 37317-2023.docx", "A 37317-2023")</f>
        <v/>
      </c>
      <c r="W388">
        <f>HYPERLINK("https://klasma.github.io/Logging_FLEN/klagomålsmail/A 37317-2023.docx", "A 37317-2023")</f>
        <v/>
      </c>
      <c r="X388">
        <f>HYPERLINK("https://klasma.github.io/Logging_FLEN/tillsyn/A 37317-2023.docx", "A 37317-2023")</f>
        <v/>
      </c>
      <c r="Y388">
        <f>HYPERLINK("https://klasma.github.io/Logging_FLEN/tillsynsmail/A 37317-2023.docx", "A 37317-2023")</f>
        <v/>
      </c>
    </row>
    <row r="389" ht="15" customHeight="1">
      <c r="A389" t="inlineStr">
        <is>
          <t>A 39019-2023</t>
        </is>
      </c>
      <c r="B389" s="1" t="n">
        <v>45163</v>
      </c>
      <c r="C389" s="1" t="n">
        <v>45186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Kommuner</t>
        </is>
      </c>
      <c r="G389" t="n">
        <v>12.3</v>
      </c>
      <c r="H389" t="n">
        <v>1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Mindre hackspett</t>
        </is>
      </c>
      <c r="S389">
        <f>HYPERLINK("https://klasma.github.io/Logging_NYKOPING/artfynd/A 39019-2023.xlsx", "A 39019-2023")</f>
        <v/>
      </c>
      <c r="T389">
        <f>HYPERLINK("https://klasma.github.io/Logging_NYKOPING/kartor/A 39019-2023.png", "A 39019-2023")</f>
        <v/>
      </c>
      <c r="V389">
        <f>HYPERLINK("https://klasma.github.io/Logging_NYKOPING/klagomål/A 39019-2023.docx", "A 39019-2023")</f>
        <v/>
      </c>
      <c r="W389">
        <f>HYPERLINK("https://klasma.github.io/Logging_NYKOPING/klagomålsmail/A 39019-2023.docx", "A 39019-2023")</f>
        <v/>
      </c>
      <c r="X389">
        <f>HYPERLINK("https://klasma.github.io/Logging_NYKOPING/tillsyn/A 39019-2023.docx", "A 39019-2023")</f>
        <v/>
      </c>
      <c r="Y389">
        <f>HYPERLINK("https://klasma.github.io/Logging_NYKOPING/tillsynsmail/A 39019-2023.docx", "A 39019-2023")</f>
        <v/>
      </c>
    </row>
    <row r="390" ht="15" customHeight="1">
      <c r="A390" t="inlineStr">
        <is>
          <t>A 39240-2023</t>
        </is>
      </c>
      <c r="B390" s="1" t="n">
        <v>45166</v>
      </c>
      <c r="C390" s="1" t="n">
        <v>45186</v>
      </c>
      <c r="D390" t="inlineStr">
        <is>
          <t>SÖDERMANLANDS LÄN</t>
        </is>
      </c>
      <c r="E390" t="inlineStr">
        <is>
          <t>FLEN</t>
        </is>
      </c>
      <c r="F390" t="inlineStr">
        <is>
          <t>Holmen skog AB</t>
        </is>
      </c>
      <c r="G390" t="n">
        <v>4.6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Blodticka</t>
        </is>
      </c>
      <c r="S390">
        <f>HYPERLINK("https://klasma.github.io/Logging_FLEN/artfynd/A 39240-2023.xlsx", "A 39240-2023")</f>
        <v/>
      </c>
      <c r="T390">
        <f>HYPERLINK("https://klasma.github.io/Logging_FLEN/kartor/A 39240-2023.png", "A 39240-2023")</f>
        <v/>
      </c>
      <c r="V390">
        <f>HYPERLINK("https://klasma.github.io/Logging_FLEN/klagomål/A 39240-2023.docx", "A 39240-2023")</f>
        <v/>
      </c>
      <c r="W390">
        <f>HYPERLINK("https://klasma.github.io/Logging_FLEN/klagomålsmail/A 39240-2023.docx", "A 39240-2023")</f>
        <v/>
      </c>
      <c r="X390">
        <f>HYPERLINK("https://klasma.github.io/Logging_FLEN/tillsyn/A 39240-2023.docx", "A 39240-2023")</f>
        <v/>
      </c>
      <c r="Y390">
        <f>HYPERLINK("https://klasma.github.io/Logging_FLEN/tillsynsmail/A 39240-2023.docx", "A 39240-2023")</f>
        <v/>
      </c>
    </row>
    <row r="391" ht="15" customHeight="1">
      <c r="A391" t="inlineStr">
        <is>
          <t>A 40267-2023</t>
        </is>
      </c>
      <c r="B391" s="1" t="n">
        <v>45169</v>
      </c>
      <c r="C391" s="1" t="n">
        <v>45186</v>
      </c>
      <c r="D391" t="inlineStr">
        <is>
          <t>SÖDERMANLANDS LÄN</t>
        </is>
      </c>
      <c r="E391" t="inlineStr">
        <is>
          <t>GNESTA</t>
        </is>
      </c>
      <c r="F391" t="inlineStr">
        <is>
          <t>Holmen skog AB</t>
        </is>
      </c>
      <c r="G391" t="n">
        <v>1.1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HYPERLINK("https://klasma.github.io/Logging_GNESTA/artfynd/A 40267-2023.xlsx", "A 40267-2023")</f>
        <v/>
      </c>
      <c r="T391">
        <f>HYPERLINK("https://klasma.github.io/Logging_GNESTA/kartor/A 40267-2023.png", "A 40267-2023")</f>
        <v/>
      </c>
      <c r="V391">
        <f>HYPERLINK("https://klasma.github.io/Logging_GNESTA/klagomål/A 40267-2023.docx", "A 40267-2023")</f>
        <v/>
      </c>
      <c r="W391">
        <f>HYPERLINK("https://klasma.github.io/Logging_GNESTA/klagomålsmail/A 40267-2023.docx", "A 40267-2023")</f>
        <v/>
      </c>
      <c r="X391">
        <f>HYPERLINK("https://klasma.github.io/Logging_GNESTA/tillsyn/A 40267-2023.docx", "A 40267-2023")</f>
        <v/>
      </c>
      <c r="Y391">
        <f>HYPERLINK("https://klasma.github.io/Logging_GNESTA/tillsynsmail/A 40267-2023.docx", "A 40267-2023")</f>
        <v/>
      </c>
    </row>
    <row r="392" ht="15" customHeight="1">
      <c r="A392" t="inlineStr">
        <is>
          <t>A 42552-2023</t>
        </is>
      </c>
      <c r="B392" s="1" t="n">
        <v>45181</v>
      </c>
      <c r="C392" s="1" t="n">
        <v>45186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3.6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42552-2023.xlsx", "A 42552-2023")</f>
        <v/>
      </c>
      <c r="T392">
        <f>HYPERLINK("https://klasma.github.io/Logging_GNESTA/kartor/A 42552-2023.png", "A 42552-2023")</f>
        <v/>
      </c>
      <c r="V392">
        <f>HYPERLINK("https://klasma.github.io/Logging_GNESTA/klagomål/A 42552-2023.docx", "A 42552-2023")</f>
        <v/>
      </c>
      <c r="W392">
        <f>HYPERLINK("https://klasma.github.io/Logging_GNESTA/klagomålsmail/A 42552-2023.docx", "A 42552-2023")</f>
        <v/>
      </c>
      <c r="X392">
        <f>HYPERLINK("https://klasma.github.io/Logging_GNESTA/tillsyn/A 42552-2023.docx", "A 42552-2023")</f>
        <v/>
      </c>
      <c r="Y392">
        <f>HYPERLINK("https://klasma.github.io/Logging_GNESTA/tillsynsmail/A 42552-2023.docx", "A 42552-2023")</f>
        <v/>
      </c>
    </row>
    <row r="393" ht="15" customHeight="1">
      <c r="A393" t="inlineStr">
        <is>
          <t>A 42793-2023</t>
        </is>
      </c>
      <c r="B393" s="1" t="n">
        <v>45181</v>
      </c>
      <c r="C393" s="1" t="n">
        <v>45186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Allmännings- och besparingsskogar</t>
        </is>
      </c>
      <c r="G393" t="n">
        <v>14.2</v>
      </c>
      <c r="H393" t="n">
        <v>0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Tallticka</t>
        </is>
      </c>
      <c r="S393">
        <f>HYPERLINK("https://klasma.github.io/Logging_ESKILSTUNA/artfynd/A 42793-2023.xlsx", "A 42793-2023")</f>
        <v/>
      </c>
      <c r="T393">
        <f>HYPERLINK("https://klasma.github.io/Logging_ESKILSTUNA/kartor/A 42793-2023.png", "A 42793-2023")</f>
        <v/>
      </c>
      <c r="V393">
        <f>HYPERLINK("https://klasma.github.io/Logging_ESKILSTUNA/klagomål/A 42793-2023.docx", "A 42793-2023")</f>
        <v/>
      </c>
      <c r="W393">
        <f>HYPERLINK("https://klasma.github.io/Logging_ESKILSTUNA/klagomålsmail/A 42793-2023.docx", "A 42793-2023")</f>
        <v/>
      </c>
      <c r="X393">
        <f>HYPERLINK("https://klasma.github.io/Logging_ESKILSTUNA/tillsyn/A 42793-2023.docx", "A 42793-2023")</f>
        <v/>
      </c>
      <c r="Y393">
        <f>HYPERLINK("https://klasma.github.io/Logging_ESKILSTUNA/tillsynsmail/A 42793-2023.docx", "A 42793-2023")</f>
        <v/>
      </c>
    </row>
    <row r="394" ht="15" customHeight="1">
      <c r="A394" t="inlineStr">
        <is>
          <t>A 35316-2018</t>
        </is>
      </c>
      <c r="B394" s="1" t="n">
        <v>43324</v>
      </c>
      <c r="C394" s="1" t="n">
        <v>45186</v>
      </c>
      <c r="D394" t="inlineStr">
        <is>
          <t>SÖDERMANLANDS LÄN</t>
        </is>
      </c>
      <c r="E394" t="inlineStr">
        <is>
          <t>FLEN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37594-2018</t>
        </is>
      </c>
      <c r="B395" s="1" t="n">
        <v>43334</v>
      </c>
      <c r="C395" s="1" t="n">
        <v>45186</v>
      </c>
      <c r="D395" t="inlineStr">
        <is>
          <t>SÖDERMANLANDS LÄN</t>
        </is>
      </c>
      <c r="E395" t="inlineStr">
        <is>
          <t>FLEN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37519-2018</t>
        </is>
      </c>
      <c r="B396" s="1" t="n">
        <v>43334</v>
      </c>
      <c r="C396" s="1" t="n">
        <v>45186</v>
      </c>
      <c r="D396" t="inlineStr">
        <is>
          <t>SÖDERMANLANDS LÄN</t>
        </is>
      </c>
      <c r="E396" t="inlineStr">
        <is>
          <t>KATRINEHOLM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38713-2018</t>
        </is>
      </c>
      <c r="B397" s="1" t="n">
        <v>43335</v>
      </c>
      <c r="C397" s="1" t="n">
        <v>45186</v>
      </c>
      <c r="D397" t="inlineStr">
        <is>
          <t>SÖDERMANLANDS LÄN</t>
        </is>
      </c>
      <c r="E397" t="inlineStr">
        <is>
          <t>VINGÅKER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38578-2018</t>
        </is>
      </c>
      <c r="B398" s="1" t="n">
        <v>43335</v>
      </c>
      <c r="C398" s="1" t="n">
        <v>45186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38704-2018</t>
        </is>
      </c>
      <c r="B399" s="1" t="n">
        <v>43335</v>
      </c>
      <c r="C399" s="1" t="n">
        <v>45186</v>
      </c>
      <c r="D399" t="inlineStr">
        <is>
          <t>SÖDERMANLANDS LÄN</t>
        </is>
      </c>
      <c r="E399" t="inlineStr">
        <is>
          <t>VINGÅKER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38711-2018</t>
        </is>
      </c>
      <c r="B400" s="1" t="n">
        <v>43335</v>
      </c>
      <c r="C400" s="1" t="n">
        <v>45186</v>
      </c>
      <c r="D400" t="inlineStr">
        <is>
          <t>SÖDERMANLANDS LÄN</t>
        </is>
      </c>
      <c r="E400" t="inlineStr">
        <is>
          <t>VINGÅKER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38068-2018</t>
        </is>
      </c>
      <c r="B401" s="1" t="n">
        <v>43336</v>
      </c>
      <c r="C401" s="1" t="n">
        <v>45186</v>
      </c>
      <c r="D401" t="inlineStr">
        <is>
          <t>SÖDERMANLANDS LÄN</t>
        </is>
      </c>
      <c r="E401" t="inlineStr">
        <is>
          <t>GNESTA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38718-2018</t>
        </is>
      </c>
      <c r="B402" s="1" t="n">
        <v>43336</v>
      </c>
      <c r="C402" s="1" t="n">
        <v>45186</v>
      </c>
      <c r="D402" t="inlineStr">
        <is>
          <t>SÖDERMANLANDS LÄN</t>
        </is>
      </c>
      <c r="E402" t="inlineStr">
        <is>
          <t>VINGÅKER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39355-2018</t>
        </is>
      </c>
      <c r="B403" s="1" t="n">
        <v>43339</v>
      </c>
      <c r="C403" s="1" t="n">
        <v>45186</v>
      </c>
      <c r="D403" t="inlineStr">
        <is>
          <t>SÖDERMANLANDS LÄN</t>
        </is>
      </c>
      <c r="E403" t="inlineStr">
        <is>
          <t>KATRINEHOLM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39550-2018</t>
        </is>
      </c>
      <c r="B404" s="1" t="n">
        <v>43340</v>
      </c>
      <c r="C404" s="1" t="n">
        <v>45186</v>
      </c>
      <c r="D404" t="inlineStr">
        <is>
          <t>SÖDERMANLANDS LÄN</t>
        </is>
      </c>
      <c r="E404" t="inlineStr">
        <is>
          <t>VINGÅKER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38799-2018</t>
        </is>
      </c>
      <c r="B405" s="1" t="n">
        <v>43340</v>
      </c>
      <c r="C405" s="1" t="n">
        <v>45186</v>
      </c>
      <c r="D405" t="inlineStr">
        <is>
          <t>SÖDERMANLANDS LÄN</t>
        </is>
      </c>
      <c r="E405" t="inlineStr">
        <is>
          <t>NYKÖPING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40625-2018</t>
        </is>
      </c>
      <c r="B406" s="1" t="n">
        <v>43343</v>
      </c>
      <c r="C406" s="1" t="n">
        <v>45186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40116-2018</t>
        </is>
      </c>
      <c r="B407" s="1" t="n">
        <v>43343</v>
      </c>
      <c r="C407" s="1" t="n">
        <v>45186</v>
      </c>
      <c r="D407" t="inlineStr">
        <is>
          <t>SÖDERMANLANDS LÄN</t>
        </is>
      </c>
      <c r="E407" t="inlineStr">
        <is>
          <t>STRÄNGNÄS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41385-2018</t>
        </is>
      </c>
      <c r="B408" s="1" t="n">
        <v>43347</v>
      </c>
      <c r="C408" s="1" t="n">
        <v>45186</v>
      </c>
      <c r="D408" t="inlineStr">
        <is>
          <t>SÖDERMANLANDS LÄN</t>
        </is>
      </c>
      <c r="E408" t="inlineStr">
        <is>
          <t>FLEN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40940-2018</t>
        </is>
      </c>
      <c r="B409" s="1" t="n">
        <v>43347</v>
      </c>
      <c r="C409" s="1" t="n">
        <v>45186</v>
      </c>
      <c r="D409" t="inlineStr">
        <is>
          <t>SÖDERMANLANDS LÄN</t>
        </is>
      </c>
      <c r="E409" t="inlineStr">
        <is>
          <t>STRÄNGNÄS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41479-2018</t>
        </is>
      </c>
      <c r="B410" s="1" t="n">
        <v>43347</v>
      </c>
      <c r="C410" s="1" t="n">
        <v>45186</v>
      </c>
      <c r="D410" t="inlineStr">
        <is>
          <t>SÖDERMANLANDS LÄN</t>
        </is>
      </c>
      <c r="E410" t="inlineStr">
        <is>
          <t>FLEN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41549-2018</t>
        </is>
      </c>
      <c r="B411" s="1" t="n">
        <v>43347</v>
      </c>
      <c r="C411" s="1" t="n">
        <v>45186</v>
      </c>
      <c r="D411" t="inlineStr">
        <is>
          <t>SÖDERMANLANDS LÄN</t>
        </is>
      </c>
      <c r="E411" t="inlineStr">
        <is>
          <t>FLEN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40788-2018</t>
        </is>
      </c>
      <c r="B412" s="1" t="n">
        <v>43347</v>
      </c>
      <c r="C412" s="1" t="n">
        <v>45186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41412-2018</t>
        </is>
      </c>
      <c r="B413" s="1" t="n">
        <v>43347</v>
      </c>
      <c r="C413" s="1" t="n">
        <v>45186</v>
      </c>
      <c r="D413" t="inlineStr">
        <is>
          <t>SÖDERMANLANDS LÄN</t>
        </is>
      </c>
      <c r="E413" t="inlineStr">
        <is>
          <t>FLEN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41400-2018</t>
        </is>
      </c>
      <c r="B414" s="1" t="n">
        <v>43347</v>
      </c>
      <c r="C414" s="1" t="n">
        <v>45186</v>
      </c>
      <c r="D414" t="inlineStr">
        <is>
          <t>SÖDERMANLANDS LÄN</t>
        </is>
      </c>
      <c r="E414" t="inlineStr">
        <is>
          <t>FLEN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41857-2018</t>
        </is>
      </c>
      <c r="B415" s="1" t="n">
        <v>43348</v>
      </c>
      <c r="C415" s="1" t="n">
        <v>45186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43212-2018</t>
        </is>
      </c>
      <c r="B416" s="1" t="n">
        <v>43353</v>
      </c>
      <c r="C416" s="1" t="n">
        <v>45186</v>
      </c>
      <c r="D416" t="inlineStr">
        <is>
          <t>SÖDERMANLANDS LÄN</t>
        </is>
      </c>
      <c r="E416" t="inlineStr">
        <is>
          <t>VINGÅKER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42470-2018</t>
        </is>
      </c>
      <c r="B417" s="1" t="n">
        <v>43353</v>
      </c>
      <c r="C417" s="1" t="n">
        <v>45186</v>
      </c>
      <c r="D417" t="inlineStr">
        <is>
          <t>SÖDERMANLANDS LÄN</t>
        </is>
      </c>
      <c r="E417" t="inlineStr">
        <is>
          <t>ESKILSTUNA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43476-2018</t>
        </is>
      </c>
      <c r="B418" s="1" t="n">
        <v>43353</v>
      </c>
      <c r="C418" s="1" t="n">
        <v>45186</v>
      </c>
      <c r="D418" t="inlineStr">
        <is>
          <t>SÖDERMANLANDS LÄN</t>
        </is>
      </c>
      <c r="E418" t="inlineStr">
        <is>
          <t>NYKÖPING</t>
        </is>
      </c>
      <c r="G418" t="n">
        <v>10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42985-2018</t>
        </is>
      </c>
      <c r="B419" s="1" t="n">
        <v>43355</v>
      </c>
      <c r="C419" s="1" t="n">
        <v>45186</v>
      </c>
      <c r="D419" t="inlineStr">
        <is>
          <t>SÖDERMANLANDS LÄN</t>
        </is>
      </c>
      <c r="E419" t="inlineStr">
        <is>
          <t>VINGÅKER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44489-2018</t>
        </is>
      </c>
      <c r="B420" s="1" t="n">
        <v>43356</v>
      </c>
      <c r="C420" s="1" t="n">
        <v>45186</v>
      </c>
      <c r="D420" t="inlineStr">
        <is>
          <t>SÖDERMANLANDS LÄN</t>
        </is>
      </c>
      <c r="E420" t="inlineStr">
        <is>
          <t>KATRINEHOLM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44474-2018</t>
        </is>
      </c>
      <c r="B421" s="1" t="n">
        <v>43356</v>
      </c>
      <c r="C421" s="1" t="n">
        <v>45186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44499-2018</t>
        </is>
      </c>
      <c r="B422" s="1" t="n">
        <v>43356</v>
      </c>
      <c r="C422" s="1" t="n">
        <v>45186</v>
      </c>
      <c r="D422" t="inlineStr">
        <is>
          <t>SÖDERMANLANDS LÄN</t>
        </is>
      </c>
      <c r="E422" t="inlineStr">
        <is>
          <t>KATRINEHOLM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44484-2018</t>
        </is>
      </c>
      <c r="B423" s="1" t="n">
        <v>43356</v>
      </c>
      <c r="C423" s="1" t="n">
        <v>45186</v>
      </c>
      <c r="D423" t="inlineStr">
        <is>
          <t>SÖDERMANLANDS LÄN</t>
        </is>
      </c>
      <c r="E423" t="inlineStr">
        <is>
          <t>KATRINEHOLM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44784-2018</t>
        </is>
      </c>
      <c r="B424" s="1" t="n">
        <v>43357</v>
      </c>
      <c r="C424" s="1" t="n">
        <v>45186</v>
      </c>
      <c r="D424" t="inlineStr">
        <is>
          <t>SÖDERMANLANDS LÄN</t>
        </is>
      </c>
      <c r="E424" t="inlineStr">
        <is>
          <t>FLEN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44794-2018</t>
        </is>
      </c>
      <c r="B425" s="1" t="n">
        <v>43357</v>
      </c>
      <c r="C425" s="1" t="n">
        <v>45186</v>
      </c>
      <c r="D425" t="inlineStr">
        <is>
          <t>SÖDERMANLANDS LÄN</t>
        </is>
      </c>
      <c r="E425" t="inlineStr">
        <is>
          <t>KATRINEHOLM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44911-2018</t>
        </is>
      </c>
      <c r="B426" s="1" t="n">
        <v>43360</v>
      </c>
      <c r="C426" s="1" t="n">
        <v>45186</v>
      </c>
      <c r="D426" t="inlineStr">
        <is>
          <t>SÖDERMANLANDS LÄN</t>
        </is>
      </c>
      <c r="E426" t="inlineStr">
        <is>
          <t>ESKILSTUNA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44900-2018</t>
        </is>
      </c>
      <c r="B427" s="1" t="n">
        <v>43360</v>
      </c>
      <c r="C427" s="1" t="n">
        <v>45186</v>
      </c>
      <c r="D427" t="inlineStr">
        <is>
          <t>SÖDERMANLANDS LÄN</t>
        </is>
      </c>
      <c r="E427" t="inlineStr">
        <is>
          <t>ESKILSTUNA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46046-2018</t>
        </is>
      </c>
      <c r="B428" s="1" t="n">
        <v>43365</v>
      </c>
      <c r="C428" s="1" t="n">
        <v>45186</v>
      </c>
      <c r="D428" t="inlineStr">
        <is>
          <t>SÖDERMANLANDS LÄN</t>
        </is>
      </c>
      <c r="E428" t="inlineStr">
        <is>
          <t>GNESTA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47304-2018</t>
        </is>
      </c>
      <c r="B429" s="1" t="n">
        <v>43368</v>
      </c>
      <c r="C429" s="1" t="n">
        <v>45186</v>
      </c>
      <c r="D429" t="inlineStr">
        <is>
          <t>SÖDERMANLANDS LÄN</t>
        </is>
      </c>
      <c r="E429" t="inlineStr">
        <is>
          <t>FLEN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47950-2018</t>
        </is>
      </c>
      <c r="B430" s="1" t="n">
        <v>43368</v>
      </c>
      <c r="C430" s="1" t="n">
        <v>45186</v>
      </c>
      <c r="D430" t="inlineStr">
        <is>
          <t>SÖDERMANLANDS LÄN</t>
        </is>
      </c>
      <c r="E430" t="inlineStr">
        <is>
          <t>NYKÖPING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47611-2018</t>
        </is>
      </c>
      <c r="B431" s="1" t="n">
        <v>43368</v>
      </c>
      <c r="C431" s="1" t="n">
        <v>45186</v>
      </c>
      <c r="D431" t="inlineStr">
        <is>
          <t>SÖDERMANLANDS LÄN</t>
        </is>
      </c>
      <c r="E431" t="inlineStr">
        <is>
          <t>FLEN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47997-2018</t>
        </is>
      </c>
      <c r="B432" s="1" t="n">
        <v>43369</v>
      </c>
      <c r="C432" s="1" t="n">
        <v>45186</v>
      </c>
      <c r="D432" t="inlineStr">
        <is>
          <t>SÖDERMANLANDS LÄN</t>
        </is>
      </c>
      <c r="E432" t="inlineStr">
        <is>
          <t>STRÄNGNÄS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48003-2018</t>
        </is>
      </c>
      <c r="B433" s="1" t="n">
        <v>43369</v>
      </c>
      <c r="C433" s="1" t="n">
        <v>45186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47756-2018</t>
        </is>
      </c>
      <c r="B434" s="1" t="n">
        <v>43370</v>
      </c>
      <c r="C434" s="1" t="n">
        <v>45186</v>
      </c>
      <c r="D434" t="inlineStr">
        <is>
          <t>SÖDERMANLANDS LÄN</t>
        </is>
      </c>
      <c r="E434" t="inlineStr">
        <is>
          <t>STRÄNGNÄS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48634-2018</t>
        </is>
      </c>
      <c r="B435" s="1" t="n">
        <v>43370</v>
      </c>
      <c r="C435" s="1" t="n">
        <v>45186</v>
      </c>
      <c r="D435" t="inlineStr">
        <is>
          <t>SÖDERMANLANDS LÄN</t>
        </is>
      </c>
      <c r="E435" t="inlineStr">
        <is>
          <t>FLEN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48232-2018</t>
        </is>
      </c>
      <c r="B436" s="1" t="n">
        <v>43371</v>
      </c>
      <c r="C436" s="1" t="n">
        <v>45186</v>
      </c>
      <c r="D436" t="inlineStr">
        <is>
          <t>SÖDERMANLANDS LÄN</t>
        </is>
      </c>
      <c r="E436" t="inlineStr">
        <is>
          <t>NYKÖPING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47989-2018</t>
        </is>
      </c>
      <c r="B437" s="1" t="n">
        <v>43371</v>
      </c>
      <c r="C437" s="1" t="n">
        <v>45186</v>
      </c>
      <c r="D437" t="inlineStr">
        <is>
          <t>SÖDERMANLANDS LÄN</t>
        </is>
      </c>
      <c r="E437" t="inlineStr">
        <is>
          <t>VINGÅKER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49041-2018</t>
        </is>
      </c>
      <c r="B438" s="1" t="n">
        <v>43371</v>
      </c>
      <c r="C438" s="1" t="n">
        <v>45186</v>
      </c>
      <c r="D438" t="inlineStr">
        <is>
          <t>SÖDERMANLANDS LÄN</t>
        </is>
      </c>
      <c r="E438" t="inlineStr">
        <is>
          <t>FLEN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51686-2018</t>
        </is>
      </c>
      <c r="B439" s="1" t="n">
        <v>43374</v>
      </c>
      <c r="C439" s="1" t="n">
        <v>45186</v>
      </c>
      <c r="D439" t="inlineStr">
        <is>
          <t>SÖDERMANLANDS LÄN</t>
        </is>
      </c>
      <c r="E439" t="inlineStr">
        <is>
          <t>KATRINEHOLM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49513-2018</t>
        </is>
      </c>
      <c r="B440" s="1" t="n">
        <v>43374</v>
      </c>
      <c r="C440" s="1" t="n">
        <v>45186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49172-2018</t>
        </is>
      </c>
      <c r="B441" s="1" t="n">
        <v>43375</v>
      </c>
      <c r="C441" s="1" t="n">
        <v>45186</v>
      </c>
      <c r="D441" t="inlineStr">
        <is>
          <t>SÖDERMANLANDS LÄN</t>
        </is>
      </c>
      <c r="E441" t="inlineStr">
        <is>
          <t>NYKÖPING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49850-2018</t>
        </is>
      </c>
      <c r="B442" s="1" t="n">
        <v>43375</v>
      </c>
      <c r="C442" s="1" t="n">
        <v>45186</v>
      </c>
      <c r="D442" t="inlineStr">
        <is>
          <t>SÖDERMANLANDS LÄN</t>
        </is>
      </c>
      <c r="E442" t="inlineStr">
        <is>
          <t>KATRINEHOLM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51231-2018</t>
        </is>
      </c>
      <c r="B443" s="1" t="n">
        <v>43382</v>
      </c>
      <c r="C443" s="1" t="n">
        <v>45186</v>
      </c>
      <c r="D443" t="inlineStr">
        <is>
          <t>SÖDERMANLANDS LÄN</t>
        </is>
      </c>
      <c r="E443" t="inlineStr">
        <is>
          <t>KATRINEHOLM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52370-2018</t>
        </is>
      </c>
      <c r="B444" s="1" t="n">
        <v>43383</v>
      </c>
      <c r="C444" s="1" t="n">
        <v>45186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Allmännings- och besparingsskogar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52444-2018</t>
        </is>
      </c>
      <c r="B445" s="1" t="n">
        <v>43383</v>
      </c>
      <c r="C445" s="1" t="n">
        <v>45186</v>
      </c>
      <c r="D445" t="inlineStr">
        <is>
          <t>SÖDERMANLANDS LÄN</t>
        </is>
      </c>
      <c r="E445" t="inlineStr">
        <is>
          <t>KATRINEHOLM</t>
        </is>
      </c>
      <c r="F445" t="inlineStr">
        <is>
          <t>Allmännings- och besparingsskogar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61741-2018</t>
        </is>
      </c>
      <c r="B446" s="1" t="n">
        <v>43383</v>
      </c>
      <c r="C446" s="1" t="n">
        <v>45186</v>
      </c>
      <c r="D446" t="inlineStr">
        <is>
          <t>SÖDERMANLANDS LÄN</t>
        </is>
      </c>
      <c r="E446" t="inlineStr">
        <is>
          <t>KATRINEHOLM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52356-2018</t>
        </is>
      </c>
      <c r="B447" s="1" t="n">
        <v>43383</v>
      </c>
      <c r="C447" s="1" t="n">
        <v>45186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52941-2018</t>
        </is>
      </c>
      <c r="B448" s="1" t="n">
        <v>43384</v>
      </c>
      <c r="C448" s="1" t="n">
        <v>45186</v>
      </c>
      <c r="D448" t="inlineStr">
        <is>
          <t>SÖDERMANLANDS LÄN</t>
        </is>
      </c>
      <c r="E448" t="inlineStr">
        <is>
          <t>KATRINEHOLM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52082-2018</t>
        </is>
      </c>
      <c r="B449" s="1" t="n">
        <v>43385</v>
      </c>
      <c r="C449" s="1" t="n">
        <v>45186</v>
      </c>
      <c r="D449" t="inlineStr">
        <is>
          <t>SÖDERMANLANDS LÄN</t>
        </is>
      </c>
      <c r="E449" t="inlineStr">
        <is>
          <t>GNESTA</t>
        </is>
      </c>
      <c r="F449" t="inlineStr">
        <is>
          <t>Holmen skog AB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52098-2018</t>
        </is>
      </c>
      <c r="B450" s="1" t="n">
        <v>43385</v>
      </c>
      <c r="C450" s="1" t="n">
        <v>45186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53488-2018</t>
        </is>
      </c>
      <c r="B451" s="1" t="n">
        <v>43385</v>
      </c>
      <c r="C451" s="1" t="n">
        <v>45186</v>
      </c>
      <c r="D451" t="inlineStr">
        <is>
          <t>SÖDERMANLANDS LÄN</t>
        </is>
      </c>
      <c r="E451" t="inlineStr">
        <is>
          <t>VINGÅKER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53493-2018</t>
        </is>
      </c>
      <c r="B452" s="1" t="n">
        <v>43385</v>
      </c>
      <c r="C452" s="1" t="n">
        <v>45186</v>
      </c>
      <c r="D452" t="inlineStr">
        <is>
          <t>SÖDERMANLANDS LÄN</t>
        </is>
      </c>
      <c r="E452" t="inlineStr">
        <is>
          <t>VINGÅKER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52300-2018</t>
        </is>
      </c>
      <c r="B453" s="1" t="n">
        <v>43388</v>
      </c>
      <c r="C453" s="1" t="n">
        <v>45186</v>
      </c>
      <c r="D453" t="inlineStr">
        <is>
          <t>SÖDERMANLANDS LÄN</t>
        </is>
      </c>
      <c r="E453" t="inlineStr">
        <is>
          <t>FLEN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53568-2018</t>
        </is>
      </c>
      <c r="B454" s="1" t="n">
        <v>43388</v>
      </c>
      <c r="C454" s="1" t="n">
        <v>45186</v>
      </c>
      <c r="D454" t="inlineStr">
        <is>
          <t>SÖDERMANLANDS LÄN</t>
        </is>
      </c>
      <c r="E454" t="inlineStr">
        <is>
          <t>FLEN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52349-2018</t>
        </is>
      </c>
      <c r="B455" s="1" t="n">
        <v>43388</v>
      </c>
      <c r="C455" s="1" t="n">
        <v>45186</v>
      </c>
      <c r="D455" t="inlineStr">
        <is>
          <t>SÖDERMANLANDS LÄN</t>
        </is>
      </c>
      <c r="E455" t="inlineStr">
        <is>
          <t>ESKILSTUNA</t>
        </is>
      </c>
      <c r="G455" t="n">
        <v>7.8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53614-2018</t>
        </is>
      </c>
      <c r="B456" s="1" t="n">
        <v>43388</v>
      </c>
      <c r="C456" s="1" t="n">
        <v>45186</v>
      </c>
      <c r="D456" t="inlineStr">
        <is>
          <t>SÖDERMANLANDS LÄN</t>
        </is>
      </c>
      <c r="E456" t="inlineStr">
        <is>
          <t>VINGÅKER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55812-2018</t>
        </is>
      </c>
      <c r="B457" s="1" t="n">
        <v>43392</v>
      </c>
      <c r="C457" s="1" t="n">
        <v>45186</v>
      </c>
      <c r="D457" t="inlineStr">
        <is>
          <t>SÖDERMANLANDS LÄN</t>
        </is>
      </c>
      <c r="E457" t="inlineStr">
        <is>
          <t>ESKILSTUNA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56602-2018</t>
        </is>
      </c>
      <c r="B458" s="1" t="n">
        <v>43395</v>
      </c>
      <c r="C458" s="1" t="n">
        <v>45186</v>
      </c>
      <c r="D458" t="inlineStr">
        <is>
          <t>SÖDERMANLANDS LÄN</t>
        </is>
      </c>
      <c r="E458" t="inlineStr">
        <is>
          <t>FLEN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54727-2018</t>
        </is>
      </c>
      <c r="B459" s="1" t="n">
        <v>43395</v>
      </c>
      <c r="C459" s="1" t="n">
        <v>45186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54814-2018</t>
        </is>
      </c>
      <c r="B460" s="1" t="n">
        <v>43395</v>
      </c>
      <c r="C460" s="1" t="n">
        <v>45186</v>
      </c>
      <c r="D460" t="inlineStr">
        <is>
          <t>SÖDERMANLANDS LÄN</t>
        </is>
      </c>
      <c r="E460" t="inlineStr">
        <is>
          <t>NYKÖPING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54815-2018</t>
        </is>
      </c>
      <c r="B461" s="1" t="n">
        <v>43395</v>
      </c>
      <c r="C461" s="1" t="n">
        <v>45186</v>
      </c>
      <c r="D461" t="inlineStr">
        <is>
          <t>SÖDERMANLANDS LÄN</t>
        </is>
      </c>
      <c r="E461" t="inlineStr">
        <is>
          <t>NYKÖPING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56581-2018</t>
        </is>
      </c>
      <c r="B462" s="1" t="n">
        <v>43395</v>
      </c>
      <c r="C462" s="1" t="n">
        <v>45186</v>
      </c>
      <c r="D462" t="inlineStr">
        <is>
          <t>SÖDERMANLANDS LÄN</t>
        </is>
      </c>
      <c r="E462" t="inlineStr">
        <is>
          <t>TROSA</t>
        </is>
      </c>
      <c r="F462" t="inlineStr">
        <is>
          <t>Övriga Aktiebolag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54955-2018</t>
        </is>
      </c>
      <c r="B463" s="1" t="n">
        <v>43396</v>
      </c>
      <c r="C463" s="1" t="n">
        <v>45186</v>
      </c>
      <c r="D463" t="inlineStr">
        <is>
          <t>SÖDERMANLANDS LÄN</t>
        </is>
      </c>
      <c r="E463" t="inlineStr">
        <is>
          <t>ESKILSTUNA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57853-2018</t>
        </is>
      </c>
      <c r="B464" s="1" t="n">
        <v>43397</v>
      </c>
      <c r="C464" s="1" t="n">
        <v>45186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Kyrkan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57760-2018</t>
        </is>
      </c>
      <c r="B465" s="1" t="n">
        <v>43397</v>
      </c>
      <c r="C465" s="1" t="n">
        <v>45186</v>
      </c>
      <c r="D465" t="inlineStr">
        <is>
          <t>SÖDERMANLANDS LÄN</t>
        </is>
      </c>
      <c r="E465" t="inlineStr">
        <is>
          <t>FLEN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59016-2018</t>
        </is>
      </c>
      <c r="B466" s="1" t="n">
        <v>43402</v>
      </c>
      <c r="C466" s="1" t="n">
        <v>45186</v>
      </c>
      <c r="D466" t="inlineStr">
        <is>
          <t>SÖDERMANLANDS LÄN</t>
        </is>
      </c>
      <c r="E466" t="inlineStr">
        <is>
          <t>ESKILSTUNA</t>
        </is>
      </c>
      <c r="G466" t="n">
        <v>14.2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58984-2018</t>
        </is>
      </c>
      <c r="B467" s="1" t="n">
        <v>43402</v>
      </c>
      <c r="C467" s="1" t="n">
        <v>45186</v>
      </c>
      <c r="D467" t="inlineStr">
        <is>
          <t>SÖDERMANLANDS LÄN</t>
        </is>
      </c>
      <c r="E467" t="inlineStr">
        <is>
          <t>VINGÅKER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59204-2018</t>
        </is>
      </c>
      <c r="B468" s="1" t="n">
        <v>43403</v>
      </c>
      <c r="C468" s="1" t="n">
        <v>45186</v>
      </c>
      <c r="D468" t="inlineStr">
        <is>
          <t>SÖDERMANLANDS LÄN</t>
        </is>
      </c>
      <c r="E468" t="inlineStr">
        <is>
          <t>KATRINEHOLM</t>
        </is>
      </c>
      <c r="F468" t="inlineStr">
        <is>
          <t>Övriga Aktiebolag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59190-2018</t>
        </is>
      </c>
      <c r="B469" s="1" t="n">
        <v>43403</v>
      </c>
      <c r="C469" s="1" t="n">
        <v>45186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Kyrkan</t>
        </is>
      </c>
      <c r="G469" t="n">
        <v>18.8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59167-2018</t>
        </is>
      </c>
      <c r="B470" s="1" t="n">
        <v>43403</v>
      </c>
      <c r="C470" s="1" t="n">
        <v>45186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57452-2018</t>
        </is>
      </c>
      <c r="B471" s="1" t="n">
        <v>43404</v>
      </c>
      <c r="C471" s="1" t="n">
        <v>45186</v>
      </c>
      <c r="D471" t="inlineStr">
        <is>
          <t>SÖDERMANLANDS LÄN</t>
        </is>
      </c>
      <c r="E471" t="inlineStr">
        <is>
          <t>FLEN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59282-2018</t>
        </is>
      </c>
      <c r="B472" s="1" t="n">
        <v>43404</v>
      </c>
      <c r="C472" s="1" t="n">
        <v>45186</v>
      </c>
      <c r="D472" t="inlineStr">
        <is>
          <t>SÖDERMANLANDS LÄN</t>
        </is>
      </c>
      <c r="E472" t="inlineStr">
        <is>
          <t>VINGÅKER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59286-2018</t>
        </is>
      </c>
      <c r="B473" s="1" t="n">
        <v>43404</v>
      </c>
      <c r="C473" s="1" t="n">
        <v>45186</v>
      </c>
      <c r="D473" t="inlineStr">
        <is>
          <t>SÖDERMANLANDS LÄN</t>
        </is>
      </c>
      <c r="E473" t="inlineStr">
        <is>
          <t>VINGÅKER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60402-2018</t>
        </is>
      </c>
      <c r="B474" s="1" t="n">
        <v>43405</v>
      </c>
      <c r="C474" s="1" t="n">
        <v>45186</v>
      </c>
      <c r="D474" t="inlineStr">
        <is>
          <t>SÖDERMANLANDS LÄN</t>
        </is>
      </c>
      <c r="E474" t="inlineStr">
        <is>
          <t>GNESTA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58062-2018</t>
        </is>
      </c>
      <c r="B475" s="1" t="n">
        <v>43406</v>
      </c>
      <c r="C475" s="1" t="n">
        <v>45186</v>
      </c>
      <c r="D475" t="inlineStr">
        <is>
          <t>SÖDERMANLANDS LÄN</t>
        </is>
      </c>
      <c r="E475" t="inlineStr">
        <is>
          <t>ESKILSTUNA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58067-2018</t>
        </is>
      </c>
      <c r="B476" s="1" t="n">
        <v>43406</v>
      </c>
      <c r="C476" s="1" t="n">
        <v>45186</v>
      </c>
      <c r="D476" t="inlineStr">
        <is>
          <t>SÖDERMANLANDS LÄN</t>
        </is>
      </c>
      <c r="E476" t="inlineStr">
        <is>
          <t>ESKILSTUNA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60312-2018</t>
        </is>
      </c>
      <c r="B477" s="1" t="n">
        <v>43406</v>
      </c>
      <c r="C477" s="1" t="n">
        <v>45186</v>
      </c>
      <c r="D477" t="inlineStr">
        <is>
          <t>SÖDERMANLANDS LÄN</t>
        </is>
      </c>
      <c r="E477" t="inlineStr">
        <is>
          <t>GNESTA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58348-2018</t>
        </is>
      </c>
      <c r="B478" s="1" t="n">
        <v>43409</v>
      </c>
      <c r="C478" s="1" t="n">
        <v>45186</v>
      </c>
      <c r="D478" t="inlineStr">
        <is>
          <t>SÖDERMANLANDS LÄN</t>
        </is>
      </c>
      <c r="E478" t="inlineStr">
        <is>
          <t>VINGÅKER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58694-2018</t>
        </is>
      </c>
      <c r="B479" s="1" t="n">
        <v>43410</v>
      </c>
      <c r="C479" s="1" t="n">
        <v>45186</v>
      </c>
      <c r="D479" t="inlineStr">
        <is>
          <t>SÖDERMANLANDS LÄN</t>
        </is>
      </c>
      <c r="E479" t="inlineStr">
        <is>
          <t>TROSA</t>
        </is>
      </c>
      <c r="G479" t="n">
        <v>7.4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60777-2018</t>
        </is>
      </c>
      <c r="B480" s="1" t="n">
        <v>43410</v>
      </c>
      <c r="C480" s="1" t="n">
        <v>45186</v>
      </c>
      <c r="D480" t="inlineStr">
        <is>
          <t>SÖDERMANLANDS LÄN</t>
        </is>
      </c>
      <c r="E480" t="inlineStr">
        <is>
          <t>KATRINEHOLM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58905-2018</t>
        </is>
      </c>
      <c r="B481" s="1" t="n">
        <v>43410</v>
      </c>
      <c r="C481" s="1" t="n">
        <v>45186</v>
      </c>
      <c r="D481" t="inlineStr">
        <is>
          <t>SÖDERMANLANDS LÄN</t>
        </is>
      </c>
      <c r="E481" t="inlineStr">
        <is>
          <t>KATRINEHOLM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58752-2018</t>
        </is>
      </c>
      <c r="B482" s="1" t="n">
        <v>43410</v>
      </c>
      <c r="C482" s="1" t="n">
        <v>45186</v>
      </c>
      <c r="D482" t="inlineStr">
        <is>
          <t>SÖDERMANLANDS LÄN</t>
        </is>
      </c>
      <c r="E482" t="inlineStr">
        <is>
          <t>FLEN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64010-2018</t>
        </is>
      </c>
      <c r="B483" s="1" t="n">
        <v>43410</v>
      </c>
      <c r="C483" s="1" t="n">
        <v>45186</v>
      </c>
      <c r="D483" t="inlineStr">
        <is>
          <t>SÖDERMANLANDS LÄN</t>
        </is>
      </c>
      <c r="E483" t="inlineStr">
        <is>
          <t>TROSA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60069-2018</t>
        </is>
      </c>
      <c r="B484" s="1" t="n">
        <v>43412</v>
      </c>
      <c r="C484" s="1" t="n">
        <v>45186</v>
      </c>
      <c r="D484" t="inlineStr">
        <is>
          <t>SÖDERMANLANDS LÄN</t>
        </is>
      </c>
      <c r="E484" t="inlineStr">
        <is>
          <t>FLEN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65533-2018</t>
        </is>
      </c>
      <c r="B485" s="1" t="n">
        <v>43413</v>
      </c>
      <c r="C485" s="1" t="n">
        <v>45186</v>
      </c>
      <c r="D485" t="inlineStr">
        <is>
          <t>SÖDERMANLANDS LÄN</t>
        </is>
      </c>
      <c r="E485" t="inlineStr">
        <is>
          <t>ESKILSTUNA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61414-2018</t>
        </is>
      </c>
      <c r="B486" s="1" t="n">
        <v>43413</v>
      </c>
      <c r="C486" s="1" t="n">
        <v>45186</v>
      </c>
      <c r="D486" t="inlineStr">
        <is>
          <t>SÖDERMANLANDS LÄN</t>
        </is>
      </c>
      <c r="E486" t="inlineStr">
        <is>
          <t>ESKILSTUNA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62289-2018</t>
        </is>
      </c>
      <c r="B487" s="1" t="n">
        <v>43416</v>
      </c>
      <c r="C487" s="1" t="n">
        <v>45186</v>
      </c>
      <c r="D487" t="inlineStr">
        <is>
          <t>SÖDERMANLANDS LÄN</t>
        </is>
      </c>
      <c r="E487" t="inlineStr">
        <is>
          <t>VINGÅKER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62955-2018</t>
        </is>
      </c>
      <c r="B488" s="1" t="n">
        <v>43417</v>
      </c>
      <c r="C488" s="1" t="n">
        <v>45186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62958-2018</t>
        </is>
      </c>
      <c r="B489" s="1" t="n">
        <v>43417</v>
      </c>
      <c r="C489" s="1" t="n">
        <v>45186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59269-2018</t>
        </is>
      </c>
      <c r="B490" s="1" t="n">
        <v>43418</v>
      </c>
      <c r="C490" s="1" t="n">
        <v>45186</v>
      </c>
      <c r="D490" t="inlineStr">
        <is>
          <t>SÖDERMANLANDS LÄN</t>
        </is>
      </c>
      <c r="E490" t="inlineStr">
        <is>
          <t>VINGÅKER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63056-2018</t>
        </is>
      </c>
      <c r="B491" s="1" t="n">
        <v>43418</v>
      </c>
      <c r="C491" s="1" t="n">
        <v>45186</v>
      </c>
      <c r="D491" t="inlineStr">
        <is>
          <t>SÖDERMANLANDS LÄN</t>
        </is>
      </c>
      <c r="E491" t="inlineStr">
        <is>
          <t>NYKÖPING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63105-2018</t>
        </is>
      </c>
      <c r="B492" s="1" t="n">
        <v>43418</v>
      </c>
      <c r="C492" s="1" t="n">
        <v>45186</v>
      </c>
      <c r="D492" t="inlineStr">
        <is>
          <t>SÖDERMANLANDS LÄN</t>
        </is>
      </c>
      <c r="E492" t="inlineStr">
        <is>
          <t>ESKILSTUNA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63916-2018</t>
        </is>
      </c>
      <c r="B493" s="1" t="n">
        <v>43418</v>
      </c>
      <c r="C493" s="1" t="n">
        <v>45186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Allmännings- och besparingsskogar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59570-2018</t>
        </is>
      </c>
      <c r="B494" s="1" t="n">
        <v>43419</v>
      </c>
      <c r="C494" s="1" t="n">
        <v>45186</v>
      </c>
      <c r="D494" t="inlineStr">
        <is>
          <t>SÖDERMANLANDS LÄN</t>
        </is>
      </c>
      <c r="E494" t="inlineStr">
        <is>
          <t>NYKÖPING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59561-2018</t>
        </is>
      </c>
      <c r="B495" s="1" t="n">
        <v>43419</v>
      </c>
      <c r="C495" s="1" t="n">
        <v>45186</v>
      </c>
      <c r="D495" t="inlineStr">
        <is>
          <t>SÖDERMANLANDS LÄN</t>
        </is>
      </c>
      <c r="E495" t="inlineStr">
        <is>
          <t>NYKÖPING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59657-2018</t>
        </is>
      </c>
      <c r="B496" s="1" t="n">
        <v>43419</v>
      </c>
      <c r="C496" s="1" t="n">
        <v>45186</v>
      </c>
      <c r="D496" t="inlineStr">
        <is>
          <t>SÖDERMANLANDS LÄN</t>
        </is>
      </c>
      <c r="E496" t="inlineStr">
        <is>
          <t>KATRINEHOLM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60489-2018</t>
        </is>
      </c>
      <c r="B497" s="1" t="n">
        <v>43420</v>
      </c>
      <c r="C497" s="1" t="n">
        <v>45186</v>
      </c>
      <c r="D497" t="inlineStr">
        <is>
          <t>SÖDERMANLANDS LÄN</t>
        </is>
      </c>
      <c r="E497" t="inlineStr">
        <is>
          <t>STRÄNGNÄS</t>
        </is>
      </c>
      <c r="F497" t="inlineStr">
        <is>
          <t>Allmännings- och besparingsskogar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64589-2018</t>
        </is>
      </c>
      <c r="B498" s="1" t="n">
        <v>43420</v>
      </c>
      <c r="C498" s="1" t="n">
        <v>45186</v>
      </c>
      <c r="D498" t="inlineStr">
        <is>
          <t>SÖDERMANLANDS LÄN</t>
        </is>
      </c>
      <c r="E498" t="inlineStr">
        <is>
          <t>VINGÅKER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60504-2018</t>
        </is>
      </c>
      <c r="B499" s="1" t="n">
        <v>43420</v>
      </c>
      <c r="C499" s="1" t="n">
        <v>45186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Kyrkan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60513-2018</t>
        </is>
      </c>
      <c r="B500" s="1" t="n">
        <v>43420</v>
      </c>
      <c r="C500" s="1" t="n">
        <v>45186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64571-2018</t>
        </is>
      </c>
      <c r="B501" s="1" t="n">
        <v>43420</v>
      </c>
      <c r="C501" s="1" t="n">
        <v>45186</v>
      </c>
      <c r="D501" t="inlineStr">
        <is>
          <t>SÖDERMANLANDS LÄN</t>
        </is>
      </c>
      <c r="E501" t="inlineStr">
        <is>
          <t>VINGÅKER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64585-2018</t>
        </is>
      </c>
      <c r="B502" s="1" t="n">
        <v>43420</v>
      </c>
      <c r="C502" s="1" t="n">
        <v>45186</v>
      </c>
      <c r="D502" t="inlineStr">
        <is>
          <t>SÖDERMANLANDS LÄN</t>
        </is>
      </c>
      <c r="E502" t="inlineStr">
        <is>
          <t>VINGÅKER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64595-2018</t>
        </is>
      </c>
      <c r="B503" s="1" t="n">
        <v>43420</v>
      </c>
      <c r="C503" s="1" t="n">
        <v>45186</v>
      </c>
      <c r="D503" t="inlineStr">
        <is>
          <t>SÖDERMANLANDS LÄN</t>
        </is>
      </c>
      <c r="E503" t="inlineStr">
        <is>
          <t>VINGÅKER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64608-2018</t>
        </is>
      </c>
      <c r="B504" s="1" t="n">
        <v>43422</v>
      </c>
      <c r="C504" s="1" t="n">
        <v>45186</v>
      </c>
      <c r="D504" t="inlineStr">
        <is>
          <t>SÖDERMANLANDS LÄN</t>
        </is>
      </c>
      <c r="E504" t="inlineStr">
        <is>
          <t>KATRINEHOLM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64618-2018</t>
        </is>
      </c>
      <c r="B505" s="1" t="n">
        <v>43422</v>
      </c>
      <c r="C505" s="1" t="n">
        <v>45186</v>
      </c>
      <c r="D505" t="inlineStr">
        <is>
          <t>SÖDERMANLANDS LÄN</t>
        </is>
      </c>
      <c r="E505" t="inlineStr">
        <is>
          <t>KATRINEHOLM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61053-2018</t>
        </is>
      </c>
      <c r="B506" s="1" t="n">
        <v>43423</v>
      </c>
      <c r="C506" s="1" t="n">
        <v>45186</v>
      </c>
      <c r="D506" t="inlineStr">
        <is>
          <t>SÖDERMANLANDS LÄN</t>
        </is>
      </c>
      <c r="E506" t="inlineStr">
        <is>
          <t>NYKÖPING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61211-2018</t>
        </is>
      </c>
      <c r="B507" s="1" t="n">
        <v>43423</v>
      </c>
      <c r="C507" s="1" t="n">
        <v>45186</v>
      </c>
      <c r="D507" t="inlineStr">
        <is>
          <t>SÖDERMANLANDS LÄN</t>
        </is>
      </c>
      <c r="E507" t="inlineStr">
        <is>
          <t>FLEN</t>
        </is>
      </c>
      <c r="F507" t="inlineStr">
        <is>
          <t>Kommuner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61506-2018</t>
        </is>
      </c>
      <c r="B508" s="1" t="n">
        <v>43424</v>
      </c>
      <c r="C508" s="1" t="n">
        <v>45186</v>
      </c>
      <c r="D508" t="inlineStr">
        <is>
          <t>SÖDERMANLANDS LÄN</t>
        </is>
      </c>
      <c r="E508" t="inlineStr">
        <is>
          <t>STRÄNGNÄS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61404-2018</t>
        </is>
      </c>
      <c r="B509" s="1" t="n">
        <v>43424</v>
      </c>
      <c r="C509" s="1" t="n">
        <v>45186</v>
      </c>
      <c r="D509" t="inlineStr">
        <is>
          <t>SÖDERMANLANDS LÄN</t>
        </is>
      </c>
      <c r="E509" t="inlineStr">
        <is>
          <t>FLEN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61504-2018</t>
        </is>
      </c>
      <c r="B510" s="1" t="n">
        <v>43424</v>
      </c>
      <c r="C510" s="1" t="n">
        <v>45186</v>
      </c>
      <c r="D510" t="inlineStr">
        <is>
          <t>SÖDERMANLANDS LÄN</t>
        </is>
      </c>
      <c r="E510" t="inlineStr">
        <is>
          <t>STRÄNGNÄS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61379-2018</t>
        </is>
      </c>
      <c r="B511" s="1" t="n">
        <v>43424</v>
      </c>
      <c r="C511" s="1" t="n">
        <v>45186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Övriga Aktiebolag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62238-2018</t>
        </is>
      </c>
      <c r="B512" s="1" t="n">
        <v>43425</v>
      </c>
      <c r="C512" s="1" t="n">
        <v>45186</v>
      </c>
      <c r="D512" t="inlineStr">
        <is>
          <t>SÖDERMANLANDS LÄN</t>
        </is>
      </c>
      <c r="E512" t="inlineStr">
        <is>
          <t>KATRINEHOLM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65623-2018</t>
        </is>
      </c>
      <c r="B513" s="1" t="n">
        <v>43425</v>
      </c>
      <c r="C513" s="1" t="n">
        <v>45186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Kyrkan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62558-2018</t>
        </is>
      </c>
      <c r="B514" s="1" t="n">
        <v>43426</v>
      </c>
      <c r="C514" s="1" t="n">
        <v>45186</v>
      </c>
      <c r="D514" t="inlineStr">
        <is>
          <t>SÖDERMANLANDS LÄN</t>
        </is>
      </c>
      <c r="E514" t="inlineStr">
        <is>
          <t>FLEN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62559-2018</t>
        </is>
      </c>
      <c r="B515" s="1" t="n">
        <v>43426</v>
      </c>
      <c r="C515" s="1" t="n">
        <v>45186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62534-2018</t>
        </is>
      </c>
      <c r="B516" s="1" t="n">
        <v>43426</v>
      </c>
      <c r="C516" s="1" t="n">
        <v>45186</v>
      </c>
      <c r="D516" t="inlineStr">
        <is>
          <t>SÖDERMANLANDS LÄN</t>
        </is>
      </c>
      <c r="E516" t="inlineStr">
        <is>
          <t>FLEN</t>
        </is>
      </c>
      <c r="G516" t="n">
        <v>11.2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63201-2018</t>
        </is>
      </c>
      <c r="B517" s="1" t="n">
        <v>43426</v>
      </c>
      <c r="C517" s="1" t="n">
        <v>45186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Sveaskog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63210-2018</t>
        </is>
      </c>
      <c r="B518" s="1" t="n">
        <v>43426</v>
      </c>
      <c r="C518" s="1" t="n">
        <v>45186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66292-2018</t>
        </is>
      </c>
      <c r="B519" s="1" t="n">
        <v>43427</v>
      </c>
      <c r="C519" s="1" t="n">
        <v>45186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64198-2018</t>
        </is>
      </c>
      <c r="B520" s="1" t="n">
        <v>43430</v>
      </c>
      <c r="C520" s="1" t="n">
        <v>45186</v>
      </c>
      <c r="D520" t="inlineStr">
        <is>
          <t>SÖDERMANLANDS LÄN</t>
        </is>
      </c>
      <c r="E520" t="inlineStr">
        <is>
          <t>KATRINEHOLM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64203-2018</t>
        </is>
      </c>
      <c r="B521" s="1" t="n">
        <v>43430</v>
      </c>
      <c r="C521" s="1" t="n">
        <v>45186</v>
      </c>
      <c r="D521" t="inlineStr">
        <is>
          <t>SÖDERMANLANDS LÄN</t>
        </is>
      </c>
      <c r="E521" t="inlineStr">
        <is>
          <t>ESKILSTUNA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66862-2018</t>
        </is>
      </c>
      <c r="B522" s="1" t="n">
        <v>43431</v>
      </c>
      <c r="C522" s="1" t="n">
        <v>45186</v>
      </c>
      <c r="D522" t="inlineStr">
        <is>
          <t>SÖDERMANLANDS LÄN</t>
        </is>
      </c>
      <c r="E522" t="inlineStr">
        <is>
          <t>FLEN</t>
        </is>
      </c>
      <c r="G522" t="n">
        <v>10.4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67010-2018</t>
        </is>
      </c>
      <c r="B523" s="1" t="n">
        <v>43431</v>
      </c>
      <c r="C523" s="1" t="n">
        <v>45186</v>
      </c>
      <c r="D523" t="inlineStr">
        <is>
          <t>SÖDERMANLANDS LÄN</t>
        </is>
      </c>
      <c r="E523" t="inlineStr">
        <is>
          <t>FLEN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64439-2018</t>
        </is>
      </c>
      <c r="B524" s="1" t="n">
        <v>43431</v>
      </c>
      <c r="C524" s="1" t="n">
        <v>45186</v>
      </c>
      <c r="D524" t="inlineStr">
        <is>
          <t>SÖDERMANLANDS LÄN</t>
        </is>
      </c>
      <c r="E524" t="inlineStr">
        <is>
          <t>ESKILSTUNA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64839-2018</t>
        </is>
      </c>
      <c r="B525" s="1" t="n">
        <v>43431</v>
      </c>
      <c r="C525" s="1" t="n">
        <v>45186</v>
      </c>
      <c r="D525" t="inlineStr">
        <is>
          <t>SÖDERMANLANDS LÄN</t>
        </is>
      </c>
      <c r="E525" t="inlineStr">
        <is>
          <t>ESKILSTUNA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65334-2018</t>
        </is>
      </c>
      <c r="B526" s="1" t="n">
        <v>43432</v>
      </c>
      <c r="C526" s="1" t="n">
        <v>45186</v>
      </c>
      <c r="D526" t="inlineStr">
        <is>
          <t>SÖDERMANLANDS LÄN</t>
        </is>
      </c>
      <c r="E526" t="inlineStr">
        <is>
          <t>VINGÅKER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67254-2018</t>
        </is>
      </c>
      <c r="B527" s="1" t="n">
        <v>43432</v>
      </c>
      <c r="C527" s="1" t="n">
        <v>45186</v>
      </c>
      <c r="D527" t="inlineStr">
        <is>
          <t>SÖDERMANLANDS LÄN</t>
        </is>
      </c>
      <c r="E527" t="inlineStr">
        <is>
          <t>NYKÖPING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67283-2018</t>
        </is>
      </c>
      <c r="B528" s="1" t="n">
        <v>43432</v>
      </c>
      <c r="C528" s="1" t="n">
        <v>45186</v>
      </c>
      <c r="D528" t="inlineStr">
        <is>
          <t>SÖDERMANLANDS LÄN</t>
        </is>
      </c>
      <c r="E528" t="inlineStr">
        <is>
          <t>NYKÖPING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67285-2018</t>
        </is>
      </c>
      <c r="B529" s="1" t="n">
        <v>43432</v>
      </c>
      <c r="C529" s="1" t="n">
        <v>45186</v>
      </c>
      <c r="D529" t="inlineStr">
        <is>
          <t>SÖDERMANLANDS LÄN</t>
        </is>
      </c>
      <c r="E529" t="inlineStr">
        <is>
          <t>NYKÖPING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65335-2018</t>
        </is>
      </c>
      <c r="B530" s="1" t="n">
        <v>43432</v>
      </c>
      <c r="C530" s="1" t="n">
        <v>45186</v>
      </c>
      <c r="D530" t="inlineStr">
        <is>
          <t>SÖDERMANLANDS LÄN</t>
        </is>
      </c>
      <c r="E530" t="inlineStr">
        <is>
          <t>VINGÅKER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67276-2018</t>
        </is>
      </c>
      <c r="B531" s="1" t="n">
        <v>43432</v>
      </c>
      <c r="C531" s="1" t="n">
        <v>45186</v>
      </c>
      <c r="D531" t="inlineStr">
        <is>
          <t>SÖDERMANLANDS LÄN</t>
        </is>
      </c>
      <c r="E531" t="inlineStr">
        <is>
          <t>NYKÖPING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67808-2018</t>
        </is>
      </c>
      <c r="B532" s="1" t="n">
        <v>43433</v>
      </c>
      <c r="C532" s="1" t="n">
        <v>45186</v>
      </c>
      <c r="D532" t="inlineStr">
        <is>
          <t>SÖDERMANLANDS LÄN</t>
        </is>
      </c>
      <c r="E532" t="inlineStr">
        <is>
          <t>KATRINEHOLM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65759-2018</t>
        </is>
      </c>
      <c r="B533" s="1" t="n">
        <v>43433</v>
      </c>
      <c r="C533" s="1" t="n">
        <v>45186</v>
      </c>
      <c r="D533" t="inlineStr">
        <is>
          <t>SÖDERMANLANDS LÄN</t>
        </is>
      </c>
      <c r="E533" t="inlineStr">
        <is>
          <t>FLEN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66165-2018</t>
        </is>
      </c>
      <c r="B534" s="1" t="n">
        <v>43434</v>
      </c>
      <c r="C534" s="1" t="n">
        <v>45186</v>
      </c>
      <c r="D534" t="inlineStr">
        <is>
          <t>SÖDERMANLANDS LÄN</t>
        </is>
      </c>
      <c r="E534" t="inlineStr">
        <is>
          <t>NYKÖPING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66166-2018</t>
        </is>
      </c>
      <c r="B535" s="1" t="n">
        <v>43434</v>
      </c>
      <c r="C535" s="1" t="n">
        <v>45186</v>
      </c>
      <c r="D535" t="inlineStr">
        <is>
          <t>SÖDERMANLANDS LÄN</t>
        </is>
      </c>
      <c r="E535" t="inlineStr">
        <is>
          <t>NYKÖPING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66433-2018</t>
        </is>
      </c>
      <c r="B536" s="1" t="n">
        <v>43437</v>
      </c>
      <c r="C536" s="1" t="n">
        <v>45186</v>
      </c>
      <c r="D536" t="inlineStr">
        <is>
          <t>SÖDERMANLANDS LÄN</t>
        </is>
      </c>
      <c r="E536" t="inlineStr">
        <is>
          <t>FLEN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67055-2018</t>
        </is>
      </c>
      <c r="B537" s="1" t="n">
        <v>43438</v>
      </c>
      <c r="C537" s="1" t="n">
        <v>45186</v>
      </c>
      <c r="D537" t="inlineStr">
        <is>
          <t>SÖDERMANLANDS LÄN</t>
        </is>
      </c>
      <c r="E537" t="inlineStr">
        <is>
          <t>GNESTA</t>
        </is>
      </c>
      <c r="F537" t="inlineStr">
        <is>
          <t>Övriga Aktiebolag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67075-2018</t>
        </is>
      </c>
      <c r="B538" s="1" t="n">
        <v>43438</v>
      </c>
      <c r="C538" s="1" t="n">
        <v>45186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67053-2018</t>
        </is>
      </c>
      <c r="B539" s="1" t="n">
        <v>43438</v>
      </c>
      <c r="C539" s="1" t="n">
        <v>45186</v>
      </c>
      <c r="D539" t="inlineStr">
        <is>
          <t>SÖDERMANLANDS LÄN</t>
        </is>
      </c>
      <c r="E539" t="inlineStr">
        <is>
          <t>NYKÖPING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67147-2018</t>
        </is>
      </c>
      <c r="B540" s="1" t="n">
        <v>43438</v>
      </c>
      <c r="C540" s="1" t="n">
        <v>45186</v>
      </c>
      <c r="D540" t="inlineStr">
        <is>
          <t>SÖDERMANLANDS LÄN</t>
        </is>
      </c>
      <c r="E540" t="inlineStr">
        <is>
          <t>VINGÅKER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67295-2018</t>
        </is>
      </c>
      <c r="B541" s="1" t="n">
        <v>43439</v>
      </c>
      <c r="C541" s="1" t="n">
        <v>45186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68199-2018</t>
        </is>
      </c>
      <c r="B542" s="1" t="n">
        <v>43441</v>
      </c>
      <c r="C542" s="1" t="n">
        <v>45186</v>
      </c>
      <c r="D542" t="inlineStr">
        <is>
          <t>SÖDERMANLANDS LÄN</t>
        </is>
      </c>
      <c r="E542" t="inlineStr">
        <is>
          <t>ESKILSTUNA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68225-2018</t>
        </is>
      </c>
      <c r="B543" s="1" t="n">
        <v>43441</v>
      </c>
      <c r="C543" s="1" t="n">
        <v>45186</v>
      </c>
      <c r="D543" t="inlineStr">
        <is>
          <t>SÖDERMANLANDS LÄN</t>
        </is>
      </c>
      <c r="E543" t="inlineStr">
        <is>
          <t>KATRINEHOLM</t>
        </is>
      </c>
      <c r="F543" t="inlineStr">
        <is>
          <t>Övriga Aktiebolag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68201-2018</t>
        </is>
      </c>
      <c r="B544" s="1" t="n">
        <v>43441</v>
      </c>
      <c r="C544" s="1" t="n">
        <v>45186</v>
      </c>
      <c r="D544" t="inlineStr">
        <is>
          <t>SÖDERMANLANDS LÄN</t>
        </is>
      </c>
      <c r="E544" t="inlineStr">
        <is>
          <t>ESKILSTUNA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68268-2018</t>
        </is>
      </c>
      <c r="B545" s="1" t="n">
        <v>43441</v>
      </c>
      <c r="C545" s="1" t="n">
        <v>45186</v>
      </c>
      <c r="D545" t="inlineStr">
        <is>
          <t>SÖDERMANLANDS LÄN</t>
        </is>
      </c>
      <c r="E545" t="inlineStr">
        <is>
          <t>NYKÖPING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68206-2018</t>
        </is>
      </c>
      <c r="B546" s="1" t="n">
        <v>43441</v>
      </c>
      <c r="C546" s="1" t="n">
        <v>45186</v>
      </c>
      <c r="D546" t="inlineStr">
        <is>
          <t>SÖDERMANLANDS LÄN</t>
        </is>
      </c>
      <c r="E546" t="inlineStr">
        <is>
          <t>ESKILSTUNA</t>
        </is>
      </c>
      <c r="G546" t="n">
        <v>11.1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68192-2018</t>
        </is>
      </c>
      <c r="B547" s="1" t="n">
        <v>43441</v>
      </c>
      <c r="C547" s="1" t="n">
        <v>45186</v>
      </c>
      <c r="D547" t="inlineStr">
        <is>
          <t>SÖDERMANLANDS LÄN</t>
        </is>
      </c>
      <c r="E547" t="inlineStr">
        <is>
          <t>NYKÖPING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69718-2018</t>
        </is>
      </c>
      <c r="B548" s="1" t="n">
        <v>43444</v>
      </c>
      <c r="C548" s="1" t="n">
        <v>45186</v>
      </c>
      <c r="D548" t="inlineStr">
        <is>
          <t>SÖDERMANLANDS LÄN</t>
        </is>
      </c>
      <c r="E548" t="inlineStr">
        <is>
          <t>VINGÅKER</t>
        </is>
      </c>
      <c r="G548" t="n">
        <v>12.4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68736-2018</t>
        </is>
      </c>
      <c r="B549" s="1" t="n">
        <v>43444</v>
      </c>
      <c r="C549" s="1" t="n">
        <v>45186</v>
      </c>
      <c r="D549" t="inlineStr">
        <is>
          <t>SÖDERMANLANDS LÄN</t>
        </is>
      </c>
      <c r="E549" t="inlineStr">
        <is>
          <t>FLEN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70054-2018</t>
        </is>
      </c>
      <c r="B550" s="1" t="n">
        <v>43445</v>
      </c>
      <c r="C550" s="1" t="n">
        <v>45186</v>
      </c>
      <c r="D550" t="inlineStr">
        <is>
          <t>SÖDERMANLANDS LÄN</t>
        </is>
      </c>
      <c r="E550" t="inlineStr">
        <is>
          <t>ESKILSTUNA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70016-2018</t>
        </is>
      </c>
      <c r="B551" s="1" t="n">
        <v>43445</v>
      </c>
      <c r="C551" s="1" t="n">
        <v>45186</v>
      </c>
      <c r="D551" t="inlineStr">
        <is>
          <t>SÖDERMANLANDS LÄN</t>
        </is>
      </c>
      <c r="E551" t="inlineStr">
        <is>
          <t>KATRINEHOLM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69349-2018</t>
        </is>
      </c>
      <c r="B552" s="1" t="n">
        <v>43446</v>
      </c>
      <c r="C552" s="1" t="n">
        <v>45186</v>
      </c>
      <c r="D552" t="inlineStr">
        <is>
          <t>SÖDERMANLANDS LÄN</t>
        </is>
      </c>
      <c r="E552" t="inlineStr">
        <is>
          <t>STRÄNGNÄS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69529-2018</t>
        </is>
      </c>
      <c r="B553" s="1" t="n">
        <v>43446</v>
      </c>
      <c r="C553" s="1" t="n">
        <v>45186</v>
      </c>
      <c r="D553" t="inlineStr">
        <is>
          <t>SÖDERMANLANDS LÄN</t>
        </is>
      </c>
      <c r="E553" t="inlineStr">
        <is>
          <t>FLEN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69345-2018</t>
        </is>
      </c>
      <c r="B554" s="1" t="n">
        <v>43446</v>
      </c>
      <c r="C554" s="1" t="n">
        <v>45186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69355-2018</t>
        </is>
      </c>
      <c r="B555" s="1" t="n">
        <v>43446</v>
      </c>
      <c r="C555" s="1" t="n">
        <v>45186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70450-2018</t>
        </is>
      </c>
      <c r="B556" s="1" t="n">
        <v>43447</v>
      </c>
      <c r="C556" s="1" t="n">
        <v>45186</v>
      </c>
      <c r="D556" t="inlineStr">
        <is>
          <t>SÖDERMANLANDS LÄN</t>
        </is>
      </c>
      <c r="E556" t="inlineStr">
        <is>
          <t>VINGÅKER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70143-2018</t>
        </is>
      </c>
      <c r="B557" s="1" t="n">
        <v>43448</v>
      </c>
      <c r="C557" s="1" t="n">
        <v>45186</v>
      </c>
      <c r="D557" t="inlineStr">
        <is>
          <t>SÖDERMANLANDS LÄN</t>
        </is>
      </c>
      <c r="E557" t="inlineStr">
        <is>
          <t>TROSA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70063-2018</t>
        </is>
      </c>
      <c r="B558" s="1" t="n">
        <v>43448</v>
      </c>
      <c r="C558" s="1" t="n">
        <v>45186</v>
      </c>
      <c r="D558" t="inlineStr">
        <is>
          <t>SÖDERMANLANDS LÄN</t>
        </is>
      </c>
      <c r="E558" t="inlineStr">
        <is>
          <t>STRÄNGNÄS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70139-2018</t>
        </is>
      </c>
      <c r="B559" s="1" t="n">
        <v>43448</v>
      </c>
      <c r="C559" s="1" t="n">
        <v>45186</v>
      </c>
      <c r="D559" t="inlineStr">
        <is>
          <t>SÖDERMANLANDS LÄN</t>
        </is>
      </c>
      <c r="E559" t="inlineStr">
        <is>
          <t>TROSA</t>
        </is>
      </c>
      <c r="G559" t="n">
        <v>7.2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70409-2018</t>
        </is>
      </c>
      <c r="B560" s="1" t="n">
        <v>43450</v>
      </c>
      <c r="C560" s="1" t="n">
        <v>45186</v>
      </c>
      <c r="D560" t="inlineStr">
        <is>
          <t>SÖDERMANLANDS LÄN</t>
        </is>
      </c>
      <c r="E560" t="inlineStr">
        <is>
          <t>FLEN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71030-2018</t>
        </is>
      </c>
      <c r="B561" s="1" t="n">
        <v>43451</v>
      </c>
      <c r="C561" s="1" t="n">
        <v>45186</v>
      </c>
      <c r="D561" t="inlineStr">
        <is>
          <t>SÖDERMANLANDS LÄN</t>
        </is>
      </c>
      <c r="E561" t="inlineStr">
        <is>
          <t>ESKILSTUNA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71345-2018</t>
        </is>
      </c>
      <c r="B562" s="1" t="n">
        <v>43451</v>
      </c>
      <c r="C562" s="1" t="n">
        <v>45186</v>
      </c>
      <c r="D562" t="inlineStr">
        <is>
          <t>SÖDERMANLANDS LÄN</t>
        </is>
      </c>
      <c r="E562" t="inlineStr">
        <is>
          <t>ESKILSTUNA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71145-2018</t>
        </is>
      </c>
      <c r="B563" s="1" t="n">
        <v>43452</v>
      </c>
      <c r="C563" s="1" t="n">
        <v>45186</v>
      </c>
      <c r="D563" t="inlineStr">
        <is>
          <t>SÖDERMANLANDS LÄN</t>
        </is>
      </c>
      <c r="E563" t="inlineStr">
        <is>
          <t>ESKILSTUNA</t>
        </is>
      </c>
      <c r="F563" t="inlineStr">
        <is>
          <t>Allmännings- och besparingsskogar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71086-2018</t>
        </is>
      </c>
      <c r="B564" s="1" t="n">
        <v>43452</v>
      </c>
      <c r="C564" s="1" t="n">
        <v>45186</v>
      </c>
      <c r="D564" t="inlineStr">
        <is>
          <t>SÖDERMANLANDS LÄN</t>
        </is>
      </c>
      <c r="E564" t="inlineStr">
        <is>
          <t>NYKÖPING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71087-2018</t>
        </is>
      </c>
      <c r="B565" s="1" t="n">
        <v>43452</v>
      </c>
      <c r="C565" s="1" t="n">
        <v>45186</v>
      </c>
      <c r="D565" t="inlineStr">
        <is>
          <t>SÖDERMANLANDS LÄN</t>
        </is>
      </c>
      <c r="E565" t="inlineStr">
        <is>
          <t>NYKÖPING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71206-2018</t>
        </is>
      </c>
      <c r="B566" s="1" t="n">
        <v>43453</v>
      </c>
      <c r="C566" s="1" t="n">
        <v>45186</v>
      </c>
      <c r="D566" t="inlineStr">
        <is>
          <t>SÖDERMANLANDS LÄN</t>
        </is>
      </c>
      <c r="E566" t="inlineStr">
        <is>
          <t>KATRINEHOLM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71263-2018</t>
        </is>
      </c>
      <c r="B567" s="1" t="n">
        <v>43453</v>
      </c>
      <c r="C567" s="1" t="n">
        <v>45186</v>
      </c>
      <c r="D567" t="inlineStr">
        <is>
          <t>SÖDERMANLANDS LÄN</t>
        </is>
      </c>
      <c r="E567" t="inlineStr">
        <is>
          <t>KATRINEHOLM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72160-2018</t>
        </is>
      </c>
      <c r="B568" s="1" t="n">
        <v>43453</v>
      </c>
      <c r="C568" s="1" t="n">
        <v>45186</v>
      </c>
      <c r="D568" t="inlineStr">
        <is>
          <t>SÖDERMANLANDS LÄN</t>
        </is>
      </c>
      <c r="E568" t="inlineStr">
        <is>
          <t>KATRINEHOLM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71331-2018</t>
        </is>
      </c>
      <c r="B569" s="1" t="n">
        <v>43453</v>
      </c>
      <c r="C569" s="1" t="n">
        <v>45186</v>
      </c>
      <c r="D569" t="inlineStr">
        <is>
          <t>SÖDERMANLANDS LÄN</t>
        </is>
      </c>
      <c r="E569" t="inlineStr">
        <is>
          <t>NYKÖPING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72283-2018</t>
        </is>
      </c>
      <c r="B570" s="1" t="n">
        <v>43455</v>
      </c>
      <c r="C570" s="1" t="n">
        <v>45186</v>
      </c>
      <c r="D570" t="inlineStr">
        <is>
          <t>SÖDERMANLANDS LÄN</t>
        </is>
      </c>
      <c r="E570" t="inlineStr">
        <is>
          <t>FLEN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600-2019</t>
        </is>
      </c>
      <c r="B571" s="1" t="n">
        <v>43455</v>
      </c>
      <c r="C571" s="1" t="n">
        <v>45186</v>
      </c>
      <c r="D571" t="inlineStr">
        <is>
          <t>SÖDERMANLANDS LÄN</t>
        </is>
      </c>
      <c r="E571" t="inlineStr">
        <is>
          <t>ESKILSTUNA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606-2019</t>
        </is>
      </c>
      <c r="B572" s="1" t="n">
        <v>43455</v>
      </c>
      <c r="C572" s="1" t="n">
        <v>45186</v>
      </c>
      <c r="D572" t="inlineStr">
        <is>
          <t>SÖDERMANLANDS LÄN</t>
        </is>
      </c>
      <c r="E572" t="inlineStr">
        <is>
          <t>ESKILSTUNA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72334-2018</t>
        </is>
      </c>
      <c r="B573" s="1" t="n">
        <v>43460</v>
      </c>
      <c r="C573" s="1" t="n">
        <v>45186</v>
      </c>
      <c r="D573" t="inlineStr">
        <is>
          <t>SÖDERMANLANDS LÄN</t>
        </is>
      </c>
      <c r="E573" t="inlineStr">
        <is>
          <t>ESKILSTUNA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1658-2019</t>
        </is>
      </c>
      <c r="B574" s="1" t="n">
        <v>43461</v>
      </c>
      <c r="C574" s="1" t="n">
        <v>45186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1937-2019</t>
        </is>
      </c>
      <c r="B575" s="1" t="n">
        <v>43461</v>
      </c>
      <c r="C575" s="1" t="n">
        <v>45186</v>
      </c>
      <c r="D575" t="inlineStr">
        <is>
          <t>SÖDERMANLANDS LÄN</t>
        </is>
      </c>
      <c r="E575" t="inlineStr">
        <is>
          <t>STRÄNGNÄS</t>
        </is>
      </c>
      <c r="G575" t="n">
        <v>8.800000000000001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1630-2019</t>
        </is>
      </c>
      <c r="B576" s="1" t="n">
        <v>43461</v>
      </c>
      <c r="C576" s="1" t="n">
        <v>45186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Allmännings- och besparingsskogar</t>
        </is>
      </c>
      <c r="G576" t="n">
        <v>31.1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1650-2019</t>
        </is>
      </c>
      <c r="B577" s="1" t="n">
        <v>43461</v>
      </c>
      <c r="C577" s="1" t="n">
        <v>45186</v>
      </c>
      <c r="D577" t="inlineStr">
        <is>
          <t>SÖDERMANLANDS LÄN</t>
        </is>
      </c>
      <c r="E577" t="inlineStr">
        <is>
          <t>KATRINEHOLM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2062-2019</t>
        </is>
      </c>
      <c r="B578" s="1" t="n">
        <v>43462</v>
      </c>
      <c r="C578" s="1" t="n">
        <v>45186</v>
      </c>
      <c r="D578" t="inlineStr">
        <is>
          <t>SÖDERMANLANDS LÄN</t>
        </is>
      </c>
      <c r="E578" t="inlineStr">
        <is>
          <t>VINGÅKER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72645-2018</t>
        </is>
      </c>
      <c r="B579" s="1" t="n">
        <v>43464</v>
      </c>
      <c r="C579" s="1" t="n">
        <v>45186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Allmännings- och besparingsskogar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72643-2018</t>
        </is>
      </c>
      <c r="B580" s="1" t="n">
        <v>43464</v>
      </c>
      <c r="C580" s="1" t="n">
        <v>45186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23.5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17-2019</t>
        </is>
      </c>
      <c r="B581" s="1" t="n">
        <v>43466</v>
      </c>
      <c r="C581" s="1" t="n">
        <v>45186</v>
      </c>
      <c r="D581" t="inlineStr">
        <is>
          <t>SÖDERMANLANDS LÄN</t>
        </is>
      </c>
      <c r="E581" t="inlineStr">
        <is>
          <t>ESKILSTUNA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10-2019</t>
        </is>
      </c>
      <c r="B582" s="1" t="n">
        <v>43466</v>
      </c>
      <c r="C582" s="1" t="n">
        <v>45186</v>
      </c>
      <c r="D582" t="inlineStr">
        <is>
          <t>SÖDERMANLANDS LÄN</t>
        </is>
      </c>
      <c r="E582" t="inlineStr">
        <is>
          <t>KATRINEHOLM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205-2019</t>
        </is>
      </c>
      <c r="B583" s="1" t="n">
        <v>43467</v>
      </c>
      <c r="C583" s="1" t="n">
        <v>45186</v>
      </c>
      <c r="D583" t="inlineStr">
        <is>
          <t>SÖDERMANLANDS LÄN</t>
        </is>
      </c>
      <c r="E583" t="inlineStr">
        <is>
          <t>NYKÖPING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458-2019</t>
        </is>
      </c>
      <c r="B584" s="1" t="n">
        <v>43468</v>
      </c>
      <c r="C584" s="1" t="n">
        <v>45186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679-2019</t>
        </is>
      </c>
      <c r="B585" s="1" t="n">
        <v>43469</v>
      </c>
      <c r="C585" s="1" t="n">
        <v>45186</v>
      </c>
      <c r="D585" t="inlineStr">
        <is>
          <t>SÖDERMANLANDS LÄN</t>
        </is>
      </c>
      <c r="E585" t="inlineStr">
        <is>
          <t>TROSA</t>
        </is>
      </c>
      <c r="F585" t="inlineStr">
        <is>
          <t>Holmen skog AB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987-2019</t>
        </is>
      </c>
      <c r="B586" s="1" t="n">
        <v>43472</v>
      </c>
      <c r="C586" s="1" t="n">
        <v>45186</v>
      </c>
      <c r="D586" t="inlineStr">
        <is>
          <t>SÖDERMANLANDS LÄN</t>
        </is>
      </c>
      <c r="E586" t="inlineStr">
        <is>
          <t>VINGÅKER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892-2019</t>
        </is>
      </c>
      <c r="B587" s="1" t="n">
        <v>43472</v>
      </c>
      <c r="C587" s="1" t="n">
        <v>45186</v>
      </c>
      <c r="D587" t="inlineStr">
        <is>
          <t>SÖDERMANLANDS LÄN</t>
        </is>
      </c>
      <c r="E587" t="inlineStr">
        <is>
          <t>NYKÖPING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965-2019</t>
        </is>
      </c>
      <c r="B588" s="1" t="n">
        <v>43472</v>
      </c>
      <c r="C588" s="1" t="n">
        <v>45186</v>
      </c>
      <c r="D588" t="inlineStr">
        <is>
          <t>SÖDERMANLANDS LÄN</t>
        </is>
      </c>
      <c r="E588" t="inlineStr">
        <is>
          <t>KATRINEHOLM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1064-2019</t>
        </is>
      </c>
      <c r="B589" s="1" t="n">
        <v>43472</v>
      </c>
      <c r="C589" s="1" t="n">
        <v>45186</v>
      </c>
      <c r="D589" t="inlineStr">
        <is>
          <t>SÖDERMANLANDS LÄN</t>
        </is>
      </c>
      <c r="E589" t="inlineStr">
        <is>
          <t>STRÄNGNÄS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979-2019</t>
        </is>
      </c>
      <c r="B590" s="1" t="n">
        <v>43472</v>
      </c>
      <c r="C590" s="1" t="n">
        <v>45186</v>
      </c>
      <c r="D590" t="inlineStr">
        <is>
          <t>SÖDERMANLANDS LÄN</t>
        </is>
      </c>
      <c r="E590" t="inlineStr">
        <is>
          <t>GNESTA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1029-2019</t>
        </is>
      </c>
      <c r="B591" s="1" t="n">
        <v>43472</v>
      </c>
      <c r="C591" s="1" t="n">
        <v>45186</v>
      </c>
      <c r="D591" t="inlineStr">
        <is>
          <t>SÖDERMANLANDS LÄN</t>
        </is>
      </c>
      <c r="E591" t="inlineStr">
        <is>
          <t>ESKILSTUNA</t>
        </is>
      </c>
      <c r="F591" t="inlineStr">
        <is>
          <t>Allmännings- och besparingsskogar</t>
        </is>
      </c>
      <c r="G591" t="n">
        <v>9.699999999999999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1071-2019</t>
        </is>
      </c>
      <c r="B592" s="1" t="n">
        <v>43472</v>
      </c>
      <c r="C592" s="1" t="n">
        <v>45186</v>
      </c>
      <c r="D592" t="inlineStr">
        <is>
          <t>SÖDERMANLANDS LÄN</t>
        </is>
      </c>
      <c r="E592" t="inlineStr">
        <is>
          <t>STRÄNGNÄS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1090-2019</t>
        </is>
      </c>
      <c r="B593" s="1" t="n">
        <v>43472</v>
      </c>
      <c r="C593" s="1" t="n">
        <v>45186</v>
      </c>
      <c r="D593" t="inlineStr">
        <is>
          <t>SÖDERMANLANDS LÄN</t>
        </is>
      </c>
      <c r="E593" t="inlineStr">
        <is>
          <t>GNESTA</t>
        </is>
      </c>
      <c r="G593" t="n">
        <v>11.7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1050-2019</t>
        </is>
      </c>
      <c r="B594" s="1" t="n">
        <v>43472</v>
      </c>
      <c r="C594" s="1" t="n">
        <v>45186</v>
      </c>
      <c r="D594" t="inlineStr">
        <is>
          <t>SÖDERMANLANDS LÄN</t>
        </is>
      </c>
      <c r="E594" t="inlineStr">
        <is>
          <t>FLEN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1479-2019</t>
        </is>
      </c>
      <c r="B595" s="1" t="n">
        <v>43473</v>
      </c>
      <c r="C595" s="1" t="n">
        <v>45186</v>
      </c>
      <c r="D595" t="inlineStr">
        <is>
          <t>SÖDERMANLANDS LÄN</t>
        </is>
      </c>
      <c r="E595" t="inlineStr">
        <is>
          <t>VINGÅKER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1534-2019</t>
        </is>
      </c>
      <c r="B596" s="1" t="n">
        <v>43473</v>
      </c>
      <c r="C596" s="1" t="n">
        <v>45186</v>
      </c>
      <c r="D596" t="inlineStr">
        <is>
          <t>SÖDERMANLANDS LÄN</t>
        </is>
      </c>
      <c r="E596" t="inlineStr">
        <is>
          <t>ESKILSTUNA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1358-2019</t>
        </is>
      </c>
      <c r="B597" s="1" t="n">
        <v>43473</v>
      </c>
      <c r="C597" s="1" t="n">
        <v>45186</v>
      </c>
      <c r="D597" t="inlineStr">
        <is>
          <t>SÖDERMANLANDS LÄN</t>
        </is>
      </c>
      <c r="E597" t="inlineStr">
        <is>
          <t>STRÄNGNÄS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3301-2019</t>
        </is>
      </c>
      <c r="B598" s="1" t="n">
        <v>43473</v>
      </c>
      <c r="C598" s="1" t="n">
        <v>45186</v>
      </c>
      <c r="D598" t="inlineStr">
        <is>
          <t>SÖDERMANLANDS LÄN</t>
        </is>
      </c>
      <c r="E598" t="inlineStr">
        <is>
          <t>KATRINEHOLM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1444-2019</t>
        </is>
      </c>
      <c r="B599" s="1" t="n">
        <v>43473</v>
      </c>
      <c r="C599" s="1" t="n">
        <v>45186</v>
      </c>
      <c r="D599" t="inlineStr">
        <is>
          <t>SÖDERMANLANDS LÄN</t>
        </is>
      </c>
      <c r="E599" t="inlineStr">
        <is>
          <t>VINGÅKER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1535-2019</t>
        </is>
      </c>
      <c r="B600" s="1" t="n">
        <v>43473</v>
      </c>
      <c r="C600" s="1" t="n">
        <v>45186</v>
      </c>
      <c r="D600" t="inlineStr">
        <is>
          <t>SÖDERMANLANDS LÄN</t>
        </is>
      </c>
      <c r="E600" t="inlineStr">
        <is>
          <t>ESKILSTUNA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1446-2019</t>
        </is>
      </c>
      <c r="B601" s="1" t="n">
        <v>43473</v>
      </c>
      <c r="C601" s="1" t="n">
        <v>45186</v>
      </c>
      <c r="D601" t="inlineStr">
        <is>
          <t>SÖDERMANLANDS LÄN</t>
        </is>
      </c>
      <c r="E601" t="inlineStr">
        <is>
          <t>ESKILSTUNA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3300-2019</t>
        </is>
      </c>
      <c r="B602" s="1" t="n">
        <v>43473</v>
      </c>
      <c r="C602" s="1" t="n">
        <v>45186</v>
      </c>
      <c r="D602" t="inlineStr">
        <is>
          <t>SÖDERMANLANDS LÄN</t>
        </is>
      </c>
      <c r="E602" t="inlineStr">
        <is>
          <t>KATRINEHOLM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3536-2019</t>
        </is>
      </c>
      <c r="B603" s="1" t="n">
        <v>43474</v>
      </c>
      <c r="C603" s="1" t="n">
        <v>45186</v>
      </c>
      <c r="D603" t="inlineStr">
        <is>
          <t>SÖDERMANLANDS LÄN</t>
        </is>
      </c>
      <c r="E603" t="inlineStr">
        <is>
          <t>ESKILSTUNA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3526-2019</t>
        </is>
      </c>
      <c r="B604" s="1" t="n">
        <v>43474</v>
      </c>
      <c r="C604" s="1" t="n">
        <v>45186</v>
      </c>
      <c r="D604" t="inlineStr">
        <is>
          <t>SÖDERMANLANDS LÄN</t>
        </is>
      </c>
      <c r="E604" t="inlineStr">
        <is>
          <t>ESKILSTUNA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1715-2019</t>
        </is>
      </c>
      <c r="B605" s="1" t="n">
        <v>43474</v>
      </c>
      <c r="C605" s="1" t="n">
        <v>45186</v>
      </c>
      <c r="D605" t="inlineStr">
        <is>
          <t>SÖDERMANLANDS LÄN</t>
        </is>
      </c>
      <c r="E605" t="inlineStr">
        <is>
          <t>KATRINEHOLM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1781-2019</t>
        </is>
      </c>
      <c r="B606" s="1" t="n">
        <v>43474</v>
      </c>
      <c r="C606" s="1" t="n">
        <v>45186</v>
      </c>
      <c r="D606" t="inlineStr">
        <is>
          <t>SÖDERMANLANDS LÄN</t>
        </is>
      </c>
      <c r="E606" t="inlineStr">
        <is>
          <t>NYKÖPING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2314-2019</t>
        </is>
      </c>
      <c r="B607" s="1" t="n">
        <v>43475</v>
      </c>
      <c r="C607" s="1" t="n">
        <v>45186</v>
      </c>
      <c r="D607" t="inlineStr">
        <is>
          <t>SÖDERMANLANDS LÄN</t>
        </is>
      </c>
      <c r="E607" t="inlineStr">
        <is>
          <t>KATRINEHOLM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2311-2019</t>
        </is>
      </c>
      <c r="B608" s="1" t="n">
        <v>43475</v>
      </c>
      <c r="C608" s="1" t="n">
        <v>45186</v>
      </c>
      <c r="D608" t="inlineStr">
        <is>
          <t>SÖDERMANLANDS LÄN</t>
        </is>
      </c>
      <c r="E608" t="inlineStr">
        <is>
          <t>KATRINEHOLM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2316-2019</t>
        </is>
      </c>
      <c r="B609" s="1" t="n">
        <v>43475</v>
      </c>
      <c r="C609" s="1" t="n">
        <v>45186</v>
      </c>
      <c r="D609" t="inlineStr">
        <is>
          <t>SÖDERMANLANDS LÄN</t>
        </is>
      </c>
      <c r="E609" t="inlineStr">
        <is>
          <t>KATRINEHOLM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2315-2019</t>
        </is>
      </c>
      <c r="B610" s="1" t="n">
        <v>43475</v>
      </c>
      <c r="C610" s="1" t="n">
        <v>45186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3795-2019</t>
        </is>
      </c>
      <c r="B611" s="1" t="n">
        <v>43475</v>
      </c>
      <c r="C611" s="1" t="n">
        <v>45186</v>
      </c>
      <c r="D611" t="inlineStr">
        <is>
          <t>SÖDERMANLANDS LÄN</t>
        </is>
      </c>
      <c r="E611" t="inlineStr">
        <is>
          <t>ESKILSTUNA</t>
        </is>
      </c>
      <c r="G611" t="n">
        <v>15.6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2586-2019</t>
        </is>
      </c>
      <c r="B612" s="1" t="n">
        <v>43476</v>
      </c>
      <c r="C612" s="1" t="n">
        <v>45186</v>
      </c>
      <c r="D612" t="inlineStr">
        <is>
          <t>SÖDERMANLANDS LÄN</t>
        </is>
      </c>
      <c r="E612" t="inlineStr">
        <is>
          <t>FLEN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4131-2019</t>
        </is>
      </c>
      <c r="B613" s="1" t="n">
        <v>43476</v>
      </c>
      <c r="C613" s="1" t="n">
        <v>45186</v>
      </c>
      <c r="D613" t="inlineStr">
        <is>
          <t>SÖDERMANLANDS LÄN</t>
        </is>
      </c>
      <c r="E613" t="inlineStr">
        <is>
          <t>KATRINEHOLM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2903-2019</t>
        </is>
      </c>
      <c r="B614" s="1" t="n">
        <v>43479</v>
      </c>
      <c r="C614" s="1" t="n">
        <v>45186</v>
      </c>
      <c r="D614" t="inlineStr">
        <is>
          <t>SÖDERMANLANDS LÄN</t>
        </is>
      </c>
      <c r="E614" t="inlineStr">
        <is>
          <t>ESKILSTUNA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3073-2019</t>
        </is>
      </c>
      <c r="B615" s="1" t="n">
        <v>43479</v>
      </c>
      <c r="C615" s="1" t="n">
        <v>45186</v>
      </c>
      <c r="D615" t="inlineStr">
        <is>
          <t>SÖDERMANLANDS LÄN</t>
        </is>
      </c>
      <c r="E615" t="inlineStr">
        <is>
          <t>ESKILSTUNA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3178-2019</t>
        </is>
      </c>
      <c r="B616" s="1" t="n">
        <v>43480</v>
      </c>
      <c r="C616" s="1" t="n">
        <v>45186</v>
      </c>
      <c r="D616" t="inlineStr">
        <is>
          <t>SÖDERMANLANDS LÄN</t>
        </is>
      </c>
      <c r="E616" t="inlineStr">
        <is>
          <t>ESKILSTUNA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5191-2019</t>
        </is>
      </c>
      <c r="B617" s="1" t="n">
        <v>43480</v>
      </c>
      <c r="C617" s="1" t="n">
        <v>45186</v>
      </c>
      <c r="D617" t="inlineStr">
        <is>
          <t>SÖDERMANLANDS LÄN</t>
        </is>
      </c>
      <c r="E617" t="inlineStr">
        <is>
          <t>KATRINEHOLM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3547-2019</t>
        </is>
      </c>
      <c r="B618" s="1" t="n">
        <v>43481</v>
      </c>
      <c r="C618" s="1" t="n">
        <v>45186</v>
      </c>
      <c r="D618" t="inlineStr">
        <is>
          <t>SÖDERMANLANDS LÄN</t>
        </is>
      </c>
      <c r="E618" t="inlineStr">
        <is>
          <t>STRÄNGNÄS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4195-2019</t>
        </is>
      </c>
      <c r="B619" s="1" t="n">
        <v>43483</v>
      </c>
      <c r="C619" s="1" t="n">
        <v>45186</v>
      </c>
      <c r="D619" t="inlineStr">
        <is>
          <t>SÖDERMANLANDS LÄN</t>
        </is>
      </c>
      <c r="E619" t="inlineStr">
        <is>
          <t>FLEN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4840-2019</t>
        </is>
      </c>
      <c r="B620" s="1" t="n">
        <v>43486</v>
      </c>
      <c r="C620" s="1" t="n">
        <v>45186</v>
      </c>
      <c r="D620" t="inlineStr">
        <is>
          <t>SÖDERMANLANDS LÄN</t>
        </is>
      </c>
      <c r="E620" t="inlineStr">
        <is>
          <t>KATRINEHOLM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6165-2019</t>
        </is>
      </c>
      <c r="B621" s="1" t="n">
        <v>43486</v>
      </c>
      <c r="C621" s="1" t="n">
        <v>45186</v>
      </c>
      <c r="D621" t="inlineStr">
        <is>
          <t>SÖDERMANLANDS LÄN</t>
        </is>
      </c>
      <c r="E621" t="inlineStr">
        <is>
          <t>GNESTA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4838-2019</t>
        </is>
      </c>
      <c r="B622" s="1" t="n">
        <v>43486</v>
      </c>
      <c r="C622" s="1" t="n">
        <v>45186</v>
      </c>
      <c r="D622" t="inlineStr">
        <is>
          <t>SÖDERMANLANDS LÄN</t>
        </is>
      </c>
      <c r="E622" t="inlineStr">
        <is>
          <t>KATRINEHOLM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4609-2019</t>
        </is>
      </c>
      <c r="B623" s="1" t="n">
        <v>43486</v>
      </c>
      <c r="C623" s="1" t="n">
        <v>45186</v>
      </c>
      <c r="D623" t="inlineStr">
        <is>
          <t>SÖDERMANLANDS LÄN</t>
        </is>
      </c>
      <c r="E623" t="inlineStr">
        <is>
          <t>NYKÖPING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4729-2019</t>
        </is>
      </c>
      <c r="B624" s="1" t="n">
        <v>43486</v>
      </c>
      <c r="C624" s="1" t="n">
        <v>45186</v>
      </c>
      <c r="D624" t="inlineStr">
        <is>
          <t>SÖDERMANLANDS LÄN</t>
        </is>
      </c>
      <c r="E624" t="inlineStr">
        <is>
          <t>ESKILSTUNA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6786-2019</t>
        </is>
      </c>
      <c r="B625" s="1" t="n">
        <v>43488</v>
      </c>
      <c r="C625" s="1" t="n">
        <v>45186</v>
      </c>
      <c r="D625" t="inlineStr">
        <is>
          <t>SÖDERMANLANDS LÄN</t>
        </is>
      </c>
      <c r="E625" t="inlineStr">
        <is>
          <t>NYKÖPING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5625-2019</t>
        </is>
      </c>
      <c r="B626" s="1" t="n">
        <v>43489</v>
      </c>
      <c r="C626" s="1" t="n">
        <v>45186</v>
      </c>
      <c r="D626" t="inlineStr">
        <is>
          <t>SÖDERMANLANDS LÄN</t>
        </is>
      </c>
      <c r="E626" t="inlineStr">
        <is>
          <t>ESKILSTUNA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6913-2019</t>
        </is>
      </c>
      <c r="B627" s="1" t="n">
        <v>43489</v>
      </c>
      <c r="C627" s="1" t="n">
        <v>45186</v>
      </c>
      <c r="D627" t="inlineStr">
        <is>
          <t>SÖDERMANLANDS LÄN</t>
        </is>
      </c>
      <c r="E627" t="inlineStr">
        <is>
          <t>KATRINEHOLM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5505-2019</t>
        </is>
      </c>
      <c r="B628" s="1" t="n">
        <v>43489</v>
      </c>
      <c r="C628" s="1" t="n">
        <v>45186</v>
      </c>
      <c r="D628" t="inlineStr">
        <is>
          <t>SÖDERMANLANDS LÄN</t>
        </is>
      </c>
      <c r="E628" t="inlineStr">
        <is>
          <t>TROSA</t>
        </is>
      </c>
      <c r="F628" t="inlineStr">
        <is>
          <t>Holmen skog AB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5558-2019</t>
        </is>
      </c>
      <c r="B629" s="1" t="n">
        <v>43489</v>
      </c>
      <c r="C629" s="1" t="n">
        <v>45186</v>
      </c>
      <c r="D629" t="inlineStr">
        <is>
          <t>SÖDERMANLANDS LÄN</t>
        </is>
      </c>
      <c r="E629" t="inlineStr">
        <is>
          <t>NYKÖPING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5576-2019</t>
        </is>
      </c>
      <c r="B630" s="1" t="n">
        <v>43489</v>
      </c>
      <c r="C630" s="1" t="n">
        <v>45186</v>
      </c>
      <c r="D630" t="inlineStr">
        <is>
          <t>SÖDERMANLANDS LÄN</t>
        </is>
      </c>
      <c r="E630" t="inlineStr">
        <is>
          <t>KATRINEHOLM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5610-2019</t>
        </is>
      </c>
      <c r="B631" s="1" t="n">
        <v>43489</v>
      </c>
      <c r="C631" s="1" t="n">
        <v>45186</v>
      </c>
      <c r="D631" t="inlineStr">
        <is>
          <t>SÖDERMANLANDS LÄN</t>
        </is>
      </c>
      <c r="E631" t="inlineStr">
        <is>
          <t>TROSA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7153-2019</t>
        </is>
      </c>
      <c r="B632" s="1" t="n">
        <v>43489</v>
      </c>
      <c r="C632" s="1" t="n">
        <v>45186</v>
      </c>
      <c r="D632" t="inlineStr">
        <is>
          <t>SÖDERMANLANDS LÄN</t>
        </is>
      </c>
      <c r="E632" t="inlineStr">
        <is>
          <t>KATRINEHOLM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5564-2019</t>
        </is>
      </c>
      <c r="B633" s="1" t="n">
        <v>43489</v>
      </c>
      <c r="C633" s="1" t="n">
        <v>45186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5579-2019</t>
        </is>
      </c>
      <c r="B634" s="1" t="n">
        <v>43489</v>
      </c>
      <c r="C634" s="1" t="n">
        <v>45186</v>
      </c>
      <c r="D634" t="inlineStr">
        <is>
          <t>SÖDERMANLANDS LÄN</t>
        </is>
      </c>
      <c r="E634" t="inlineStr">
        <is>
          <t>KATRINEHOLM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5611-2019</t>
        </is>
      </c>
      <c r="B635" s="1" t="n">
        <v>43489</v>
      </c>
      <c r="C635" s="1" t="n">
        <v>45186</v>
      </c>
      <c r="D635" t="inlineStr">
        <is>
          <t>SÖDERMANLANDS LÄN</t>
        </is>
      </c>
      <c r="E635" t="inlineStr">
        <is>
          <t>TROSA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5679-2019</t>
        </is>
      </c>
      <c r="B636" s="1" t="n">
        <v>43489</v>
      </c>
      <c r="C636" s="1" t="n">
        <v>45186</v>
      </c>
      <c r="D636" t="inlineStr">
        <is>
          <t>SÖDERMANLANDS LÄN</t>
        </is>
      </c>
      <c r="E636" t="inlineStr">
        <is>
          <t>ESKILSTUNA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5433-2019</t>
        </is>
      </c>
      <c r="B637" s="1" t="n">
        <v>43489</v>
      </c>
      <c r="C637" s="1" t="n">
        <v>45186</v>
      </c>
      <c r="D637" t="inlineStr">
        <is>
          <t>SÖDERMANLANDS LÄN</t>
        </is>
      </c>
      <c r="E637" t="inlineStr">
        <is>
          <t>VINGÅKER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5772-2019</t>
        </is>
      </c>
      <c r="B638" s="1" t="n">
        <v>43490</v>
      </c>
      <c r="C638" s="1" t="n">
        <v>45186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7215-2019</t>
        </is>
      </c>
      <c r="B639" s="1" t="n">
        <v>43490</v>
      </c>
      <c r="C639" s="1" t="n">
        <v>45186</v>
      </c>
      <c r="D639" t="inlineStr">
        <is>
          <t>SÖDERMANLANDS LÄN</t>
        </is>
      </c>
      <c r="E639" t="inlineStr">
        <is>
          <t>FLEN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6351-2019</t>
        </is>
      </c>
      <c r="B640" s="1" t="n">
        <v>43493</v>
      </c>
      <c r="C640" s="1" t="n">
        <v>45186</v>
      </c>
      <c r="D640" t="inlineStr">
        <is>
          <t>SÖDERMANLANDS LÄN</t>
        </is>
      </c>
      <c r="E640" t="inlineStr">
        <is>
          <t>NYKÖPING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7620-2019</t>
        </is>
      </c>
      <c r="B641" s="1" t="n">
        <v>43493</v>
      </c>
      <c r="C641" s="1" t="n">
        <v>45186</v>
      </c>
      <c r="D641" t="inlineStr">
        <is>
          <t>SÖDERMANLANDS LÄN</t>
        </is>
      </c>
      <c r="E641" t="inlineStr">
        <is>
          <t>GNESTA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7694-2019</t>
        </is>
      </c>
      <c r="B642" s="1" t="n">
        <v>43493</v>
      </c>
      <c r="C642" s="1" t="n">
        <v>45186</v>
      </c>
      <c r="D642" t="inlineStr">
        <is>
          <t>SÖDERMANLANDS LÄN</t>
        </is>
      </c>
      <c r="E642" t="inlineStr">
        <is>
          <t>ESKILSTUNA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7773-2019</t>
        </is>
      </c>
      <c r="B643" s="1" t="n">
        <v>43494</v>
      </c>
      <c r="C643" s="1" t="n">
        <v>45186</v>
      </c>
      <c r="D643" t="inlineStr">
        <is>
          <t>SÖDERMANLANDS LÄN</t>
        </is>
      </c>
      <c r="E643" t="inlineStr">
        <is>
          <t>FLEN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8047-2019</t>
        </is>
      </c>
      <c r="B644" s="1" t="n">
        <v>43494</v>
      </c>
      <c r="C644" s="1" t="n">
        <v>45186</v>
      </c>
      <c r="D644" t="inlineStr">
        <is>
          <t>SÖDERMANLANDS LÄN</t>
        </is>
      </c>
      <c r="E644" t="inlineStr">
        <is>
          <t>ESKILSTUNA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6702-2019</t>
        </is>
      </c>
      <c r="B645" s="1" t="n">
        <v>43494</v>
      </c>
      <c r="C645" s="1" t="n">
        <v>45186</v>
      </c>
      <c r="D645" t="inlineStr">
        <is>
          <t>SÖDERMANLANDS LÄN</t>
        </is>
      </c>
      <c r="E645" t="inlineStr">
        <is>
          <t>STRÄNGNÄS</t>
        </is>
      </c>
      <c r="F645" t="inlineStr">
        <is>
          <t>Övriga Aktiebolag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6989-2019</t>
        </is>
      </c>
      <c r="B646" s="1" t="n">
        <v>43495</v>
      </c>
      <c r="C646" s="1" t="n">
        <v>45186</v>
      </c>
      <c r="D646" t="inlineStr">
        <is>
          <t>SÖDERMANLANDS LÄN</t>
        </is>
      </c>
      <c r="E646" t="inlineStr">
        <is>
          <t>FLEN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7172-2019</t>
        </is>
      </c>
      <c r="B647" s="1" t="n">
        <v>43496</v>
      </c>
      <c r="C647" s="1" t="n">
        <v>45186</v>
      </c>
      <c r="D647" t="inlineStr">
        <is>
          <t>SÖDERMANLANDS LÄN</t>
        </is>
      </c>
      <c r="E647" t="inlineStr">
        <is>
          <t>NYKÖPING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7199-2019</t>
        </is>
      </c>
      <c r="B648" s="1" t="n">
        <v>43496</v>
      </c>
      <c r="C648" s="1" t="n">
        <v>45186</v>
      </c>
      <c r="D648" t="inlineStr">
        <is>
          <t>SÖDERMANLANDS LÄN</t>
        </is>
      </c>
      <c r="E648" t="inlineStr">
        <is>
          <t>ESKILSTUNA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8396-2019</t>
        </is>
      </c>
      <c r="B649" s="1" t="n">
        <v>43496</v>
      </c>
      <c r="C649" s="1" t="n">
        <v>45186</v>
      </c>
      <c r="D649" t="inlineStr">
        <is>
          <t>SÖDERMANLANDS LÄN</t>
        </is>
      </c>
      <c r="E649" t="inlineStr">
        <is>
          <t>ESKILSTUNA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7523-2019</t>
        </is>
      </c>
      <c r="B650" s="1" t="n">
        <v>43497</v>
      </c>
      <c r="C650" s="1" t="n">
        <v>45186</v>
      </c>
      <c r="D650" t="inlineStr">
        <is>
          <t>SÖDERMANLANDS LÄN</t>
        </is>
      </c>
      <c r="E650" t="inlineStr">
        <is>
          <t>KATRINEHOLM</t>
        </is>
      </c>
      <c r="F650" t="inlineStr">
        <is>
          <t>Allmännings- och besparingsskogar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7548-2019</t>
        </is>
      </c>
      <c r="B651" s="1" t="n">
        <v>43497</v>
      </c>
      <c r="C651" s="1" t="n">
        <v>45186</v>
      </c>
      <c r="D651" t="inlineStr">
        <is>
          <t>SÖDERMANLANDS LÄN</t>
        </is>
      </c>
      <c r="E651" t="inlineStr">
        <is>
          <t>FLEN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7532-2019</t>
        </is>
      </c>
      <c r="B652" s="1" t="n">
        <v>43497</v>
      </c>
      <c r="C652" s="1" t="n">
        <v>45186</v>
      </c>
      <c r="D652" t="inlineStr">
        <is>
          <t>SÖDERMANLANDS LÄN</t>
        </is>
      </c>
      <c r="E652" t="inlineStr">
        <is>
          <t>NYKÖPING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7914-2019</t>
        </is>
      </c>
      <c r="B653" s="1" t="n">
        <v>43501</v>
      </c>
      <c r="C653" s="1" t="n">
        <v>45186</v>
      </c>
      <c r="D653" t="inlineStr">
        <is>
          <t>SÖDERMANLANDS LÄN</t>
        </is>
      </c>
      <c r="E653" t="inlineStr">
        <is>
          <t>NYKÖPING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7920-2019</t>
        </is>
      </c>
      <c r="B654" s="1" t="n">
        <v>43501</v>
      </c>
      <c r="C654" s="1" t="n">
        <v>45186</v>
      </c>
      <c r="D654" t="inlineStr">
        <is>
          <t>SÖDERMANLANDS LÄN</t>
        </is>
      </c>
      <c r="E654" t="inlineStr">
        <is>
          <t>NYKÖPING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7913-2019</t>
        </is>
      </c>
      <c r="B655" s="1" t="n">
        <v>43501</v>
      </c>
      <c r="C655" s="1" t="n">
        <v>45186</v>
      </c>
      <c r="D655" t="inlineStr">
        <is>
          <t>SÖDERMANLANDS LÄN</t>
        </is>
      </c>
      <c r="E655" t="inlineStr">
        <is>
          <t>NYKÖPING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7927-2019</t>
        </is>
      </c>
      <c r="B656" s="1" t="n">
        <v>43501</v>
      </c>
      <c r="C656" s="1" t="n">
        <v>45186</v>
      </c>
      <c r="D656" t="inlineStr">
        <is>
          <t>SÖDERMANLANDS LÄN</t>
        </is>
      </c>
      <c r="E656" t="inlineStr">
        <is>
          <t>NYKÖPING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8551-2019</t>
        </is>
      </c>
      <c r="B657" s="1" t="n">
        <v>43502</v>
      </c>
      <c r="C657" s="1" t="n">
        <v>45186</v>
      </c>
      <c r="D657" t="inlineStr">
        <is>
          <t>SÖDERMANLANDS LÄN</t>
        </is>
      </c>
      <c r="E657" t="inlineStr">
        <is>
          <t>STRÄNGNÄS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8878-2019</t>
        </is>
      </c>
      <c r="B658" s="1" t="n">
        <v>43502</v>
      </c>
      <c r="C658" s="1" t="n">
        <v>45186</v>
      </c>
      <c r="D658" t="inlineStr">
        <is>
          <t>SÖDERMANLANDS LÄN</t>
        </is>
      </c>
      <c r="E658" t="inlineStr">
        <is>
          <t>STRÄNGNÄS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8528-2019</t>
        </is>
      </c>
      <c r="B659" s="1" t="n">
        <v>43502</v>
      </c>
      <c r="C659" s="1" t="n">
        <v>45186</v>
      </c>
      <c r="D659" t="inlineStr">
        <is>
          <t>SÖDERMANLANDS LÄN</t>
        </is>
      </c>
      <c r="E659" t="inlineStr">
        <is>
          <t>STRÄNGNÄS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8621-2019</t>
        </is>
      </c>
      <c r="B660" s="1" t="n">
        <v>43503</v>
      </c>
      <c r="C660" s="1" t="n">
        <v>45186</v>
      </c>
      <c r="D660" t="inlineStr">
        <is>
          <t>SÖDERMANLANDS LÄN</t>
        </is>
      </c>
      <c r="E660" t="inlineStr">
        <is>
          <t>FLEN</t>
        </is>
      </c>
      <c r="G660" t="n">
        <v>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8630-2019</t>
        </is>
      </c>
      <c r="B661" s="1" t="n">
        <v>43503</v>
      </c>
      <c r="C661" s="1" t="n">
        <v>45186</v>
      </c>
      <c r="D661" t="inlineStr">
        <is>
          <t>SÖDERMANLANDS LÄN</t>
        </is>
      </c>
      <c r="E661" t="inlineStr">
        <is>
          <t>VINGÅKER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9254-2019</t>
        </is>
      </c>
      <c r="B662" s="1" t="n">
        <v>43504</v>
      </c>
      <c r="C662" s="1" t="n">
        <v>45186</v>
      </c>
      <c r="D662" t="inlineStr">
        <is>
          <t>SÖDERMANLANDS LÄN</t>
        </is>
      </c>
      <c r="E662" t="inlineStr">
        <is>
          <t>KATRINEHOLM</t>
        </is>
      </c>
      <c r="F662" t="inlineStr">
        <is>
          <t>Övriga Aktiebolag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9419-2019</t>
        </is>
      </c>
      <c r="B663" s="1" t="n">
        <v>43507</v>
      </c>
      <c r="C663" s="1" t="n">
        <v>45186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9473-2019</t>
        </is>
      </c>
      <c r="B664" s="1" t="n">
        <v>43507</v>
      </c>
      <c r="C664" s="1" t="n">
        <v>45186</v>
      </c>
      <c r="D664" t="inlineStr">
        <is>
          <t>SÖDERMANLANDS LÄN</t>
        </is>
      </c>
      <c r="E664" t="inlineStr">
        <is>
          <t>ESKILSTUNA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9459-2019</t>
        </is>
      </c>
      <c r="B665" s="1" t="n">
        <v>43507</v>
      </c>
      <c r="C665" s="1" t="n">
        <v>45186</v>
      </c>
      <c r="D665" t="inlineStr">
        <is>
          <t>SÖDERMANLANDS LÄN</t>
        </is>
      </c>
      <c r="E665" t="inlineStr">
        <is>
          <t>ESKILSTUNA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9466-2019</t>
        </is>
      </c>
      <c r="B666" s="1" t="n">
        <v>43507</v>
      </c>
      <c r="C666" s="1" t="n">
        <v>45186</v>
      </c>
      <c r="D666" t="inlineStr">
        <is>
          <t>SÖDERMANLANDS LÄN</t>
        </is>
      </c>
      <c r="E666" t="inlineStr">
        <is>
          <t>ESKILSTUNA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9784-2019</t>
        </is>
      </c>
      <c r="B667" s="1" t="n">
        <v>43509</v>
      </c>
      <c r="C667" s="1" t="n">
        <v>45186</v>
      </c>
      <c r="D667" t="inlineStr">
        <is>
          <t>SÖDERMANLANDS LÄN</t>
        </is>
      </c>
      <c r="E667" t="inlineStr">
        <is>
          <t>ESKILSTUNA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10263-2019</t>
        </is>
      </c>
      <c r="B668" s="1" t="n">
        <v>43511</v>
      </c>
      <c r="C668" s="1" t="n">
        <v>45186</v>
      </c>
      <c r="D668" t="inlineStr">
        <is>
          <t>SÖDERMANLANDS LÄN</t>
        </is>
      </c>
      <c r="E668" t="inlineStr">
        <is>
          <t>ESKILSTUNA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10308-2019</t>
        </is>
      </c>
      <c r="B669" s="1" t="n">
        <v>43511</v>
      </c>
      <c r="C669" s="1" t="n">
        <v>45186</v>
      </c>
      <c r="D669" t="inlineStr">
        <is>
          <t>SÖDERMANLANDS LÄN</t>
        </is>
      </c>
      <c r="E669" t="inlineStr">
        <is>
          <t>KATRINEHOLM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10716-2019</t>
        </is>
      </c>
      <c r="B670" s="1" t="n">
        <v>43514</v>
      </c>
      <c r="C670" s="1" t="n">
        <v>45186</v>
      </c>
      <c r="D670" t="inlineStr">
        <is>
          <t>SÖDERMANLANDS LÄN</t>
        </is>
      </c>
      <c r="E670" t="inlineStr">
        <is>
          <t>FLEN</t>
        </is>
      </c>
      <c r="F670" t="inlineStr">
        <is>
          <t>Holmen skog AB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10813-2019</t>
        </is>
      </c>
      <c r="B671" s="1" t="n">
        <v>43514</v>
      </c>
      <c r="C671" s="1" t="n">
        <v>45186</v>
      </c>
      <c r="D671" t="inlineStr">
        <is>
          <t>SÖDERMANLANDS LÄN</t>
        </is>
      </c>
      <c r="E671" t="inlineStr">
        <is>
          <t>NYKÖPING</t>
        </is>
      </c>
      <c r="G671" t="n">
        <v>13.2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11067-2019</t>
        </is>
      </c>
      <c r="B672" s="1" t="n">
        <v>43515</v>
      </c>
      <c r="C672" s="1" t="n">
        <v>45186</v>
      </c>
      <c r="D672" t="inlineStr">
        <is>
          <t>SÖDERMANLANDS LÄN</t>
        </is>
      </c>
      <c r="E672" t="inlineStr">
        <is>
          <t>KATRINEHOLM</t>
        </is>
      </c>
      <c r="F672" t="inlineStr">
        <is>
          <t>Kyrkan</t>
        </is>
      </c>
      <c r="G672" t="n">
        <v>13.7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11069-2019</t>
        </is>
      </c>
      <c r="B673" s="1" t="n">
        <v>43515</v>
      </c>
      <c r="C673" s="1" t="n">
        <v>45186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11019-2019</t>
        </is>
      </c>
      <c r="B674" s="1" t="n">
        <v>43515</v>
      </c>
      <c r="C674" s="1" t="n">
        <v>45186</v>
      </c>
      <c r="D674" t="inlineStr">
        <is>
          <t>SÖDERMANLANDS LÄN</t>
        </is>
      </c>
      <c r="E674" t="inlineStr">
        <is>
          <t>NYKÖPING</t>
        </is>
      </c>
      <c r="G674" t="n">
        <v>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11087-2019</t>
        </is>
      </c>
      <c r="B675" s="1" t="n">
        <v>43516</v>
      </c>
      <c r="C675" s="1" t="n">
        <v>45186</v>
      </c>
      <c r="D675" t="inlineStr">
        <is>
          <t>SÖDERMANLANDS LÄN</t>
        </is>
      </c>
      <c r="E675" t="inlineStr">
        <is>
          <t>NYKÖPING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11167-2019</t>
        </is>
      </c>
      <c r="B676" s="1" t="n">
        <v>43516</v>
      </c>
      <c r="C676" s="1" t="n">
        <v>45186</v>
      </c>
      <c r="D676" t="inlineStr">
        <is>
          <t>SÖDERMANLANDS LÄN</t>
        </is>
      </c>
      <c r="E676" t="inlineStr">
        <is>
          <t>ESKILSTUNA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11455-2019</t>
        </is>
      </c>
      <c r="B677" s="1" t="n">
        <v>43517</v>
      </c>
      <c r="C677" s="1" t="n">
        <v>45186</v>
      </c>
      <c r="D677" t="inlineStr">
        <is>
          <t>SÖDERMANLANDS LÄN</t>
        </is>
      </c>
      <c r="E677" t="inlineStr">
        <is>
          <t>TROSA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11491-2019</t>
        </is>
      </c>
      <c r="B678" s="1" t="n">
        <v>43517</v>
      </c>
      <c r="C678" s="1" t="n">
        <v>45186</v>
      </c>
      <c r="D678" t="inlineStr">
        <is>
          <t>SÖDERMANLANDS LÄN</t>
        </is>
      </c>
      <c r="E678" t="inlineStr">
        <is>
          <t>ESKILSTUNA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11562-2019</t>
        </is>
      </c>
      <c r="B679" s="1" t="n">
        <v>43518</v>
      </c>
      <c r="C679" s="1" t="n">
        <v>45186</v>
      </c>
      <c r="D679" t="inlineStr">
        <is>
          <t>SÖDERMANLANDS LÄN</t>
        </is>
      </c>
      <c r="E679" t="inlineStr">
        <is>
          <t>VINGÅKER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11793-2019</t>
        </is>
      </c>
      <c r="B680" s="1" t="n">
        <v>43518</v>
      </c>
      <c r="C680" s="1" t="n">
        <v>45186</v>
      </c>
      <c r="D680" t="inlineStr">
        <is>
          <t>SÖDERMANLANDS LÄN</t>
        </is>
      </c>
      <c r="E680" t="inlineStr">
        <is>
          <t>KATRINEHOLM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11790-2019</t>
        </is>
      </c>
      <c r="B681" s="1" t="n">
        <v>43518</v>
      </c>
      <c r="C681" s="1" t="n">
        <v>45186</v>
      </c>
      <c r="D681" t="inlineStr">
        <is>
          <t>SÖDERMANLANDS LÄN</t>
        </is>
      </c>
      <c r="E681" t="inlineStr">
        <is>
          <t>KATRINEHOLM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11784-2019</t>
        </is>
      </c>
      <c r="B682" s="1" t="n">
        <v>43521</v>
      </c>
      <c r="C682" s="1" t="n">
        <v>45186</v>
      </c>
      <c r="D682" t="inlineStr">
        <is>
          <t>SÖDERMANLANDS LÄN</t>
        </is>
      </c>
      <c r="E682" t="inlineStr">
        <is>
          <t>ESKILSTUNA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11786-2019</t>
        </is>
      </c>
      <c r="B683" s="1" t="n">
        <v>43521</v>
      </c>
      <c r="C683" s="1" t="n">
        <v>45186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11846-2019</t>
        </is>
      </c>
      <c r="B684" s="1" t="n">
        <v>43521</v>
      </c>
      <c r="C684" s="1" t="n">
        <v>45186</v>
      </c>
      <c r="D684" t="inlineStr">
        <is>
          <t>SÖDERMANLANDS LÄN</t>
        </is>
      </c>
      <c r="E684" t="inlineStr">
        <is>
          <t>NYKÖPING</t>
        </is>
      </c>
      <c r="G684" t="n">
        <v>11.9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11895-2019</t>
        </is>
      </c>
      <c r="B685" s="1" t="n">
        <v>43521</v>
      </c>
      <c r="C685" s="1" t="n">
        <v>45186</v>
      </c>
      <c r="D685" t="inlineStr">
        <is>
          <t>SÖDERMANLANDS LÄN</t>
        </is>
      </c>
      <c r="E685" t="inlineStr">
        <is>
          <t>GNESTA</t>
        </is>
      </c>
      <c r="F685" t="inlineStr">
        <is>
          <t>Holmen skog AB</t>
        </is>
      </c>
      <c r="G685" t="n">
        <v>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11788-2019</t>
        </is>
      </c>
      <c r="B686" s="1" t="n">
        <v>43521</v>
      </c>
      <c r="C686" s="1" t="n">
        <v>45186</v>
      </c>
      <c r="D686" t="inlineStr">
        <is>
          <t>SÖDERMANLANDS LÄN</t>
        </is>
      </c>
      <c r="E686" t="inlineStr">
        <is>
          <t>ESKILSTUNA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12465-2019</t>
        </is>
      </c>
      <c r="B687" s="1" t="n">
        <v>43522</v>
      </c>
      <c r="C687" s="1" t="n">
        <v>45186</v>
      </c>
      <c r="D687" t="inlineStr">
        <is>
          <t>SÖDERMANLANDS LÄN</t>
        </is>
      </c>
      <c r="E687" t="inlineStr">
        <is>
          <t>STRÄNGNÄS</t>
        </is>
      </c>
      <c r="F687" t="inlineStr">
        <is>
          <t>Övriga statliga verk och myndigheter</t>
        </is>
      </c>
      <c r="G687" t="n">
        <v>13.7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12195-2019</t>
        </is>
      </c>
      <c r="B688" s="1" t="n">
        <v>43522</v>
      </c>
      <c r="C688" s="1" t="n">
        <v>45186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12228-2019</t>
        </is>
      </c>
      <c r="B689" s="1" t="n">
        <v>43522</v>
      </c>
      <c r="C689" s="1" t="n">
        <v>45186</v>
      </c>
      <c r="D689" t="inlineStr">
        <is>
          <t>SÖDERMANLANDS LÄN</t>
        </is>
      </c>
      <c r="E689" t="inlineStr">
        <is>
          <t>FLEN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12227-2019</t>
        </is>
      </c>
      <c r="B690" s="1" t="n">
        <v>43522</v>
      </c>
      <c r="C690" s="1" t="n">
        <v>45186</v>
      </c>
      <c r="D690" t="inlineStr">
        <is>
          <t>SÖDERMANLANDS LÄN</t>
        </is>
      </c>
      <c r="E690" t="inlineStr">
        <is>
          <t>FLEN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12205-2019</t>
        </is>
      </c>
      <c r="B691" s="1" t="n">
        <v>43522</v>
      </c>
      <c r="C691" s="1" t="n">
        <v>45186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12304-2019</t>
        </is>
      </c>
      <c r="B692" s="1" t="n">
        <v>43523</v>
      </c>
      <c r="C692" s="1" t="n">
        <v>45186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12394-2019</t>
        </is>
      </c>
      <c r="B693" s="1" t="n">
        <v>43523</v>
      </c>
      <c r="C693" s="1" t="n">
        <v>45186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12440-2019</t>
        </is>
      </c>
      <c r="B694" s="1" t="n">
        <v>43523</v>
      </c>
      <c r="C694" s="1" t="n">
        <v>45186</v>
      </c>
      <c r="D694" t="inlineStr">
        <is>
          <t>SÖDERMANLANDS LÄN</t>
        </is>
      </c>
      <c r="E694" t="inlineStr">
        <is>
          <t>VINGÅKER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12256-2019</t>
        </is>
      </c>
      <c r="B695" s="1" t="n">
        <v>43523</v>
      </c>
      <c r="C695" s="1" t="n">
        <v>45186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12374-2019</t>
        </is>
      </c>
      <c r="B696" s="1" t="n">
        <v>43523</v>
      </c>
      <c r="C696" s="1" t="n">
        <v>45186</v>
      </c>
      <c r="D696" t="inlineStr">
        <is>
          <t>SÖDERMANLANDS LÄN</t>
        </is>
      </c>
      <c r="E696" t="inlineStr">
        <is>
          <t>NYKÖPING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12257-2019</t>
        </is>
      </c>
      <c r="B697" s="1" t="n">
        <v>43523</v>
      </c>
      <c r="C697" s="1" t="n">
        <v>45186</v>
      </c>
      <c r="D697" t="inlineStr">
        <is>
          <t>SÖDERMANLANDS LÄN</t>
        </is>
      </c>
      <c r="E697" t="inlineStr">
        <is>
          <t>KATRINEHOLM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12563-2019</t>
        </is>
      </c>
      <c r="B698" s="1" t="n">
        <v>43524</v>
      </c>
      <c r="C698" s="1" t="n">
        <v>45186</v>
      </c>
      <c r="D698" t="inlineStr">
        <is>
          <t>SÖDERMANLANDS LÄN</t>
        </is>
      </c>
      <c r="E698" t="inlineStr">
        <is>
          <t>ESKILSTUNA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12688-2019</t>
        </is>
      </c>
      <c r="B699" s="1" t="n">
        <v>43524</v>
      </c>
      <c r="C699" s="1" t="n">
        <v>45186</v>
      </c>
      <c r="D699" t="inlineStr">
        <is>
          <t>SÖDERMANLANDS LÄN</t>
        </is>
      </c>
      <c r="E699" t="inlineStr">
        <is>
          <t>ESKILSTUNA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12513-2019</t>
        </is>
      </c>
      <c r="B700" s="1" t="n">
        <v>43524</v>
      </c>
      <c r="C700" s="1" t="n">
        <v>45186</v>
      </c>
      <c r="D700" t="inlineStr">
        <is>
          <t>SÖDERMANLANDS LÄN</t>
        </is>
      </c>
      <c r="E700" t="inlineStr">
        <is>
          <t>ESKILSTUNA</t>
        </is>
      </c>
      <c r="F700" t="inlineStr">
        <is>
          <t>Kyrkan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12881-2019</t>
        </is>
      </c>
      <c r="B701" s="1" t="n">
        <v>43525</v>
      </c>
      <c r="C701" s="1" t="n">
        <v>45186</v>
      </c>
      <c r="D701" t="inlineStr">
        <is>
          <t>SÖDERMANLANDS LÄN</t>
        </is>
      </c>
      <c r="E701" t="inlineStr">
        <is>
          <t>KATRINEHOLM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12874-2019</t>
        </is>
      </c>
      <c r="B702" s="1" t="n">
        <v>43525</v>
      </c>
      <c r="C702" s="1" t="n">
        <v>45186</v>
      </c>
      <c r="D702" t="inlineStr">
        <is>
          <t>SÖDERMANLANDS LÄN</t>
        </is>
      </c>
      <c r="E702" t="inlineStr">
        <is>
          <t>VINGÅKER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12880-2019</t>
        </is>
      </c>
      <c r="B703" s="1" t="n">
        <v>43525</v>
      </c>
      <c r="C703" s="1" t="n">
        <v>45186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24.1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12890-2019</t>
        </is>
      </c>
      <c r="B704" s="1" t="n">
        <v>43525</v>
      </c>
      <c r="C704" s="1" t="n">
        <v>45186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9.300000000000001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12963-2019</t>
        </is>
      </c>
      <c r="B705" s="1" t="n">
        <v>43526</v>
      </c>
      <c r="C705" s="1" t="n">
        <v>45186</v>
      </c>
      <c r="D705" t="inlineStr">
        <is>
          <t>SÖDERMANLANDS LÄN</t>
        </is>
      </c>
      <c r="E705" t="inlineStr">
        <is>
          <t>ESKILSTUNA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13134-2019</t>
        </is>
      </c>
      <c r="B706" s="1" t="n">
        <v>43526</v>
      </c>
      <c r="C706" s="1" t="n">
        <v>45186</v>
      </c>
      <c r="D706" t="inlineStr">
        <is>
          <t>SÖDERMANLANDS LÄN</t>
        </is>
      </c>
      <c r="E706" t="inlineStr">
        <is>
          <t>STRÄNGNÄS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13071-2019</t>
        </is>
      </c>
      <c r="B707" s="1" t="n">
        <v>43528</v>
      </c>
      <c r="C707" s="1" t="n">
        <v>45186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13001-2019</t>
        </is>
      </c>
      <c r="B708" s="1" t="n">
        <v>43528</v>
      </c>
      <c r="C708" s="1" t="n">
        <v>45186</v>
      </c>
      <c r="D708" t="inlineStr">
        <is>
          <t>SÖDERMANLANDS LÄN</t>
        </is>
      </c>
      <c r="E708" t="inlineStr">
        <is>
          <t>NYKÖPING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13201-2019</t>
        </is>
      </c>
      <c r="B709" s="1" t="n">
        <v>43528</v>
      </c>
      <c r="C709" s="1" t="n">
        <v>45186</v>
      </c>
      <c r="D709" t="inlineStr">
        <is>
          <t>SÖDERMANLANDS LÄN</t>
        </is>
      </c>
      <c r="E709" t="inlineStr">
        <is>
          <t>NYKÖPING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13337-2019</t>
        </is>
      </c>
      <c r="B710" s="1" t="n">
        <v>43529</v>
      </c>
      <c r="C710" s="1" t="n">
        <v>45186</v>
      </c>
      <c r="D710" t="inlineStr">
        <is>
          <t>SÖDERMANLANDS LÄN</t>
        </is>
      </c>
      <c r="E710" t="inlineStr">
        <is>
          <t>KATRINEHOLM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13268-2019</t>
        </is>
      </c>
      <c r="B711" s="1" t="n">
        <v>43529</v>
      </c>
      <c r="C711" s="1" t="n">
        <v>45186</v>
      </c>
      <c r="D711" t="inlineStr">
        <is>
          <t>SÖDERMANLANDS LÄN</t>
        </is>
      </c>
      <c r="E711" t="inlineStr">
        <is>
          <t>KATRINEHOLM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13401-2019</t>
        </is>
      </c>
      <c r="B712" s="1" t="n">
        <v>43529</v>
      </c>
      <c r="C712" s="1" t="n">
        <v>45186</v>
      </c>
      <c r="D712" t="inlineStr">
        <is>
          <t>SÖDERMANLANDS LÄN</t>
        </is>
      </c>
      <c r="E712" t="inlineStr">
        <is>
          <t>STRÄNGNÄS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13476-2019</t>
        </is>
      </c>
      <c r="B713" s="1" t="n">
        <v>43530</v>
      </c>
      <c r="C713" s="1" t="n">
        <v>45186</v>
      </c>
      <c r="D713" t="inlineStr">
        <is>
          <t>SÖDERMANLANDS LÄN</t>
        </is>
      </c>
      <c r="E713" t="inlineStr">
        <is>
          <t>FLEN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13641-2019</t>
        </is>
      </c>
      <c r="B714" s="1" t="n">
        <v>43530</v>
      </c>
      <c r="C714" s="1" t="n">
        <v>45186</v>
      </c>
      <c r="D714" t="inlineStr">
        <is>
          <t>SÖDERMANLANDS LÄN</t>
        </is>
      </c>
      <c r="E714" t="inlineStr">
        <is>
          <t>FLEN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13460-2019</t>
        </is>
      </c>
      <c r="B715" s="1" t="n">
        <v>43530</v>
      </c>
      <c r="C715" s="1" t="n">
        <v>45186</v>
      </c>
      <c r="D715" t="inlineStr">
        <is>
          <t>SÖDERMANLANDS LÄN</t>
        </is>
      </c>
      <c r="E715" t="inlineStr">
        <is>
          <t>ESKILSTUNA</t>
        </is>
      </c>
      <c r="F715" t="inlineStr">
        <is>
          <t>Kommuner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13814-2019</t>
        </is>
      </c>
      <c r="B716" s="1" t="n">
        <v>43530</v>
      </c>
      <c r="C716" s="1" t="n">
        <v>45186</v>
      </c>
      <c r="D716" t="inlineStr">
        <is>
          <t>SÖDERMANLANDS LÄN</t>
        </is>
      </c>
      <c r="E716" t="inlineStr">
        <is>
          <t>ESKILSTUNA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14205-2019</t>
        </is>
      </c>
      <c r="B717" s="1" t="n">
        <v>43532</v>
      </c>
      <c r="C717" s="1" t="n">
        <v>45186</v>
      </c>
      <c r="D717" t="inlineStr">
        <is>
          <t>SÖDERMANLANDS LÄN</t>
        </is>
      </c>
      <c r="E717" t="inlineStr">
        <is>
          <t>VINGÅKER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14211-2019</t>
        </is>
      </c>
      <c r="B718" s="1" t="n">
        <v>43532</v>
      </c>
      <c r="C718" s="1" t="n">
        <v>45186</v>
      </c>
      <c r="D718" t="inlineStr">
        <is>
          <t>SÖDERMANLANDS LÄN</t>
        </is>
      </c>
      <c r="E718" t="inlineStr">
        <is>
          <t>VINGÅKER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14139-2019</t>
        </is>
      </c>
      <c r="B719" s="1" t="n">
        <v>43532</v>
      </c>
      <c r="C719" s="1" t="n">
        <v>45186</v>
      </c>
      <c r="D719" t="inlineStr">
        <is>
          <t>SÖDERMANLANDS LÄN</t>
        </is>
      </c>
      <c r="E719" t="inlineStr">
        <is>
          <t>ESKILSTUNA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14208-2019</t>
        </is>
      </c>
      <c r="B720" s="1" t="n">
        <v>43532</v>
      </c>
      <c r="C720" s="1" t="n">
        <v>45186</v>
      </c>
      <c r="D720" t="inlineStr">
        <is>
          <t>SÖDERMANLANDS LÄN</t>
        </is>
      </c>
      <c r="E720" t="inlineStr">
        <is>
          <t>VINGÅKER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14210-2019</t>
        </is>
      </c>
      <c r="B721" s="1" t="n">
        <v>43532</v>
      </c>
      <c r="C721" s="1" t="n">
        <v>45186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14160-2019</t>
        </is>
      </c>
      <c r="B722" s="1" t="n">
        <v>43533</v>
      </c>
      <c r="C722" s="1" t="n">
        <v>45186</v>
      </c>
      <c r="D722" t="inlineStr">
        <is>
          <t>SÖDERMANLANDS LÄN</t>
        </is>
      </c>
      <c r="E722" t="inlineStr">
        <is>
          <t>STRÄNGNÄS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14503-2019</t>
        </is>
      </c>
      <c r="B723" s="1" t="n">
        <v>43535</v>
      </c>
      <c r="C723" s="1" t="n">
        <v>45186</v>
      </c>
      <c r="D723" t="inlineStr">
        <is>
          <t>SÖDERMANLANDS LÄN</t>
        </is>
      </c>
      <c r="E723" t="inlineStr">
        <is>
          <t>FLEN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14310-2019</t>
        </is>
      </c>
      <c r="B724" s="1" t="n">
        <v>43535</v>
      </c>
      <c r="C724" s="1" t="n">
        <v>45186</v>
      </c>
      <c r="D724" t="inlineStr">
        <is>
          <t>SÖDERMANLANDS LÄN</t>
        </is>
      </c>
      <c r="E724" t="inlineStr">
        <is>
          <t>VINGÅKER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14671-2019</t>
        </is>
      </c>
      <c r="B725" s="1" t="n">
        <v>43537</v>
      </c>
      <c r="C725" s="1" t="n">
        <v>45186</v>
      </c>
      <c r="D725" t="inlineStr">
        <is>
          <t>SÖDERMANLANDS LÄN</t>
        </is>
      </c>
      <c r="E725" t="inlineStr">
        <is>
          <t>STRÄNGNÄS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15080-2019</t>
        </is>
      </c>
      <c r="B726" s="1" t="n">
        <v>43537</v>
      </c>
      <c r="C726" s="1" t="n">
        <v>45186</v>
      </c>
      <c r="D726" t="inlineStr">
        <is>
          <t>SÖDERMANLANDS LÄN</t>
        </is>
      </c>
      <c r="E726" t="inlineStr">
        <is>
          <t>ESKILSTUNA</t>
        </is>
      </c>
      <c r="G726" t="n">
        <v>7.6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14675-2019</t>
        </is>
      </c>
      <c r="B727" s="1" t="n">
        <v>43537</v>
      </c>
      <c r="C727" s="1" t="n">
        <v>45186</v>
      </c>
      <c r="D727" t="inlineStr">
        <is>
          <t>SÖDERMANLANDS LÄN</t>
        </is>
      </c>
      <c r="E727" t="inlineStr">
        <is>
          <t>STRÄNGNÄS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15024-2019</t>
        </is>
      </c>
      <c r="B728" s="1" t="n">
        <v>43537</v>
      </c>
      <c r="C728" s="1" t="n">
        <v>45186</v>
      </c>
      <c r="D728" t="inlineStr">
        <is>
          <t>SÖDERMANLANDS LÄN</t>
        </is>
      </c>
      <c r="E728" t="inlineStr">
        <is>
          <t>NYKÖPING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14872-2019</t>
        </is>
      </c>
      <c r="B729" s="1" t="n">
        <v>43538</v>
      </c>
      <c r="C729" s="1" t="n">
        <v>45186</v>
      </c>
      <c r="D729" t="inlineStr">
        <is>
          <t>SÖDERMANLANDS LÄN</t>
        </is>
      </c>
      <c r="E729" t="inlineStr">
        <is>
          <t>VINGÅKER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15158-2019</t>
        </is>
      </c>
      <c r="B730" s="1" t="n">
        <v>43538</v>
      </c>
      <c r="C730" s="1" t="n">
        <v>45186</v>
      </c>
      <c r="D730" t="inlineStr">
        <is>
          <t>SÖDERMANLANDS LÄN</t>
        </is>
      </c>
      <c r="E730" t="inlineStr">
        <is>
          <t>KATRINEHOLM</t>
        </is>
      </c>
      <c r="F730" t="inlineStr">
        <is>
          <t>Övriga Aktiebolag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15166-2019</t>
        </is>
      </c>
      <c r="B731" s="1" t="n">
        <v>43538</v>
      </c>
      <c r="C731" s="1" t="n">
        <v>45186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14933-2019</t>
        </is>
      </c>
      <c r="B732" s="1" t="n">
        <v>43538</v>
      </c>
      <c r="C732" s="1" t="n">
        <v>45186</v>
      </c>
      <c r="D732" t="inlineStr">
        <is>
          <t>SÖDERMANLANDS LÄN</t>
        </is>
      </c>
      <c r="E732" t="inlineStr">
        <is>
          <t>STRÄNGNÄS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15149-2019</t>
        </is>
      </c>
      <c r="B733" s="1" t="n">
        <v>43538</v>
      </c>
      <c r="C733" s="1" t="n">
        <v>45186</v>
      </c>
      <c r="D733" t="inlineStr">
        <is>
          <t>SÖDERMANLANDS LÄN</t>
        </is>
      </c>
      <c r="E733" t="inlineStr">
        <is>
          <t>NYKÖPING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15172-2019</t>
        </is>
      </c>
      <c r="B734" s="1" t="n">
        <v>43538</v>
      </c>
      <c r="C734" s="1" t="n">
        <v>45186</v>
      </c>
      <c r="D734" t="inlineStr">
        <is>
          <t>SÖDERMANLANDS LÄN</t>
        </is>
      </c>
      <c r="E734" t="inlineStr">
        <is>
          <t>NYKÖPING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15144-2019</t>
        </is>
      </c>
      <c r="B735" s="1" t="n">
        <v>43538</v>
      </c>
      <c r="C735" s="1" t="n">
        <v>45186</v>
      </c>
      <c r="D735" t="inlineStr">
        <is>
          <t>SÖDERMANLANDS LÄN</t>
        </is>
      </c>
      <c r="E735" t="inlineStr">
        <is>
          <t>NYKÖPING</t>
        </is>
      </c>
      <c r="G735" t="n">
        <v>10.6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14350-2019</t>
        </is>
      </c>
      <c r="B736" s="1" t="n">
        <v>43538</v>
      </c>
      <c r="C736" s="1" t="n">
        <v>45186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14882-2019</t>
        </is>
      </c>
      <c r="B737" s="1" t="n">
        <v>43538</v>
      </c>
      <c r="C737" s="1" t="n">
        <v>45186</v>
      </c>
      <c r="D737" t="inlineStr">
        <is>
          <t>SÖDERMANLANDS LÄN</t>
        </is>
      </c>
      <c r="E737" t="inlineStr">
        <is>
          <t>ESKILSTUNA</t>
        </is>
      </c>
      <c r="F737" t="inlineStr">
        <is>
          <t>Kommuner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15110-2019</t>
        </is>
      </c>
      <c r="B738" s="1" t="n">
        <v>43538</v>
      </c>
      <c r="C738" s="1" t="n">
        <v>45186</v>
      </c>
      <c r="D738" t="inlineStr">
        <is>
          <t>SÖDERMANLANDS LÄN</t>
        </is>
      </c>
      <c r="E738" t="inlineStr">
        <is>
          <t>FLEN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15198-2019</t>
        </is>
      </c>
      <c r="B739" s="1" t="n">
        <v>43539</v>
      </c>
      <c r="C739" s="1" t="n">
        <v>45186</v>
      </c>
      <c r="D739" t="inlineStr">
        <is>
          <t>SÖDERMANLANDS LÄN</t>
        </is>
      </c>
      <c r="E739" t="inlineStr">
        <is>
          <t>GNESTA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15440-2019</t>
        </is>
      </c>
      <c r="B740" s="1" t="n">
        <v>43539</v>
      </c>
      <c r="C740" s="1" t="n">
        <v>45186</v>
      </c>
      <c r="D740" t="inlineStr">
        <is>
          <t>SÖDERMANLANDS LÄN</t>
        </is>
      </c>
      <c r="E740" t="inlineStr">
        <is>
          <t>VINGÅKER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14803-2019</t>
        </is>
      </c>
      <c r="B741" s="1" t="n">
        <v>43539</v>
      </c>
      <c r="C741" s="1" t="n">
        <v>45186</v>
      </c>
      <c r="D741" t="inlineStr">
        <is>
          <t>SÖDERMANLANDS LÄN</t>
        </is>
      </c>
      <c r="E741" t="inlineStr">
        <is>
          <t>GNESTA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15249-2019</t>
        </is>
      </c>
      <c r="B742" s="1" t="n">
        <v>43539</v>
      </c>
      <c r="C742" s="1" t="n">
        <v>45186</v>
      </c>
      <c r="D742" t="inlineStr">
        <is>
          <t>SÖDERMANLANDS LÄN</t>
        </is>
      </c>
      <c r="E742" t="inlineStr">
        <is>
          <t>ESKILSTUNA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15250-2019</t>
        </is>
      </c>
      <c r="B743" s="1" t="n">
        <v>43539</v>
      </c>
      <c r="C743" s="1" t="n">
        <v>45186</v>
      </c>
      <c r="D743" t="inlineStr">
        <is>
          <t>SÖDERMANLANDS LÄN</t>
        </is>
      </c>
      <c r="E743" t="inlineStr">
        <is>
          <t>ESKILSTUNA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15573-2019</t>
        </is>
      </c>
      <c r="B744" s="1" t="n">
        <v>43539</v>
      </c>
      <c r="C744" s="1" t="n">
        <v>45186</v>
      </c>
      <c r="D744" t="inlineStr">
        <is>
          <t>SÖDERMANLANDS LÄN</t>
        </is>
      </c>
      <c r="E744" t="inlineStr">
        <is>
          <t>FLEN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14862-2019</t>
        </is>
      </c>
      <c r="B745" s="1" t="n">
        <v>43539</v>
      </c>
      <c r="C745" s="1" t="n">
        <v>45186</v>
      </c>
      <c r="D745" t="inlineStr">
        <is>
          <t>SÖDERMANLANDS LÄN</t>
        </is>
      </c>
      <c r="E745" t="inlineStr">
        <is>
          <t>GNESTA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14948-2019</t>
        </is>
      </c>
      <c r="B746" s="1" t="n">
        <v>43539</v>
      </c>
      <c r="C746" s="1" t="n">
        <v>45186</v>
      </c>
      <c r="D746" t="inlineStr">
        <is>
          <t>SÖDERMANLANDS LÄN</t>
        </is>
      </c>
      <c r="E746" t="inlineStr">
        <is>
          <t>GNESTA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15041-2019</t>
        </is>
      </c>
      <c r="B747" s="1" t="n">
        <v>43539</v>
      </c>
      <c r="C747" s="1" t="n">
        <v>45186</v>
      </c>
      <c r="D747" t="inlineStr">
        <is>
          <t>SÖDERMANLANDS LÄN</t>
        </is>
      </c>
      <c r="E747" t="inlineStr">
        <is>
          <t>GNESTA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15575-2019</t>
        </is>
      </c>
      <c r="B748" s="1" t="n">
        <v>43539</v>
      </c>
      <c r="C748" s="1" t="n">
        <v>45186</v>
      </c>
      <c r="D748" t="inlineStr">
        <is>
          <t>SÖDERMANLANDS LÄN</t>
        </is>
      </c>
      <c r="E748" t="inlineStr">
        <is>
          <t>FLEN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15322-2019</t>
        </is>
      </c>
      <c r="B749" s="1" t="n">
        <v>43540</v>
      </c>
      <c r="C749" s="1" t="n">
        <v>45186</v>
      </c>
      <c r="D749" t="inlineStr">
        <is>
          <t>SÖDERMANLANDS LÄN</t>
        </is>
      </c>
      <c r="E749" t="inlineStr">
        <is>
          <t>TROSA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15452-2019</t>
        </is>
      </c>
      <c r="B750" s="1" t="n">
        <v>43542</v>
      </c>
      <c r="C750" s="1" t="n">
        <v>45186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15536-2019</t>
        </is>
      </c>
      <c r="B751" s="1" t="n">
        <v>43542</v>
      </c>
      <c r="C751" s="1" t="n">
        <v>45186</v>
      </c>
      <c r="D751" t="inlineStr">
        <is>
          <t>SÖDERMANLANDS LÄN</t>
        </is>
      </c>
      <c r="E751" t="inlineStr">
        <is>
          <t>NYKÖPING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15207-2019</t>
        </is>
      </c>
      <c r="B752" s="1" t="n">
        <v>43542</v>
      </c>
      <c r="C752" s="1" t="n">
        <v>45186</v>
      </c>
      <c r="D752" t="inlineStr">
        <is>
          <t>SÖDERMANLANDS LÄN</t>
        </is>
      </c>
      <c r="E752" t="inlineStr">
        <is>
          <t>NYKÖPING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15429-2019</t>
        </is>
      </c>
      <c r="B753" s="1" t="n">
        <v>43542</v>
      </c>
      <c r="C753" s="1" t="n">
        <v>45186</v>
      </c>
      <c r="D753" t="inlineStr">
        <is>
          <t>SÖDERMANLANDS LÄN</t>
        </is>
      </c>
      <c r="E753" t="inlineStr">
        <is>
          <t>ESKILSTUNA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15654-2019</t>
        </is>
      </c>
      <c r="B754" s="1" t="n">
        <v>43543</v>
      </c>
      <c r="C754" s="1" t="n">
        <v>45186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Kyrkan</t>
        </is>
      </c>
      <c r="G754" t="n">
        <v>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15681-2019</t>
        </is>
      </c>
      <c r="B755" s="1" t="n">
        <v>43543</v>
      </c>
      <c r="C755" s="1" t="n">
        <v>45186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15757-2019</t>
        </is>
      </c>
      <c r="B756" s="1" t="n">
        <v>43543</v>
      </c>
      <c r="C756" s="1" t="n">
        <v>45186</v>
      </c>
      <c r="D756" t="inlineStr">
        <is>
          <t>SÖDERMANLANDS LÄN</t>
        </is>
      </c>
      <c r="E756" t="inlineStr">
        <is>
          <t>KATRINEHOLM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15798-2019</t>
        </is>
      </c>
      <c r="B757" s="1" t="n">
        <v>43543</v>
      </c>
      <c r="C757" s="1" t="n">
        <v>45186</v>
      </c>
      <c r="D757" t="inlineStr">
        <is>
          <t>SÖDERMANLANDS LÄN</t>
        </is>
      </c>
      <c r="E757" t="inlineStr">
        <is>
          <t>STRÄNGNÄS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16116-2019</t>
        </is>
      </c>
      <c r="B758" s="1" t="n">
        <v>43544</v>
      </c>
      <c r="C758" s="1" t="n">
        <v>45186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Holmen skog AB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16005-2019</t>
        </is>
      </c>
      <c r="B759" s="1" t="n">
        <v>43544</v>
      </c>
      <c r="C759" s="1" t="n">
        <v>45186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16105-2019</t>
        </is>
      </c>
      <c r="B760" s="1" t="n">
        <v>43544</v>
      </c>
      <c r="C760" s="1" t="n">
        <v>45186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16017-2019</t>
        </is>
      </c>
      <c r="B761" s="1" t="n">
        <v>43544</v>
      </c>
      <c r="C761" s="1" t="n">
        <v>45186</v>
      </c>
      <c r="D761" t="inlineStr">
        <is>
          <t>SÖDERMANLANDS LÄN</t>
        </is>
      </c>
      <c r="E761" t="inlineStr">
        <is>
          <t>STRÄNGNÄS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16152-2019</t>
        </is>
      </c>
      <c r="B762" s="1" t="n">
        <v>43544</v>
      </c>
      <c r="C762" s="1" t="n">
        <v>45186</v>
      </c>
      <c r="D762" t="inlineStr">
        <is>
          <t>SÖDERMANLANDS LÄN</t>
        </is>
      </c>
      <c r="E762" t="inlineStr">
        <is>
          <t>FLEN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16386-2019</t>
        </is>
      </c>
      <c r="B763" s="1" t="n">
        <v>43545</v>
      </c>
      <c r="C763" s="1" t="n">
        <v>45186</v>
      </c>
      <c r="D763" t="inlineStr">
        <is>
          <t>SÖDERMANLANDS LÄN</t>
        </is>
      </c>
      <c r="E763" t="inlineStr">
        <is>
          <t>VINGÅKER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16226-2019</t>
        </is>
      </c>
      <c r="B764" s="1" t="n">
        <v>43545</v>
      </c>
      <c r="C764" s="1" t="n">
        <v>45186</v>
      </c>
      <c r="D764" t="inlineStr">
        <is>
          <t>SÖDERMANLANDS LÄN</t>
        </is>
      </c>
      <c r="E764" t="inlineStr">
        <is>
          <t>NYKÖPING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16396-2019</t>
        </is>
      </c>
      <c r="B765" s="1" t="n">
        <v>43546</v>
      </c>
      <c r="C765" s="1" t="n">
        <v>45186</v>
      </c>
      <c r="D765" t="inlineStr">
        <is>
          <t>SÖDERMANLANDS LÄN</t>
        </is>
      </c>
      <c r="E765" t="inlineStr">
        <is>
          <t>KATRINEHOLM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16595-2019</t>
        </is>
      </c>
      <c r="B766" s="1" t="n">
        <v>43546</v>
      </c>
      <c r="C766" s="1" t="n">
        <v>45186</v>
      </c>
      <c r="D766" t="inlineStr">
        <is>
          <t>SÖDERMANLANDS LÄN</t>
        </is>
      </c>
      <c r="E766" t="inlineStr">
        <is>
          <t>NYKÖPING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16393-2019</t>
        </is>
      </c>
      <c r="B767" s="1" t="n">
        <v>43546</v>
      </c>
      <c r="C767" s="1" t="n">
        <v>45186</v>
      </c>
      <c r="D767" t="inlineStr">
        <is>
          <t>SÖDERMANLANDS LÄN</t>
        </is>
      </c>
      <c r="E767" t="inlineStr">
        <is>
          <t>KATRINEHOLM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16463-2019</t>
        </is>
      </c>
      <c r="B768" s="1" t="n">
        <v>43546</v>
      </c>
      <c r="C768" s="1" t="n">
        <v>45186</v>
      </c>
      <c r="D768" t="inlineStr">
        <is>
          <t>SÖDERMANLANDS LÄN</t>
        </is>
      </c>
      <c r="E768" t="inlineStr">
        <is>
          <t>KATRINEHOLM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16462-2019</t>
        </is>
      </c>
      <c r="B769" s="1" t="n">
        <v>43546</v>
      </c>
      <c r="C769" s="1" t="n">
        <v>45186</v>
      </c>
      <c r="D769" t="inlineStr">
        <is>
          <t>SÖDERMANLANDS LÄN</t>
        </is>
      </c>
      <c r="E769" t="inlineStr">
        <is>
          <t>KATRINEHOLM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16576-2019</t>
        </is>
      </c>
      <c r="B770" s="1" t="n">
        <v>43548</v>
      </c>
      <c r="C770" s="1" t="n">
        <v>45186</v>
      </c>
      <c r="D770" t="inlineStr">
        <is>
          <t>SÖDERMANLANDS LÄN</t>
        </is>
      </c>
      <c r="E770" t="inlineStr">
        <is>
          <t>KATRINEHOLM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16683-2019</t>
        </is>
      </c>
      <c r="B771" s="1" t="n">
        <v>43549</v>
      </c>
      <c r="C771" s="1" t="n">
        <v>45186</v>
      </c>
      <c r="D771" t="inlineStr">
        <is>
          <t>SÖDERMANLANDS LÄN</t>
        </is>
      </c>
      <c r="E771" t="inlineStr">
        <is>
          <t>VINGÅKER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16989-2019</t>
        </is>
      </c>
      <c r="B772" s="1" t="n">
        <v>43550</v>
      </c>
      <c r="C772" s="1" t="n">
        <v>45186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16880-2019</t>
        </is>
      </c>
      <c r="B773" s="1" t="n">
        <v>43550</v>
      </c>
      <c r="C773" s="1" t="n">
        <v>45186</v>
      </c>
      <c r="D773" t="inlineStr">
        <is>
          <t>SÖDERMANLANDS LÄN</t>
        </is>
      </c>
      <c r="E773" t="inlineStr">
        <is>
          <t>STRÄNGNÄS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17302-2019</t>
        </is>
      </c>
      <c r="B774" s="1" t="n">
        <v>43551</v>
      </c>
      <c r="C774" s="1" t="n">
        <v>45186</v>
      </c>
      <c r="D774" t="inlineStr">
        <is>
          <t>SÖDERMANLANDS LÄN</t>
        </is>
      </c>
      <c r="E774" t="inlineStr">
        <is>
          <t>FLEN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17434-2019</t>
        </is>
      </c>
      <c r="B775" s="1" t="n">
        <v>43553</v>
      </c>
      <c r="C775" s="1" t="n">
        <v>45186</v>
      </c>
      <c r="D775" t="inlineStr">
        <is>
          <t>SÖDERMANLANDS LÄN</t>
        </is>
      </c>
      <c r="E775" t="inlineStr">
        <is>
          <t>NYKÖPING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17423-2019</t>
        </is>
      </c>
      <c r="B776" s="1" t="n">
        <v>43553</v>
      </c>
      <c r="C776" s="1" t="n">
        <v>45186</v>
      </c>
      <c r="D776" t="inlineStr">
        <is>
          <t>SÖDERMANLANDS LÄN</t>
        </is>
      </c>
      <c r="E776" t="inlineStr">
        <is>
          <t>NYKÖPING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17436-2019</t>
        </is>
      </c>
      <c r="B777" s="1" t="n">
        <v>43553</v>
      </c>
      <c r="C777" s="1" t="n">
        <v>45186</v>
      </c>
      <c r="D777" t="inlineStr">
        <is>
          <t>SÖDERMANLANDS LÄN</t>
        </is>
      </c>
      <c r="E777" t="inlineStr">
        <is>
          <t>NYKÖPING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17815-2019</t>
        </is>
      </c>
      <c r="B778" s="1" t="n">
        <v>43556</v>
      </c>
      <c r="C778" s="1" t="n">
        <v>45186</v>
      </c>
      <c r="D778" t="inlineStr">
        <is>
          <t>SÖDERMANLANDS LÄN</t>
        </is>
      </c>
      <c r="E778" t="inlineStr">
        <is>
          <t>NYKÖPING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17823-2019</t>
        </is>
      </c>
      <c r="B779" s="1" t="n">
        <v>43556</v>
      </c>
      <c r="C779" s="1" t="n">
        <v>45186</v>
      </c>
      <c r="D779" t="inlineStr">
        <is>
          <t>SÖDERMANLANDS LÄN</t>
        </is>
      </c>
      <c r="E779" t="inlineStr">
        <is>
          <t>NYKÖPING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18002-2019</t>
        </is>
      </c>
      <c r="B780" s="1" t="n">
        <v>43556</v>
      </c>
      <c r="C780" s="1" t="n">
        <v>45186</v>
      </c>
      <c r="D780" t="inlineStr">
        <is>
          <t>SÖDERMANLANDS LÄN</t>
        </is>
      </c>
      <c r="E780" t="inlineStr">
        <is>
          <t>GNESTA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17818-2019</t>
        </is>
      </c>
      <c r="B781" s="1" t="n">
        <v>43556</v>
      </c>
      <c r="C781" s="1" t="n">
        <v>45186</v>
      </c>
      <c r="D781" t="inlineStr">
        <is>
          <t>SÖDERMANLANDS LÄN</t>
        </is>
      </c>
      <c r="E781" t="inlineStr">
        <is>
          <t>NYKÖPING</t>
        </is>
      </c>
      <c r="G781" t="n">
        <v>9.9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18328-2019</t>
        </is>
      </c>
      <c r="B782" s="1" t="n">
        <v>43557</v>
      </c>
      <c r="C782" s="1" t="n">
        <v>45186</v>
      </c>
      <c r="D782" t="inlineStr">
        <is>
          <t>SÖDERMANLANDS LÄN</t>
        </is>
      </c>
      <c r="E782" t="inlineStr">
        <is>
          <t>STRÄNGNÄS</t>
        </is>
      </c>
      <c r="G782" t="n">
        <v>12.8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18324-2019</t>
        </is>
      </c>
      <c r="B783" s="1" t="n">
        <v>43557</v>
      </c>
      <c r="C783" s="1" t="n">
        <v>45186</v>
      </c>
      <c r="D783" t="inlineStr">
        <is>
          <t>SÖDERMANLANDS LÄN</t>
        </is>
      </c>
      <c r="E783" t="inlineStr">
        <is>
          <t>STRÄNGNÄS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17953-2019</t>
        </is>
      </c>
      <c r="B784" s="1" t="n">
        <v>43557</v>
      </c>
      <c r="C784" s="1" t="n">
        <v>45186</v>
      </c>
      <c r="D784" t="inlineStr">
        <is>
          <t>SÖDERMANLANDS LÄN</t>
        </is>
      </c>
      <c r="E784" t="inlineStr">
        <is>
          <t>ESKILSTUNA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18391-2019</t>
        </is>
      </c>
      <c r="B785" s="1" t="n">
        <v>43558</v>
      </c>
      <c r="C785" s="1" t="n">
        <v>45186</v>
      </c>
      <c r="D785" t="inlineStr">
        <is>
          <t>SÖDERMANLANDS LÄN</t>
        </is>
      </c>
      <c r="E785" t="inlineStr">
        <is>
          <t>FLEN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18224-2019</t>
        </is>
      </c>
      <c r="B786" s="1" t="n">
        <v>43558</v>
      </c>
      <c r="C786" s="1" t="n">
        <v>45186</v>
      </c>
      <c r="D786" t="inlineStr">
        <is>
          <t>SÖDERMANLANDS LÄN</t>
        </is>
      </c>
      <c r="E786" t="inlineStr">
        <is>
          <t>ESKILSTUNA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18493-2019</t>
        </is>
      </c>
      <c r="B787" s="1" t="n">
        <v>43558</v>
      </c>
      <c r="C787" s="1" t="n">
        <v>45186</v>
      </c>
      <c r="D787" t="inlineStr">
        <is>
          <t>SÖDERMANLANDS LÄN</t>
        </is>
      </c>
      <c r="E787" t="inlineStr">
        <is>
          <t>ESKILSTUNA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18543-2019</t>
        </is>
      </c>
      <c r="B788" s="1" t="n">
        <v>43558</v>
      </c>
      <c r="C788" s="1" t="n">
        <v>45186</v>
      </c>
      <c r="D788" t="inlineStr">
        <is>
          <t>SÖDERMANLANDS LÄN</t>
        </is>
      </c>
      <c r="E788" t="inlineStr">
        <is>
          <t>FLEN</t>
        </is>
      </c>
      <c r="F788" t="inlineStr">
        <is>
          <t>Övriga statliga verk och myndigheter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18334-2019</t>
        </is>
      </c>
      <c r="B789" s="1" t="n">
        <v>43558</v>
      </c>
      <c r="C789" s="1" t="n">
        <v>45186</v>
      </c>
      <c r="D789" t="inlineStr">
        <is>
          <t>SÖDERMANLANDS LÄN</t>
        </is>
      </c>
      <c r="E789" t="inlineStr">
        <is>
          <t>NYKÖPING</t>
        </is>
      </c>
      <c r="G789" t="n">
        <v>13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18423-2019</t>
        </is>
      </c>
      <c r="B790" s="1" t="n">
        <v>43559</v>
      </c>
      <c r="C790" s="1" t="n">
        <v>45186</v>
      </c>
      <c r="D790" t="inlineStr">
        <is>
          <t>SÖDERMANLANDS LÄN</t>
        </is>
      </c>
      <c r="E790" t="inlineStr">
        <is>
          <t>ESKILSTUNA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18704-2019</t>
        </is>
      </c>
      <c r="B791" s="1" t="n">
        <v>43559</v>
      </c>
      <c r="C791" s="1" t="n">
        <v>45186</v>
      </c>
      <c r="D791" t="inlineStr">
        <is>
          <t>SÖDERMANLANDS LÄN</t>
        </is>
      </c>
      <c r="E791" t="inlineStr">
        <is>
          <t>ESKILSTUNA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18431-2019</t>
        </is>
      </c>
      <c r="B792" s="1" t="n">
        <v>43559</v>
      </c>
      <c r="C792" s="1" t="n">
        <v>45186</v>
      </c>
      <c r="D792" t="inlineStr">
        <is>
          <t>SÖDERMANLANDS LÄN</t>
        </is>
      </c>
      <c r="E792" t="inlineStr">
        <is>
          <t>KATRINEHOLM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18632-2019</t>
        </is>
      </c>
      <c r="B793" s="1" t="n">
        <v>43559</v>
      </c>
      <c r="C793" s="1" t="n">
        <v>45186</v>
      </c>
      <c r="D793" t="inlineStr">
        <is>
          <t>SÖDERMANLANDS LÄN</t>
        </is>
      </c>
      <c r="E793" t="inlineStr">
        <is>
          <t>VINGÅKER</t>
        </is>
      </c>
      <c r="G793" t="n">
        <v>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18688-2019</t>
        </is>
      </c>
      <c r="B794" s="1" t="n">
        <v>43559</v>
      </c>
      <c r="C794" s="1" t="n">
        <v>45186</v>
      </c>
      <c r="D794" t="inlineStr">
        <is>
          <t>SÖDERMANLANDS LÄN</t>
        </is>
      </c>
      <c r="E794" t="inlineStr">
        <is>
          <t>FLEN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18700-2019</t>
        </is>
      </c>
      <c r="B795" s="1" t="n">
        <v>43559</v>
      </c>
      <c r="C795" s="1" t="n">
        <v>45186</v>
      </c>
      <c r="D795" t="inlineStr">
        <is>
          <t>SÖDERMANLANDS LÄN</t>
        </is>
      </c>
      <c r="E795" t="inlineStr">
        <is>
          <t>FLEN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18561-2019</t>
        </is>
      </c>
      <c r="B796" s="1" t="n">
        <v>43559</v>
      </c>
      <c r="C796" s="1" t="n">
        <v>45186</v>
      </c>
      <c r="D796" t="inlineStr">
        <is>
          <t>SÖDERMANLANDS LÄN</t>
        </is>
      </c>
      <c r="E796" t="inlineStr">
        <is>
          <t>STRÄNGNÄS</t>
        </is>
      </c>
      <c r="F796" t="inlineStr">
        <is>
          <t>Allmännings- och besparingsskogar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18639-2019</t>
        </is>
      </c>
      <c r="B797" s="1" t="n">
        <v>43559</v>
      </c>
      <c r="C797" s="1" t="n">
        <v>45186</v>
      </c>
      <c r="D797" t="inlineStr">
        <is>
          <t>SÖDERMANLANDS LÄN</t>
        </is>
      </c>
      <c r="E797" t="inlineStr">
        <is>
          <t>GNESTA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18698-2019</t>
        </is>
      </c>
      <c r="B798" s="1" t="n">
        <v>43559</v>
      </c>
      <c r="C798" s="1" t="n">
        <v>45186</v>
      </c>
      <c r="D798" t="inlineStr">
        <is>
          <t>SÖDERMANLANDS LÄN</t>
        </is>
      </c>
      <c r="E798" t="inlineStr">
        <is>
          <t>ESKILSTUNA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18645-2019</t>
        </is>
      </c>
      <c r="B799" s="1" t="n">
        <v>43560</v>
      </c>
      <c r="C799" s="1" t="n">
        <v>45186</v>
      </c>
      <c r="D799" t="inlineStr">
        <is>
          <t>SÖDERMANLANDS LÄN</t>
        </is>
      </c>
      <c r="E799" t="inlineStr">
        <is>
          <t>FLEN</t>
        </is>
      </c>
      <c r="G799" t="n">
        <v>8.4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18740-2019</t>
        </is>
      </c>
      <c r="B800" s="1" t="n">
        <v>43560</v>
      </c>
      <c r="C800" s="1" t="n">
        <v>45186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18824-2019</t>
        </is>
      </c>
      <c r="B801" s="1" t="n">
        <v>43560</v>
      </c>
      <c r="C801" s="1" t="n">
        <v>45186</v>
      </c>
      <c r="D801" t="inlineStr">
        <is>
          <t>SÖDERMANLANDS LÄN</t>
        </is>
      </c>
      <c r="E801" t="inlineStr">
        <is>
          <t>FLEN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18793-2019</t>
        </is>
      </c>
      <c r="B802" s="1" t="n">
        <v>43562</v>
      </c>
      <c r="C802" s="1" t="n">
        <v>45186</v>
      </c>
      <c r="D802" t="inlineStr">
        <is>
          <t>SÖDERMANLANDS LÄN</t>
        </is>
      </c>
      <c r="E802" t="inlineStr">
        <is>
          <t>NYKÖPING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18786-2019</t>
        </is>
      </c>
      <c r="B803" s="1" t="n">
        <v>43562</v>
      </c>
      <c r="C803" s="1" t="n">
        <v>45186</v>
      </c>
      <c r="D803" t="inlineStr">
        <is>
          <t>SÖDERMANLANDS LÄN</t>
        </is>
      </c>
      <c r="E803" t="inlineStr">
        <is>
          <t>NYKÖPING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18862-2019</t>
        </is>
      </c>
      <c r="B804" s="1" t="n">
        <v>43563</v>
      </c>
      <c r="C804" s="1" t="n">
        <v>45186</v>
      </c>
      <c r="D804" t="inlineStr">
        <is>
          <t>SÖDERMANLANDS LÄN</t>
        </is>
      </c>
      <c r="E804" t="inlineStr">
        <is>
          <t>STRÄNGNÄS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18869-2019</t>
        </is>
      </c>
      <c r="B805" s="1" t="n">
        <v>43563</v>
      </c>
      <c r="C805" s="1" t="n">
        <v>45186</v>
      </c>
      <c r="D805" t="inlineStr">
        <is>
          <t>SÖDERMANLANDS LÄN</t>
        </is>
      </c>
      <c r="E805" t="inlineStr">
        <is>
          <t>KATRINEHOLM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18892-2019</t>
        </is>
      </c>
      <c r="B806" s="1" t="n">
        <v>43563</v>
      </c>
      <c r="C806" s="1" t="n">
        <v>45186</v>
      </c>
      <c r="D806" t="inlineStr">
        <is>
          <t>SÖDERMANLANDS LÄN</t>
        </is>
      </c>
      <c r="E806" t="inlineStr">
        <is>
          <t>GNESTA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18950-2019</t>
        </is>
      </c>
      <c r="B807" s="1" t="n">
        <v>43563</v>
      </c>
      <c r="C807" s="1" t="n">
        <v>45186</v>
      </c>
      <c r="D807" t="inlineStr">
        <is>
          <t>SÖDERMANLANDS LÄN</t>
        </is>
      </c>
      <c r="E807" t="inlineStr">
        <is>
          <t>ESKILSTUNA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19122-2019</t>
        </is>
      </c>
      <c r="B808" s="1" t="n">
        <v>43564</v>
      </c>
      <c r="C808" s="1" t="n">
        <v>45186</v>
      </c>
      <c r="D808" t="inlineStr">
        <is>
          <t>SÖDERMANLANDS LÄN</t>
        </is>
      </c>
      <c r="E808" t="inlineStr">
        <is>
          <t>ESKILSTUNA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19166-2019</t>
        </is>
      </c>
      <c r="B809" s="1" t="n">
        <v>43564</v>
      </c>
      <c r="C809" s="1" t="n">
        <v>45186</v>
      </c>
      <c r="D809" t="inlineStr">
        <is>
          <t>SÖDERMANLANDS LÄN</t>
        </is>
      </c>
      <c r="E809" t="inlineStr">
        <is>
          <t>GNESTA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19374-2019</t>
        </is>
      </c>
      <c r="B810" s="1" t="n">
        <v>43565</v>
      </c>
      <c r="C810" s="1" t="n">
        <v>45186</v>
      </c>
      <c r="D810" t="inlineStr">
        <is>
          <t>SÖDERMANLANDS LÄN</t>
        </is>
      </c>
      <c r="E810" t="inlineStr">
        <is>
          <t>KATRINEHOLM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19291-2019</t>
        </is>
      </c>
      <c r="B811" s="1" t="n">
        <v>43565</v>
      </c>
      <c r="C811" s="1" t="n">
        <v>45186</v>
      </c>
      <c r="D811" t="inlineStr">
        <is>
          <t>SÖDERMANLANDS LÄN</t>
        </is>
      </c>
      <c r="E811" t="inlineStr">
        <is>
          <t>ESKILSTUNA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19476-2019</t>
        </is>
      </c>
      <c r="B812" s="1" t="n">
        <v>43565</v>
      </c>
      <c r="C812" s="1" t="n">
        <v>45186</v>
      </c>
      <c r="D812" t="inlineStr">
        <is>
          <t>SÖDERMANLANDS LÄN</t>
        </is>
      </c>
      <c r="E812" t="inlineStr">
        <is>
          <t>NYKÖPING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19511-2019</t>
        </is>
      </c>
      <c r="B813" s="1" t="n">
        <v>43565</v>
      </c>
      <c r="C813" s="1" t="n">
        <v>45186</v>
      </c>
      <c r="D813" t="inlineStr">
        <is>
          <t>SÖDERMANLANDS LÄN</t>
        </is>
      </c>
      <c r="E813" t="inlineStr">
        <is>
          <t>NYKÖPING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19427-2019</t>
        </is>
      </c>
      <c r="B814" s="1" t="n">
        <v>43565</v>
      </c>
      <c r="C814" s="1" t="n">
        <v>45186</v>
      </c>
      <c r="D814" t="inlineStr">
        <is>
          <t>SÖDERMANLANDS LÄN</t>
        </is>
      </c>
      <c r="E814" t="inlineStr">
        <is>
          <t>NYKÖPING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19449-2019</t>
        </is>
      </c>
      <c r="B815" s="1" t="n">
        <v>43565</v>
      </c>
      <c r="C815" s="1" t="n">
        <v>45186</v>
      </c>
      <c r="D815" t="inlineStr">
        <is>
          <t>SÖDERMANLANDS LÄN</t>
        </is>
      </c>
      <c r="E815" t="inlineStr">
        <is>
          <t>VINGÅKER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19469-2019</t>
        </is>
      </c>
      <c r="B816" s="1" t="n">
        <v>43565</v>
      </c>
      <c r="C816" s="1" t="n">
        <v>45186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19395-2019</t>
        </is>
      </c>
      <c r="B817" s="1" t="n">
        <v>43565</v>
      </c>
      <c r="C817" s="1" t="n">
        <v>45186</v>
      </c>
      <c r="D817" t="inlineStr">
        <is>
          <t>SÖDERMANLANDS LÄN</t>
        </is>
      </c>
      <c r="E817" t="inlineStr">
        <is>
          <t>FLEN</t>
        </is>
      </c>
      <c r="G817" t="n">
        <v>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19692-2019</t>
        </is>
      </c>
      <c r="B818" s="1" t="n">
        <v>43566</v>
      </c>
      <c r="C818" s="1" t="n">
        <v>45186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Kyrkan</t>
        </is>
      </c>
      <c r="G818" t="n">
        <v>9.199999999999999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19804-2019</t>
        </is>
      </c>
      <c r="B819" s="1" t="n">
        <v>43566</v>
      </c>
      <c r="C819" s="1" t="n">
        <v>45186</v>
      </c>
      <c r="D819" t="inlineStr">
        <is>
          <t>SÖDERMANLANDS LÄN</t>
        </is>
      </c>
      <c r="E819" t="inlineStr">
        <is>
          <t>GNESTA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19874-2019</t>
        </is>
      </c>
      <c r="B820" s="1" t="n">
        <v>43567</v>
      </c>
      <c r="C820" s="1" t="n">
        <v>45186</v>
      </c>
      <c r="D820" t="inlineStr">
        <is>
          <t>SÖDERMANLANDS LÄN</t>
        </is>
      </c>
      <c r="E820" t="inlineStr">
        <is>
          <t>STRÄNGNÄS</t>
        </is>
      </c>
      <c r="G820" t="n">
        <v>12.6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19834-2019</t>
        </is>
      </c>
      <c r="B821" s="1" t="n">
        <v>43567</v>
      </c>
      <c r="C821" s="1" t="n">
        <v>45186</v>
      </c>
      <c r="D821" t="inlineStr">
        <is>
          <t>SÖDERMANLANDS LÄN</t>
        </is>
      </c>
      <c r="E821" t="inlineStr">
        <is>
          <t>FLEN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20084-2019</t>
        </is>
      </c>
      <c r="B822" s="1" t="n">
        <v>43570</v>
      </c>
      <c r="C822" s="1" t="n">
        <v>45186</v>
      </c>
      <c r="D822" t="inlineStr">
        <is>
          <t>SÖDERMANLANDS LÄN</t>
        </is>
      </c>
      <c r="E822" t="inlineStr">
        <is>
          <t>KATRINEHOLM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19980-2019</t>
        </is>
      </c>
      <c r="B823" s="1" t="n">
        <v>43570</v>
      </c>
      <c r="C823" s="1" t="n">
        <v>45186</v>
      </c>
      <c r="D823" t="inlineStr">
        <is>
          <t>SÖDERMANLANDS LÄN</t>
        </is>
      </c>
      <c r="E823" t="inlineStr">
        <is>
          <t>NYKÖPING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20081-2019</t>
        </is>
      </c>
      <c r="B824" s="1" t="n">
        <v>43570</v>
      </c>
      <c r="C824" s="1" t="n">
        <v>45186</v>
      </c>
      <c r="D824" t="inlineStr">
        <is>
          <t>SÖDERMANLANDS LÄN</t>
        </is>
      </c>
      <c r="E824" t="inlineStr">
        <is>
          <t>KATRINEHOLM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20089-2019</t>
        </is>
      </c>
      <c r="B825" s="1" t="n">
        <v>43570</v>
      </c>
      <c r="C825" s="1" t="n">
        <v>45186</v>
      </c>
      <c r="D825" t="inlineStr">
        <is>
          <t>SÖDERMANLANDS LÄN</t>
        </is>
      </c>
      <c r="E825" t="inlineStr">
        <is>
          <t>KATRINEHOLM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20179-2019</t>
        </is>
      </c>
      <c r="B826" s="1" t="n">
        <v>43570</v>
      </c>
      <c r="C826" s="1" t="n">
        <v>45186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Sveaskog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20284-2019</t>
        </is>
      </c>
      <c r="B827" s="1" t="n">
        <v>43570</v>
      </c>
      <c r="C827" s="1" t="n">
        <v>45186</v>
      </c>
      <c r="D827" t="inlineStr">
        <is>
          <t>SÖDERMANLANDS LÄN</t>
        </is>
      </c>
      <c r="E827" t="inlineStr">
        <is>
          <t>FLEN</t>
        </is>
      </c>
      <c r="G827" t="n">
        <v>6.5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20666-2019</t>
        </is>
      </c>
      <c r="B828" s="1" t="n">
        <v>43572</v>
      </c>
      <c r="C828" s="1" t="n">
        <v>45186</v>
      </c>
      <c r="D828" t="inlineStr">
        <is>
          <t>SÖDERMANLANDS LÄN</t>
        </is>
      </c>
      <c r="E828" t="inlineStr">
        <is>
          <t>STRÄNGNÄS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20529-2019</t>
        </is>
      </c>
      <c r="B829" s="1" t="n">
        <v>43572</v>
      </c>
      <c r="C829" s="1" t="n">
        <v>45186</v>
      </c>
      <c r="D829" t="inlineStr">
        <is>
          <t>SÖDERMANLANDS LÄN</t>
        </is>
      </c>
      <c r="E829" t="inlineStr">
        <is>
          <t>GNESTA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20729-2019</t>
        </is>
      </c>
      <c r="B830" s="1" t="n">
        <v>43573</v>
      </c>
      <c r="C830" s="1" t="n">
        <v>45186</v>
      </c>
      <c r="D830" t="inlineStr">
        <is>
          <t>SÖDERMANLANDS LÄN</t>
        </is>
      </c>
      <c r="E830" t="inlineStr">
        <is>
          <t>VINGÅKER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21632-2019</t>
        </is>
      </c>
      <c r="B831" s="1" t="n">
        <v>43580</v>
      </c>
      <c r="C831" s="1" t="n">
        <v>45186</v>
      </c>
      <c r="D831" t="inlineStr">
        <is>
          <t>SÖDERMANLANDS LÄN</t>
        </is>
      </c>
      <c r="E831" t="inlineStr">
        <is>
          <t>VINGÅKER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21472-2019</t>
        </is>
      </c>
      <c r="B832" s="1" t="n">
        <v>43580</v>
      </c>
      <c r="C832" s="1" t="n">
        <v>45186</v>
      </c>
      <c r="D832" t="inlineStr">
        <is>
          <t>SÖDERMANLANDS LÄN</t>
        </is>
      </c>
      <c r="E832" t="inlineStr">
        <is>
          <t>ESKILSTUNA</t>
        </is>
      </c>
      <c r="F832" t="inlineStr">
        <is>
          <t>Kyrkan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21555-2019</t>
        </is>
      </c>
      <c r="B833" s="1" t="n">
        <v>43580</v>
      </c>
      <c r="C833" s="1" t="n">
        <v>45186</v>
      </c>
      <c r="D833" t="inlineStr">
        <is>
          <t>SÖDERMANLANDS LÄN</t>
        </is>
      </c>
      <c r="E833" t="inlineStr">
        <is>
          <t>ESKILSTUNA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21630-2019</t>
        </is>
      </c>
      <c r="B834" s="1" t="n">
        <v>43580</v>
      </c>
      <c r="C834" s="1" t="n">
        <v>45186</v>
      </c>
      <c r="D834" t="inlineStr">
        <is>
          <t>SÖDERMANLANDS LÄN</t>
        </is>
      </c>
      <c r="E834" t="inlineStr">
        <is>
          <t>VINGÅKER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21575-2019</t>
        </is>
      </c>
      <c r="B835" s="1" t="n">
        <v>43580</v>
      </c>
      <c r="C835" s="1" t="n">
        <v>45186</v>
      </c>
      <c r="D835" t="inlineStr">
        <is>
          <t>SÖDERMANLANDS LÄN</t>
        </is>
      </c>
      <c r="E835" t="inlineStr">
        <is>
          <t>VINGÅKER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21585-2019</t>
        </is>
      </c>
      <c r="B836" s="1" t="n">
        <v>43580</v>
      </c>
      <c r="C836" s="1" t="n">
        <v>45186</v>
      </c>
      <c r="D836" t="inlineStr">
        <is>
          <t>SÖDERMANLANDS LÄN</t>
        </is>
      </c>
      <c r="E836" t="inlineStr">
        <is>
          <t>NYKÖPING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21627-2019</t>
        </is>
      </c>
      <c r="B837" s="1" t="n">
        <v>43580</v>
      </c>
      <c r="C837" s="1" t="n">
        <v>45186</v>
      </c>
      <c r="D837" t="inlineStr">
        <is>
          <t>SÖDERMANLANDS LÄN</t>
        </is>
      </c>
      <c r="E837" t="inlineStr">
        <is>
          <t>VINGÅKER</t>
        </is>
      </c>
      <c r="G837" t="n">
        <v>13.1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21994-2019</t>
        </is>
      </c>
      <c r="B838" s="1" t="n">
        <v>43581</v>
      </c>
      <c r="C838" s="1" t="n">
        <v>45186</v>
      </c>
      <c r="D838" t="inlineStr">
        <is>
          <t>SÖDERMANLANDS LÄN</t>
        </is>
      </c>
      <c r="E838" t="inlineStr">
        <is>
          <t>KATRINEHOLM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21694-2019</t>
        </is>
      </c>
      <c r="B839" s="1" t="n">
        <v>43581</v>
      </c>
      <c r="C839" s="1" t="n">
        <v>45186</v>
      </c>
      <c r="D839" t="inlineStr">
        <is>
          <t>SÖDERMANLANDS LÄN</t>
        </is>
      </c>
      <c r="E839" t="inlineStr">
        <is>
          <t>NYKÖPING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21691-2019</t>
        </is>
      </c>
      <c r="B840" s="1" t="n">
        <v>43581</v>
      </c>
      <c r="C840" s="1" t="n">
        <v>45186</v>
      </c>
      <c r="D840" t="inlineStr">
        <is>
          <t>SÖDERMANLANDS LÄN</t>
        </is>
      </c>
      <c r="E840" t="inlineStr">
        <is>
          <t>GNESTA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22100-2019</t>
        </is>
      </c>
      <c r="B841" s="1" t="n">
        <v>43584</v>
      </c>
      <c r="C841" s="1" t="n">
        <v>45186</v>
      </c>
      <c r="D841" t="inlineStr">
        <is>
          <t>SÖDERMANLANDS LÄN</t>
        </is>
      </c>
      <c r="E841" t="inlineStr">
        <is>
          <t>GNESTA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22101-2019</t>
        </is>
      </c>
      <c r="B842" s="1" t="n">
        <v>43584</v>
      </c>
      <c r="C842" s="1" t="n">
        <v>45186</v>
      </c>
      <c r="D842" t="inlineStr">
        <is>
          <t>SÖDERMANLANDS LÄN</t>
        </is>
      </c>
      <c r="E842" t="inlineStr">
        <is>
          <t>GNESTA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21920-2019</t>
        </is>
      </c>
      <c r="B843" s="1" t="n">
        <v>43584</v>
      </c>
      <c r="C843" s="1" t="n">
        <v>45186</v>
      </c>
      <c r="D843" t="inlineStr">
        <is>
          <t>SÖDERMANLANDS LÄN</t>
        </is>
      </c>
      <c r="E843" t="inlineStr">
        <is>
          <t>FLEN</t>
        </is>
      </c>
      <c r="G843" t="n">
        <v>6.8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22217-2019</t>
        </is>
      </c>
      <c r="B844" s="1" t="n">
        <v>43585</v>
      </c>
      <c r="C844" s="1" t="n">
        <v>45186</v>
      </c>
      <c r="D844" t="inlineStr">
        <is>
          <t>SÖDERMANLANDS LÄN</t>
        </is>
      </c>
      <c r="E844" t="inlineStr">
        <is>
          <t>ESKILSTUNA</t>
        </is>
      </c>
      <c r="F844" t="inlineStr">
        <is>
          <t>Sveaskog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22503-2019</t>
        </is>
      </c>
      <c r="B845" s="1" t="n">
        <v>43587</v>
      </c>
      <c r="C845" s="1" t="n">
        <v>45186</v>
      </c>
      <c r="D845" t="inlineStr">
        <is>
          <t>SÖDERMANLANDS LÄN</t>
        </is>
      </c>
      <c r="E845" t="inlineStr">
        <is>
          <t>VINGÅKER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22691-2019</t>
        </is>
      </c>
      <c r="B846" s="1" t="n">
        <v>43588</v>
      </c>
      <c r="C846" s="1" t="n">
        <v>45186</v>
      </c>
      <c r="D846" t="inlineStr">
        <is>
          <t>SÖDERMANLANDS LÄN</t>
        </is>
      </c>
      <c r="E846" t="inlineStr">
        <is>
          <t>KATRINEHOLM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23053-2019</t>
        </is>
      </c>
      <c r="B847" s="1" t="n">
        <v>43591</v>
      </c>
      <c r="C847" s="1" t="n">
        <v>45186</v>
      </c>
      <c r="D847" t="inlineStr">
        <is>
          <t>SÖDERMANLANDS LÄN</t>
        </is>
      </c>
      <c r="E847" t="inlineStr">
        <is>
          <t>NYKÖPING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23265-2019</t>
        </is>
      </c>
      <c r="B848" s="1" t="n">
        <v>43591</v>
      </c>
      <c r="C848" s="1" t="n">
        <v>45186</v>
      </c>
      <c r="D848" t="inlineStr">
        <is>
          <t>SÖDERMANLANDS LÄN</t>
        </is>
      </c>
      <c r="E848" t="inlineStr">
        <is>
          <t>STRÄNGNÄS</t>
        </is>
      </c>
      <c r="G848" t="n">
        <v>12.7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22839-2019</t>
        </is>
      </c>
      <c r="B849" s="1" t="n">
        <v>43591</v>
      </c>
      <c r="C849" s="1" t="n">
        <v>45186</v>
      </c>
      <c r="D849" t="inlineStr">
        <is>
          <t>SÖDERMANLANDS LÄN</t>
        </is>
      </c>
      <c r="E849" t="inlineStr">
        <is>
          <t>KATRINEHOLM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23055-2019</t>
        </is>
      </c>
      <c r="B850" s="1" t="n">
        <v>43591</v>
      </c>
      <c r="C850" s="1" t="n">
        <v>45186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23244-2019</t>
        </is>
      </c>
      <c r="B851" s="1" t="n">
        <v>43592</v>
      </c>
      <c r="C851" s="1" t="n">
        <v>45186</v>
      </c>
      <c r="D851" t="inlineStr">
        <is>
          <t>SÖDERMANLANDS LÄN</t>
        </is>
      </c>
      <c r="E851" t="inlineStr">
        <is>
          <t>VINGÅKER</t>
        </is>
      </c>
      <c r="F851" t="inlineStr">
        <is>
          <t>Kyrkan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23267-2019</t>
        </is>
      </c>
      <c r="B852" s="1" t="n">
        <v>43592</v>
      </c>
      <c r="C852" s="1" t="n">
        <v>45186</v>
      </c>
      <c r="D852" t="inlineStr">
        <is>
          <t>SÖDERMANLANDS LÄN</t>
        </is>
      </c>
      <c r="E852" t="inlineStr">
        <is>
          <t>STRÄNGNÄS</t>
        </is>
      </c>
      <c r="G852" t="n">
        <v>12.1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23506-2019</t>
        </is>
      </c>
      <c r="B853" s="1" t="n">
        <v>43593</v>
      </c>
      <c r="C853" s="1" t="n">
        <v>45186</v>
      </c>
      <c r="D853" t="inlineStr">
        <is>
          <t>SÖDERMANLANDS LÄN</t>
        </is>
      </c>
      <c r="E853" t="inlineStr">
        <is>
          <t>GNESTA</t>
        </is>
      </c>
      <c r="G853" t="n">
        <v>7.7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23553-2019</t>
        </is>
      </c>
      <c r="B854" s="1" t="n">
        <v>43594</v>
      </c>
      <c r="C854" s="1" t="n">
        <v>45186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Sveaskog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23679-2019</t>
        </is>
      </c>
      <c r="B855" s="1" t="n">
        <v>43594</v>
      </c>
      <c r="C855" s="1" t="n">
        <v>45186</v>
      </c>
      <c r="D855" t="inlineStr">
        <is>
          <t>SÖDERMANLANDS LÄN</t>
        </is>
      </c>
      <c r="E855" t="inlineStr">
        <is>
          <t>KATRINEHOLM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23769-2019</t>
        </is>
      </c>
      <c r="B856" s="1" t="n">
        <v>43595</v>
      </c>
      <c r="C856" s="1" t="n">
        <v>45186</v>
      </c>
      <c r="D856" t="inlineStr">
        <is>
          <t>SÖDERMANLANDS LÄN</t>
        </is>
      </c>
      <c r="E856" t="inlineStr">
        <is>
          <t>ESKILSTUNA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24069-2019</t>
        </is>
      </c>
      <c r="B857" s="1" t="n">
        <v>43598</v>
      </c>
      <c r="C857" s="1" t="n">
        <v>45186</v>
      </c>
      <c r="D857" t="inlineStr">
        <is>
          <t>SÖDERMANLANDS LÄN</t>
        </is>
      </c>
      <c r="E857" t="inlineStr">
        <is>
          <t>NYKÖPING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24368-2019</t>
        </is>
      </c>
      <c r="B858" s="1" t="n">
        <v>43599</v>
      </c>
      <c r="C858" s="1" t="n">
        <v>45186</v>
      </c>
      <c r="D858" t="inlineStr">
        <is>
          <t>SÖDERMANLANDS LÄN</t>
        </is>
      </c>
      <c r="E858" t="inlineStr">
        <is>
          <t>NYKÖPING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24192-2019</t>
        </is>
      </c>
      <c r="B859" s="1" t="n">
        <v>43599</v>
      </c>
      <c r="C859" s="1" t="n">
        <v>45186</v>
      </c>
      <c r="D859" t="inlineStr">
        <is>
          <t>SÖDERMANLANDS LÄN</t>
        </is>
      </c>
      <c r="E859" t="inlineStr">
        <is>
          <t>KATRINEHOLM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24622-2019</t>
        </is>
      </c>
      <c r="B860" s="1" t="n">
        <v>43601</v>
      </c>
      <c r="C860" s="1" t="n">
        <v>45186</v>
      </c>
      <c r="D860" t="inlineStr">
        <is>
          <t>SÖDERMANLANDS LÄN</t>
        </is>
      </c>
      <c r="E860" t="inlineStr">
        <is>
          <t>NYKÖPING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24616-2019</t>
        </is>
      </c>
      <c r="B861" s="1" t="n">
        <v>43601</v>
      </c>
      <c r="C861" s="1" t="n">
        <v>45186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25195-2019</t>
        </is>
      </c>
      <c r="B862" s="1" t="n">
        <v>43605</v>
      </c>
      <c r="C862" s="1" t="n">
        <v>45186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Kommuner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25294-2019</t>
        </is>
      </c>
      <c r="B863" s="1" t="n">
        <v>43605</v>
      </c>
      <c r="C863" s="1" t="n">
        <v>45186</v>
      </c>
      <c r="D863" t="inlineStr">
        <is>
          <t>SÖDERMANLANDS LÄN</t>
        </is>
      </c>
      <c r="E863" t="inlineStr">
        <is>
          <t>GNESTA</t>
        </is>
      </c>
      <c r="F863" t="inlineStr">
        <is>
          <t>Kommuner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26460-2019</t>
        </is>
      </c>
      <c r="B864" s="1" t="n">
        <v>43606</v>
      </c>
      <c r="C864" s="1" t="n">
        <v>45186</v>
      </c>
      <c r="D864" t="inlineStr">
        <is>
          <t>SÖDERMANLANDS LÄN</t>
        </is>
      </c>
      <c r="E864" t="inlineStr">
        <is>
          <t>VINGÅKER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25570-2019</t>
        </is>
      </c>
      <c r="B865" s="1" t="n">
        <v>43607</v>
      </c>
      <c r="C865" s="1" t="n">
        <v>45186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Kyrkan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25807-2019</t>
        </is>
      </c>
      <c r="B866" s="1" t="n">
        <v>43608</v>
      </c>
      <c r="C866" s="1" t="n">
        <v>45186</v>
      </c>
      <c r="D866" t="inlineStr">
        <is>
          <t>SÖDERMANLANDS LÄN</t>
        </is>
      </c>
      <c r="E866" t="inlineStr">
        <is>
          <t>VINGÅKER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25936-2019</t>
        </is>
      </c>
      <c r="B867" s="1" t="n">
        <v>43608</v>
      </c>
      <c r="C867" s="1" t="n">
        <v>45186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25805-2019</t>
        </is>
      </c>
      <c r="B868" s="1" t="n">
        <v>43608</v>
      </c>
      <c r="C868" s="1" t="n">
        <v>45186</v>
      </c>
      <c r="D868" t="inlineStr">
        <is>
          <t>SÖDERMANLANDS LÄN</t>
        </is>
      </c>
      <c r="E868" t="inlineStr">
        <is>
          <t>VINGÅKER</t>
        </is>
      </c>
      <c r="G868" t="n">
        <v>6.6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26873-2019</t>
        </is>
      </c>
      <c r="B869" s="1" t="n">
        <v>43608</v>
      </c>
      <c r="C869" s="1" t="n">
        <v>45186</v>
      </c>
      <c r="D869" t="inlineStr">
        <is>
          <t>SÖDERMANLANDS LÄN</t>
        </is>
      </c>
      <c r="E869" t="inlineStr">
        <is>
          <t>VINGÅKER</t>
        </is>
      </c>
      <c r="G869" t="n">
        <v>5.4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25802-2019</t>
        </is>
      </c>
      <c r="B870" s="1" t="n">
        <v>43608</v>
      </c>
      <c r="C870" s="1" t="n">
        <v>45186</v>
      </c>
      <c r="D870" t="inlineStr">
        <is>
          <t>SÖDERMANLANDS LÄN</t>
        </is>
      </c>
      <c r="E870" t="inlineStr">
        <is>
          <t>VINGÅKER</t>
        </is>
      </c>
      <c r="G870" t="n">
        <v>20.2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26542-2019</t>
        </is>
      </c>
      <c r="B871" s="1" t="n">
        <v>43612</v>
      </c>
      <c r="C871" s="1" t="n">
        <v>45186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26339-2019</t>
        </is>
      </c>
      <c r="B872" s="1" t="n">
        <v>43612</v>
      </c>
      <c r="C872" s="1" t="n">
        <v>45186</v>
      </c>
      <c r="D872" t="inlineStr">
        <is>
          <t>SÖDERMANLANDS LÄN</t>
        </is>
      </c>
      <c r="E872" t="inlineStr">
        <is>
          <t>KATRINEHOLM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26532-2019</t>
        </is>
      </c>
      <c r="B873" s="1" t="n">
        <v>43612</v>
      </c>
      <c r="C873" s="1" t="n">
        <v>45186</v>
      </c>
      <c r="D873" t="inlineStr">
        <is>
          <t>SÖDERMANLANDS LÄN</t>
        </is>
      </c>
      <c r="E873" t="inlineStr">
        <is>
          <t>KATRINEHOLM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27951-2019</t>
        </is>
      </c>
      <c r="B874" s="1" t="n">
        <v>43612</v>
      </c>
      <c r="C874" s="1" t="n">
        <v>45186</v>
      </c>
      <c r="D874" t="inlineStr">
        <is>
          <t>SÖDERMANLANDS LÄN</t>
        </is>
      </c>
      <c r="E874" t="inlineStr">
        <is>
          <t>STRÄNGNÄS</t>
        </is>
      </c>
      <c r="G874" t="n">
        <v>4.9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26848-2019</t>
        </is>
      </c>
      <c r="B875" s="1" t="n">
        <v>43613</v>
      </c>
      <c r="C875" s="1" t="n">
        <v>45186</v>
      </c>
      <c r="D875" t="inlineStr">
        <is>
          <t>SÖDERMANLANDS LÄN</t>
        </is>
      </c>
      <c r="E875" t="inlineStr">
        <is>
          <t>VINGÅKER</t>
        </is>
      </c>
      <c r="F875" t="inlineStr">
        <is>
          <t>Kyrkan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28673-2019</t>
        </is>
      </c>
      <c r="B876" s="1" t="n">
        <v>43614</v>
      </c>
      <c r="C876" s="1" t="n">
        <v>45186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Allmännings- och besparingsskogar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27151-2019</t>
        </is>
      </c>
      <c r="B877" s="1" t="n">
        <v>43614</v>
      </c>
      <c r="C877" s="1" t="n">
        <v>45186</v>
      </c>
      <c r="D877" t="inlineStr">
        <is>
          <t>SÖDERMANLANDS LÄN</t>
        </is>
      </c>
      <c r="E877" t="inlineStr">
        <is>
          <t>ESKILSTUNA</t>
        </is>
      </c>
      <c r="F877" t="inlineStr">
        <is>
          <t>Allmännings- och besparingsskogar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28911-2019</t>
        </is>
      </c>
      <c r="B878" s="1" t="n">
        <v>43616</v>
      </c>
      <c r="C878" s="1" t="n">
        <v>45186</v>
      </c>
      <c r="D878" t="inlineStr">
        <is>
          <t>SÖDERMANLANDS LÄN</t>
        </is>
      </c>
      <c r="E878" t="inlineStr">
        <is>
          <t>FLEN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27545-2019</t>
        </is>
      </c>
      <c r="B879" s="1" t="n">
        <v>43619</v>
      </c>
      <c r="C879" s="1" t="n">
        <v>45186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Sveaskog</t>
        </is>
      </c>
      <c r="G879" t="n">
        <v>6.1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27620-2019</t>
        </is>
      </c>
      <c r="B880" s="1" t="n">
        <v>43619</v>
      </c>
      <c r="C880" s="1" t="n">
        <v>45186</v>
      </c>
      <c r="D880" t="inlineStr">
        <is>
          <t>SÖDERMANLANDS LÄN</t>
        </is>
      </c>
      <c r="E880" t="inlineStr">
        <is>
          <t>ESKILSTUNA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28025-2019</t>
        </is>
      </c>
      <c r="B881" s="1" t="n">
        <v>43621</v>
      </c>
      <c r="C881" s="1" t="n">
        <v>45186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28058-2019</t>
        </is>
      </c>
      <c r="B882" s="1" t="n">
        <v>43621</v>
      </c>
      <c r="C882" s="1" t="n">
        <v>45186</v>
      </c>
      <c r="D882" t="inlineStr">
        <is>
          <t>SÖDERMANLANDS LÄN</t>
        </is>
      </c>
      <c r="E882" t="inlineStr">
        <is>
          <t>FLEN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28029-2019</t>
        </is>
      </c>
      <c r="B883" s="1" t="n">
        <v>43621</v>
      </c>
      <c r="C883" s="1" t="n">
        <v>45186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28035-2019</t>
        </is>
      </c>
      <c r="B884" s="1" t="n">
        <v>43621</v>
      </c>
      <c r="C884" s="1" t="n">
        <v>45186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29433-2019</t>
        </is>
      </c>
      <c r="B885" s="1" t="n">
        <v>43623</v>
      </c>
      <c r="C885" s="1" t="n">
        <v>45186</v>
      </c>
      <c r="D885" t="inlineStr">
        <is>
          <t>SÖDERMANLANDS LÄN</t>
        </is>
      </c>
      <c r="E885" t="inlineStr">
        <is>
          <t>KATRINEHOLM</t>
        </is>
      </c>
      <c r="G885" t="n">
        <v>16.7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28568-2019</t>
        </is>
      </c>
      <c r="B886" s="1" t="n">
        <v>43626</v>
      </c>
      <c r="C886" s="1" t="n">
        <v>45186</v>
      </c>
      <c r="D886" t="inlineStr">
        <is>
          <t>SÖDERMANLANDS LÄN</t>
        </is>
      </c>
      <c r="E886" t="inlineStr">
        <is>
          <t>NYKÖPING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28401-2019</t>
        </is>
      </c>
      <c r="B887" s="1" t="n">
        <v>43626</v>
      </c>
      <c r="C887" s="1" t="n">
        <v>45186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28405-2019</t>
        </is>
      </c>
      <c r="B888" s="1" t="n">
        <v>43626</v>
      </c>
      <c r="C888" s="1" t="n">
        <v>45186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28400-2019</t>
        </is>
      </c>
      <c r="B889" s="1" t="n">
        <v>43626</v>
      </c>
      <c r="C889" s="1" t="n">
        <v>45186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28404-2019</t>
        </is>
      </c>
      <c r="B890" s="1" t="n">
        <v>43626</v>
      </c>
      <c r="C890" s="1" t="n">
        <v>45186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28511-2019</t>
        </is>
      </c>
      <c r="B891" s="1" t="n">
        <v>43626</v>
      </c>
      <c r="C891" s="1" t="n">
        <v>45186</v>
      </c>
      <c r="D891" t="inlineStr">
        <is>
          <t>SÖDERMANLANDS LÄN</t>
        </is>
      </c>
      <c r="E891" t="inlineStr">
        <is>
          <t>VINGÅKER</t>
        </is>
      </c>
      <c r="G891" t="n">
        <v>9.699999999999999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28402-2019</t>
        </is>
      </c>
      <c r="B892" s="1" t="n">
        <v>43626</v>
      </c>
      <c r="C892" s="1" t="n">
        <v>45186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28567-2019</t>
        </is>
      </c>
      <c r="B893" s="1" t="n">
        <v>43626</v>
      </c>
      <c r="C893" s="1" t="n">
        <v>45186</v>
      </c>
      <c r="D893" t="inlineStr">
        <is>
          <t>SÖDERMANLANDS LÄN</t>
        </is>
      </c>
      <c r="E893" t="inlineStr">
        <is>
          <t>NYKÖPING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28719-2019</t>
        </is>
      </c>
      <c r="B894" s="1" t="n">
        <v>43627</v>
      </c>
      <c r="C894" s="1" t="n">
        <v>45186</v>
      </c>
      <c r="D894" t="inlineStr">
        <is>
          <t>SÖDERMANLANDS LÄN</t>
        </is>
      </c>
      <c r="E894" t="inlineStr">
        <is>
          <t>NYKÖPING</t>
        </is>
      </c>
      <c r="G894" t="n">
        <v>14.7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28982-2019</t>
        </is>
      </c>
      <c r="B895" s="1" t="n">
        <v>43628</v>
      </c>
      <c r="C895" s="1" t="n">
        <v>45186</v>
      </c>
      <c r="D895" t="inlineStr">
        <is>
          <t>SÖDERMANLANDS LÄN</t>
        </is>
      </c>
      <c r="E895" t="inlineStr">
        <is>
          <t>STRÄNGNÄS</t>
        </is>
      </c>
      <c r="F895" t="inlineStr">
        <is>
          <t>Övriga Aktiebolag</t>
        </is>
      </c>
      <c r="G895" t="n">
        <v>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29084-2019</t>
        </is>
      </c>
      <c r="B896" s="1" t="n">
        <v>43628</v>
      </c>
      <c r="C896" s="1" t="n">
        <v>45186</v>
      </c>
      <c r="D896" t="inlineStr">
        <is>
          <t>SÖDERMANLANDS LÄN</t>
        </is>
      </c>
      <c r="E896" t="inlineStr">
        <is>
          <t>ESKILSTUNA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29125-2019</t>
        </is>
      </c>
      <c r="B897" s="1" t="n">
        <v>43628</v>
      </c>
      <c r="C897" s="1" t="n">
        <v>45186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29449-2019</t>
        </is>
      </c>
      <c r="B898" s="1" t="n">
        <v>43629</v>
      </c>
      <c r="C898" s="1" t="n">
        <v>45186</v>
      </c>
      <c r="D898" t="inlineStr">
        <is>
          <t>SÖDERMANLANDS LÄN</t>
        </is>
      </c>
      <c r="E898" t="inlineStr">
        <is>
          <t>ESKILSTUNA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29235-2019</t>
        </is>
      </c>
      <c r="B899" s="1" t="n">
        <v>43629</v>
      </c>
      <c r="C899" s="1" t="n">
        <v>45186</v>
      </c>
      <c r="D899" t="inlineStr">
        <is>
          <t>SÖDERMANLANDS LÄN</t>
        </is>
      </c>
      <c r="E899" t="inlineStr">
        <is>
          <t>ESKILSTUNA</t>
        </is>
      </c>
      <c r="F899" t="inlineStr">
        <is>
          <t>Sveaskog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29258-2019</t>
        </is>
      </c>
      <c r="B900" s="1" t="n">
        <v>43629</v>
      </c>
      <c r="C900" s="1" t="n">
        <v>45186</v>
      </c>
      <c r="D900" t="inlineStr">
        <is>
          <t>SÖDERMANLANDS LÄN</t>
        </is>
      </c>
      <c r="E900" t="inlineStr">
        <is>
          <t>VINGÅKER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30025-2019</t>
        </is>
      </c>
      <c r="B901" s="1" t="n">
        <v>43630</v>
      </c>
      <c r="C901" s="1" t="n">
        <v>45186</v>
      </c>
      <c r="D901" t="inlineStr">
        <is>
          <t>SÖDERMANLANDS LÄN</t>
        </is>
      </c>
      <c r="E901" t="inlineStr">
        <is>
          <t>NYKÖPING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29977-2019</t>
        </is>
      </c>
      <c r="B902" s="1" t="n">
        <v>43630</v>
      </c>
      <c r="C902" s="1" t="n">
        <v>45186</v>
      </c>
      <c r="D902" t="inlineStr">
        <is>
          <t>SÖDERMANLANDS LÄN</t>
        </is>
      </c>
      <c r="E902" t="inlineStr">
        <is>
          <t>FLEN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30604-2019</t>
        </is>
      </c>
      <c r="B903" s="1" t="n">
        <v>43635</v>
      </c>
      <c r="C903" s="1" t="n">
        <v>45186</v>
      </c>
      <c r="D903" t="inlineStr">
        <is>
          <t>SÖDERMANLANDS LÄN</t>
        </is>
      </c>
      <c r="E903" t="inlineStr">
        <is>
          <t>KATRINEHOLM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30492-2019</t>
        </is>
      </c>
      <c r="B904" s="1" t="n">
        <v>43635</v>
      </c>
      <c r="C904" s="1" t="n">
        <v>45186</v>
      </c>
      <c r="D904" t="inlineStr">
        <is>
          <t>SÖDERMANLANDS LÄN</t>
        </is>
      </c>
      <c r="E904" t="inlineStr">
        <is>
          <t>FLEN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30646-2019</t>
        </is>
      </c>
      <c r="B905" s="1" t="n">
        <v>43636</v>
      </c>
      <c r="C905" s="1" t="n">
        <v>45186</v>
      </c>
      <c r="D905" t="inlineStr">
        <is>
          <t>SÖDERMANLANDS LÄN</t>
        </is>
      </c>
      <c r="E905" t="inlineStr">
        <is>
          <t>STRÄNGNÄS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30669-2019</t>
        </is>
      </c>
      <c r="B906" s="1" t="n">
        <v>43636</v>
      </c>
      <c r="C906" s="1" t="n">
        <v>45186</v>
      </c>
      <c r="D906" t="inlineStr">
        <is>
          <t>SÖDERMANLANDS LÄN</t>
        </is>
      </c>
      <c r="E906" t="inlineStr">
        <is>
          <t>STRÄNGNÄS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30872-2019</t>
        </is>
      </c>
      <c r="B907" s="1" t="n">
        <v>43636</v>
      </c>
      <c r="C907" s="1" t="n">
        <v>45186</v>
      </c>
      <c r="D907" t="inlineStr">
        <is>
          <t>SÖDERMANLANDS LÄN</t>
        </is>
      </c>
      <c r="E907" t="inlineStr">
        <is>
          <t>FLEN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30692-2019</t>
        </is>
      </c>
      <c r="B908" s="1" t="n">
        <v>43636</v>
      </c>
      <c r="C908" s="1" t="n">
        <v>45186</v>
      </c>
      <c r="D908" t="inlineStr">
        <is>
          <t>SÖDERMANLANDS LÄN</t>
        </is>
      </c>
      <c r="E908" t="inlineStr">
        <is>
          <t>STRÄNGNÄS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31388-2019</t>
        </is>
      </c>
      <c r="B909" s="1" t="n">
        <v>43636</v>
      </c>
      <c r="C909" s="1" t="n">
        <v>45186</v>
      </c>
      <c r="D909" t="inlineStr">
        <is>
          <t>SÖDERMANLANDS LÄN</t>
        </is>
      </c>
      <c r="E909" t="inlineStr">
        <is>
          <t>STRÄNGNÄS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31835-2019</t>
        </is>
      </c>
      <c r="B910" s="1" t="n">
        <v>43640</v>
      </c>
      <c r="C910" s="1" t="n">
        <v>45186</v>
      </c>
      <c r="D910" t="inlineStr">
        <is>
          <t>SÖDERMANLANDS LÄN</t>
        </is>
      </c>
      <c r="E910" t="inlineStr">
        <is>
          <t>VINGÅKER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31492-2019</t>
        </is>
      </c>
      <c r="B911" s="1" t="n">
        <v>43640</v>
      </c>
      <c r="C911" s="1" t="n">
        <v>45186</v>
      </c>
      <c r="D911" t="inlineStr">
        <is>
          <t>SÖDERMANLANDS LÄN</t>
        </is>
      </c>
      <c r="E911" t="inlineStr">
        <is>
          <t>ESKILSTUNA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31832-2019</t>
        </is>
      </c>
      <c r="B912" s="1" t="n">
        <v>43640</v>
      </c>
      <c r="C912" s="1" t="n">
        <v>45186</v>
      </c>
      <c r="D912" t="inlineStr">
        <is>
          <t>SÖDERMANLANDS LÄN</t>
        </is>
      </c>
      <c r="E912" t="inlineStr">
        <is>
          <t>VINGÅKER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30982-2019</t>
        </is>
      </c>
      <c r="B913" s="1" t="n">
        <v>43640</v>
      </c>
      <c r="C913" s="1" t="n">
        <v>45186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31818-2019</t>
        </is>
      </c>
      <c r="B914" s="1" t="n">
        <v>43640</v>
      </c>
      <c r="C914" s="1" t="n">
        <v>45186</v>
      </c>
      <c r="D914" t="inlineStr">
        <is>
          <t>SÖDERMANLANDS LÄN</t>
        </is>
      </c>
      <c r="E914" t="inlineStr">
        <is>
          <t>VINGÅKER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32196-2019</t>
        </is>
      </c>
      <c r="B915" s="1" t="n">
        <v>43643</v>
      </c>
      <c r="C915" s="1" t="n">
        <v>45186</v>
      </c>
      <c r="D915" t="inlineStr">
        <is>
          <t>SÖDERMANLANDS LÄN</t>
        </is>
      </c>
      <c r="E915" t="inlineStr">
        <is>
          <t>STRÄNGNÄS</t>
        </is>
      </c>
      <c r="F915" t="inlineStr">
        <is>
          <t>Övriga Aktiebolag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32047-2019</t>
        </is>
      </c>
      <c r="B916" s="1" t="n">
        <v>43643</v>
      </c>
      <c r="C916" s="1" t="n">
        <v>45186</v>
      </c>
      <c r="D916" t="inlineStr">
        <is>
          <t>SÖDERMANLANDS LÄN</t>
        </is>
      </c>
      <c r="E916" t="inlineStr">
        <is>
          <t>ESKILSTUNA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32804-2019</t>
        </is>
      </c>
      <c r="B917" s="1" t="n">
        <v>43643</v>
      </c>
      <c r="C917" s="1" t="n">
        <v>45186</v>
      </c>
      <c r="D917" t="inlineStr">
        <is>
          <t>SÖDERMANLANDS LÄN</t>
        </is>
      </c>
      <c r="E917" t="inlineStr">
        <is>
          <t>NYKÖPING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32070-2019</t>
        </is>
      </c>
      <c r="B918" s="1" t="n">
        <v>43643</v>
      </c>
      <c r="C918" s="1" t="n">
        <v>45186</v>
      </c>
      <c r="D918" t="inlineStr">
        <is>
          <t>SÖDERMANLANDS LÄN</t>
        </is>
      </c>
      <c r="E918" t="inlineStr">
        <is>
          <t>FLEN</t>
        </is>
      </c>
      <c r="G918" t="n">
        <v>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32189-2019</t>
        </is>
      </c>
      <c r="B919" s="1" t="n">
        <v>43643</v>
      </c>
      <c r="C919" s="1" t="n">
        <v>45186</v>
      </c>
      <c r="D919" t="inlineStr">
        <is>
          <t>SÖDERMANLANDS LÄN</t>
        </is>
      </c>
      <c r="E919" t="inlineStr">
        <is>
          <t>TROSA</t>
        </is>
      </c>
      <c r="G919" t="n">
        <v>17.1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32926-2019</t>
        </is>
      </c>
      <c r="B920" s="1" t="n">
        <v>43643</v>
      </c>
      <c r="C920" s="1" t="n">
        <v>45186</v>
      </c>
      <c r="D920" t="inlineStr">
        <is>
          <t>SÖDERMANLANDS LÄN</t>
        </is>
      </c>
      <c r="E920" t="inlineStr">
        <is>
          <t>NYKÖPING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32194-2019</t>
        </is>
      </c>
      <c r="B921" s="1" t="n">
        <v>43643</v>
      </c>
      <c r="C921" s="1" t="n">
        <v>45186</v>
      </c>
      <c r="D921" t="inlineStr">
        <is>
          <t>SÖDERMANLANDS LÄN</t>
        </is>
      </c>
      <c r="E921" t="inlineStr">
        <is>
          <t>KATRINEHOLM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32889-2019</t>
        </is>
      </c>
      <c r="B922" s="1" t="n">
        <v>43643</v>
      </c>
      <c r="C922" s="1" t="n">
        <v>45186</v>
      </c>
      <c r="D922" t="inlineStr">
        <is>
          <t>SÖDERMANLANDS LÄN</t>
        </is>
      </c>
      <c r="E922" t="inlineStr">
        <is>
          <t>FLEN</t>
        </is>
      </c>
      <c r="G922" t="n">
        <v>16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32931-2019</t>
        </is>
      </c>
      <c r="B923" s="1" t="n">
        <v>43643</v>
      </c>
      <c r="C923" s="1" t="n">
        <v>45186</v>
      </c>
      <c r="D923" t="inlineStr">
        <is>
          <t>SÖDERMANLANDS LÄN</t>
        </is>
      </c>
      <c r="E923" t="inlineStr">
        <is>
          <t>NYKÖPING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34203-2019</t>
        </is>
      </c>
      <c r="B924" s="1" t="n">
        <v>43644</v>
      </c>
      <c r="C924" s="1" t="n">
        <v>45186</v>
      </c>
      <c r="D924" t="inlineStr">
        <is>
          <t>SÖDERMANLANDS LÄN</t>
        </is>
      </c>
      <c r="E924" t="inlineStr">
        <is>
          <t>STRÄNGNÄS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34199-2019</t>
        </is>
      </c>
      <c r="B925" s="1" t="n">
        <v>43644</v>
      </c>
      <c r="C925" s="1" t="n">
        <v>45186</v>
      </c>
      <c r="D925" t="inlineStr">
        <is>
          <t>SÖDERMANLANDS LÄN</t>
        </is>
      </c>
      <c r="E925" t="inlineStr">
        <is>
          <t>STRÄNGNÄS</t>
        </is>
      </c>
      <c r="G925" t="n">
        <v>7.6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32353-2019</t>
        </is>
      </c>
      <c r="B926" s="1" t="n">
        <v>43644</v>
      </c>
      <c r="C926" s="1" t="n">
        <v>45186</v>
      </c>
      <c r="D926" t="inlineStr">
        <is>
          <t>SÖDERMANLANDS LÄN</t>
        </is>
      </c>
      <c r="E926" t="inlineStr">
        <is>
          <t>NYKÖPING</t>
        </is>
      </c>
      <c r="G926" t="n">
        <v>10.2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34148-2019</t>
        </is>
      </c>
      <c r="B927" s="1" t="n">
        <v>43644</v>
      </c>
      <c r="C927" s="1" t="n">
        <v>45186</v>
      </c>
      <c r="D927" t="inlineStr">
        <is>
          <t>SÖDERMANLANDS LÄN</t>
        </is>
      </c>
      <c r="E927" t="inlineStr">
        <is>
          <t>STRÄNGNÄS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32555-2019</t>
        </is>
      </c>
      <c r="B928" s="1" t="n">
        <v>43645</v>
      </c>
      <c r="C928" s="1" t="n">
        <v>45186</v>
      </c>
      <c r="D928" t="inlineStr">
        <is>
          <t>SÖDERMANLANDS LÄN</t>
        </is>
      </c>
      <c r="E928" t="inlineStr">
        <is>
          <t>KATRINEHOLM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32789-2019</t>
        </is>
      </c>
      <c r="B929" s="1" t="n">
        <v>43648</v>
      </c>
      <c r="C929" s="1" t="n">
        <v>45186</v>
      </c>
      <c r="D929" t="inlineStr">
        <is>
          <t>SÖDERMANLANDS LÄN</t>
        </is>
      </c>
      <c r="E929" t="inlineStr">
        <is>
          <t>VINGÅKER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32870-2019</t>
        </is>
      </c>
      <c r="B930" s="1" t="n">
        <v>43648</v>
      </c>
      <c r="C930" s="1" t="n">
        <v>45186</v>
      </c>
      <c r="D930" t="inlineStr">
        <is>
          <t>SÖDERMANLANDS LÄN</t>
        </is>
      </c>
      <c r="E930" t="inlineStr">
        <is>
          <t>STRÄNGNÄS</t>
        </is>
      </c>
      <c r="F930" t="inlineStr">
        <is>
          <t>Övriga Aktiebolag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33000-2019</t>
        </is>
      </c>
      <c r="B931" s="1" t="n">
        <v>43649</v>
      </c>
      <c r="C931" s="1" t="n">
        <v>45186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8.1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33074-2019</t>
        </is>
      </c>
      <c r="B932" s="1" t="n">
        <v>43649</v>
      </c>
      <c r="C932" s="1" t="n">
        <v>45186</v>
      </c>
      <c r="D932" t="inlineStr">
        <is>
          <t>SÖDERMANLANDS LÄN</t>
        </is>
      </c>
      <c r="E932" t="inlineStr">
        <is>
          <t>STRÄNGNÄS</t>
        </is>
      </c>
      <c r="G932" t="n">
        <v>4.1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33113-2019</t>
        </is>
      </c>
      <c r="B933" s="1" t="n">
        <v>43649</v>
      </c>
      <c r="C933" s="1" t="n">
        <v>45186</v>
      </c>
      <c r="D933" t="inlineStr">
        <is>
          <t>SÖDERMANLANDS LÄN</t>
        </is>
      </c>
      <c r="E933" t="inlineStr">
        <is>
          <t>STRÄNGNÄS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33397-2019</t>
        </is>
      </c>
      <c r="B934" s="1" t="n">
        <v>43650</v>
      </c>
      <c r="C934" s="1" t="n">
        <v>45186</v>
      </c>
      <c r="D934" t="inlineStr">
        <is>
          <t>SÖDERMANLANDS LÄN</t>
        </is>
      </c>
      <c r="E934" t="inlineStr">
        <is>
          <t>TROSA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34856-2019</t>
        </is>
      </c>
      <c r="B935" s="1" t="n">
        <v>43650</v>
      </c>
      <c r="C935" s="1" t="n">
        <v>45186</v>
      </c>
      <c r="D935" t="inlineStr">
        <is>
          <t>SÖDERMANLANDS LÄN</t>
        </is>
      </c>
      <c r="E935" t="inlineStr">
        <is>
          <t>KATRINEHOLM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33315-2019</t>
        </is>
      </c>
      <c r="B936" s="1" t="n">
        <v>43650</v>
      </c>
      <c r="C936" s="1" t="n">
        <v>45186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33364-2019</t>
        </is>
      </c>
      <c r="B937" s="1" t="n">
        <v>43650</v>
      </c>
      <c r="C937" s="1" t="n">
        <v>45186</v>
      </c>
      <c r="D937" t="inlineStr">
        <is>
          <t>SÖDERMANLANDS LÄN</t>
        </is>
      </c>
      <c r="E937" t="inlineStr">
        <is>
          <t>NYKÖPING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33490-2019</t>
        </is>
      </c>
      <c r="B938" s="1" t="n">
        <v>43651</v>
      </c>
      <c r="C938" s="1" t="n">
        <v>45186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33819-2019</t>
        </is>
      </c>
      <c r="B939" s="1" t="n">
        <v>43651</v>
      </c>
      <c r="C939" s="1" t="n">
        <v>45186</v>
      </c>
      <c r="D939" t="inlineStr">
        <is>
          <t>SÖDERMANLANDS LÄN</t>
        </is>
      </c>
      <c r="E939" t="inlineStr">
        <is>
          <t>VINGÅKER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33804-2019</t>
        </is>
      </c>
      <c r="B940" s="1" t="n">
        <v>43651</v>
      </c>
      <c r="C940" s="1" t="n">
        <v>45186</v>
      </c>
      <c r="D940" t="inlineStr">
        <is>
          <t>SÖDERMANLANDS LÄN</t>
        </is>
      </c>
      <c r="E940" t="inlineStr">
        <is>
          <t>STRÄNGNÄS</t>
        </is>
      </c>
      <c r="F940" t="inlineStr">
        <is>
          <t>Allmännings- och besparingsskogar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33488-2019</t>
        </is>
      </c>
      <c r="B941" s="1" t="n">
        <v>43651</v>
      </c>
      <c r="C941" s="1" t="n">
        <v>45186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20.1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33760-2019</t>
        </is>
      </c>
      <c r="B942" s="1" t="n">
        <v>43651</v>
      </c>
      <c r="C942" s="1" t="n">
        <v>45186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15.1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33489-2019</t>
        </is>
      </c>
      <c r="B943" s="1" t="n">
        <v>43651</v>
      </c>
      <c r="C943" s="1" t="n">
        <v>45186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35468-2019</t>
        </is>
      </c>
      <c r="B944" s="1" t="n">
        <v>43651</v>
      </c>
      <c r="C944" s="1" t="n">
        <v>45186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Kommuner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33968-2019</t>
        </is>
      </c>
      <c r="B945" s="1" t="n">
        <v>43654</v>
      </c>
      <c r="C945" s="1" t="n">
        <v>45186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Kyrkan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35428-2019</t>
        </is>
      </c>
      <c r="B946" s="1" t="n">
        <v>43654</v>
      </c>
      <c r="C946" s="1" t="n">
        <v>45186</v>
      </c>
      <c r="D946" t="inlineStr">
        <is>
          <t>SÖDERMANLANDS LÄN</t>
        </is>
      </c>
      <c r="E946" t="inlineStr">
        <is>
          <t>KATRINEHOLM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35583-2019</t>
        </is>
      </c>
      <c r="B947" s="1" t="n">
        <v>43655</v>
      </c>
      <c r="C947" s="1" t="n">
        <v>45186</v>
      </c>
      <c r="D947" t="inlineStr">
        <is>
          <t>SÖDERMANLANDS LÄN</t>
        </is>
      </c>
      <c r="E947" t="inlineStr">
        <is>
          <t>FLEN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34226-2019</t>
        </is>
      </c>
      <c r="B948" s="1" t="n">
        <v>43655</v>
      </c>
      <c r="C948" s="1" t="n">
        <v>45186</v>
      </c>
      <c r="D948" t="inlineStr">
        <is>
          <t>SÖDERMANLANDS LÄN</t>
        </is>
      </c>
      <c r="E948" t="inlineStr">
        <is>
          <t>VINGÅKER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35802-2019</t>
        </is>
      </c>
      <c r="B949" s="1" t="n">
        <v>43656</v>
      </c>
      <c r="C949" s="1" t="n">
        <v>45186</v>
      </c>
      <c r="D949" t="inlineStr">
        <is>
          <t>SÖDERMANLANDS LÄN</t>
        </is>
      </c>
      <c r="E949" t="inlineStr">
        <is>
          <t>VINGÅKER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35796-2019</t>
        </is>
      </c>
      <c r="B950" s="1" t="n">
        <v>43656</v>
      </c>
      <c r="C950" s="1" t="n">
        <v>45186</v>
      </c>
      <c r="D950" t="inlineStr">
        <is>
          <t>SÖDERMANLANDS LÄN</t>
        </is>
      </c>
      <c r="E950" t="inlineStr">
        <is>
          <t>VINGÅKER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35864-2019</t>
        </is>
      </c>
      <c r="B951" s="1" t="n">
        <v>43656</v>
      </c>
      <c r="C951" s="1" t="n">
        <v>45186</v>
      </c>
      <c r="D951" t="inlineStr">
        <is>
          <t>SÖDERMANLANDS LÄN</t>
        </is>
      </c>
      <c r="E951" t="inlineStr">
        <is>
          <t>ESKILSTUNA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34606-2019</t>
        </is>
      </c>
      <c r="B952" s="1" t="n">
        <v>43657</v>
      </c>
      <c r="C952" s="1" t="n">
        <v>45186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Kommuner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34988-2019</t>
        </is>
      </c>
      <c r="B953" s="1" t="n">
        <v>43659</v>
      </c>
      <c r="C953" s="1" t="n">
        <v>45186</v>
      </c>
      <c r="D953" t="inlineStr">
        <is>
          <t>SÖDERMANLANDS LÄN</t>
        </is>
      </c>
      <c r="E953" t="inlineStr">
        <is>
          <t>FLEN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36250-2019</t>
        </is>
      </c>
      <c r="B954" s="1" t="n">
        <v>43660</v>
      </c>
      <c r="C954" s="1" t="n">
        <v>45186</v>
      </c>
      <c r="D954" t="inlineStr">
        <is>
          <t>SÖDERMANLANDS LÄN</t>
        </is>
      </c>
      <c r="E954" t="inlineStr">
        <is>
          <t>KATRINEHOLM</t>
        </is>
      </c>
      <c r="G954" t="n">
        <v>5.4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36280-2019</t>
        </is>
      </c>
      <c r="B955" s="1" t="n">
        <v>43661</v>
      </c>
      <c r="C955" s="1" t="n">
        <v>45186</v>
      </c>
      <c r="D955" t="inlineStr">
        <is>
          <t>SÖDERMANLANDS LÄN</t>
        </is>
      </c>
      <c r="E955" t="inlineStr">
        <is>
          <t>KATRINEHOLM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35086-2019</t>
        </is>
      </c>
      <c r="B956" s="1" t="n">
        <v>43661</v>
      </c>
      <c r="C956" s="1" t="n">
        <v>45186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35145-2019</t>
        </is>
      </c>
      <c r="B957" s="1" t="n">
        <v>43661</v>
      </c>
      <c r="C957" s="1" t="n">
        <v>45186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35182-2019</t>
        </is>
      </c>
      <c r="B958" s="1" t="n">
        <v>43661</v>
      </c>
      <c r="C958" s="1" t="n">
        <v>45186</v>
      </c>
      <c r="D958" t="inlineStr">
        <is>
          <t>SÖDERMANLANDS LÄN</t>
        </is>
      </c>
      <c r="E958" t="inlineStr">
        <is>
          <t>FLEN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35061-2019</t>
        </is>
      </c>
      <c r="B959" s="1" t="n">
        <v>43661</v>
      </c>
      <c r="C959" s="1" t="n">
        <v>45186</v>
      </c>
      <c r="D959" t="inlineStr">
        <is>
          <t>SÖDERMANLANDS LÄN</t>
        </is>
      </c>
      <c r="E959" t="inlineStr">
        <is>
          <t>GNESTA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35155-2019</t>
        </is>
      </c>
      <c r="B960" s="1" t="n">
        <v>43661</v>
      </c>
      <c r="C960" s="1" t="n">
        <v>45186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35052-2019</t>
        </is>
      </c>
      <c r="B961" s="1" t="n">
        <v>43661</v>
      </c>
      <c r="C961" s="1" t="n">
        <v>45186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35140-2019</t>
        </is>
      </c>
      <c r="B962" s="1" t="n">
        <v>43661</v>
      </c>
      <c r="C962" s="1" t="n">
        <v>45186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36279-2019</t>
        </is>
      </c>
      <c r="B963" s="1" t="n">
        <v>43661</v>
      </c>
      <c r="C963" s="1" t="n">
        <v>45186</v>
      </c>
      <c r="D963" t="inlineStr">
        <is>
          <t>SÖDERMANLANDS LÄN</t>
        </is>
      </c>
      <c r="E963" t="inlineStr">
        <is>
          <t>KATRINEHOLM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35293-2019</t>
        </is>
      </c>
      <c r="B964" s="1" t="n">
        <v>43662</v>
      </c>
      <c r="C964" s="1" t="n">
        <v>45186</v>
      </c>
      <c r="D964" t="inlineStr">
        <is>
          <t>SÖDERMANLANDS LÄN</t>
        </is>
      </c>
      <c r="E964" t="inlineStr">
        <is>
          <t>ESKILSTUNA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35432-2019</t>
        </is>
      </c>
      <c r="B965" s="1" t="n">
        <v>43663</v>
      </c>
      <c r="C965" s="1" t="n">
        <v>45186</v>
      </c>
      <c r="D965" t="inlineStr">
        <is>
          <t>SÖDERMANLANDS LÄN</t>
        </is>
      </c>
      <c r="E965" t="inlineStr">
        <is>
          <t>KATRINEHOLM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35702-2019</t>
        </is>
      </c>
      <c r="B966" s="1" t="n">
        <v>43664</v>
      </c>
      <c r="C966" s="1" t="n">
        <v>45186</v>
      </c>
      <c r="D966" t="inlineStr">
        <is>
          <t>SÖDERMANLANDS LÄN</t>
        </is>
      </c>
      <c r="E966" t="inlineStr">
        <is>
          <t>FLEN</t>
        </is>
      </c>
      <c r="G966" t="n">
        <v>4.9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35590-2019</t>
        </is>
      </c>
      <c r="B967" s="1" t="n">
        <v>43664</v>
      </c>
      <c r="C967" s="1" t="n">
        <v>45186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36449-2019</t>
        </is>
      </c>
      <c r="B968" s="1" t="n">
        <v>43664</v>
      </c>
      <c r="C968" s="1" t="n">
        <v>45186</v>
      </c>
      <c r="D968" t="inlineStr">
        <is>
          <t>SÖDERMANLANDS LÄN</t>
        </is>
      </c>
      <c r="E968" t="inlineStr">
        <is>
          <t>STRÄNGNÄS</t>
        </is>
      </c>
      <c r="G968" t="n">
        <v>12.2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36478-2019</t>
        </is>
      </c>
      <c r="B969" s="1" t="n">
        <v>43664</v>
      </c>
      <c r="C969" s="1" t="n">
        <v>45186</v>
      </c>
      <c r="D969" t="inlineStr">
        <is>
          <t>SÖDERMANLANDS LÄN</t>
        </is>
      </c>
      <c r="E969" t="inlineStr">
        <is>
          <t>ESKILSTUNA</t>
        </is>
      </c>
      <c r="G969" t="n">
        <v>16.6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35773-2019</t>
        </is>
      </c>
      <c r="B970" s="1" t="n">
        <v>43665</v>
      </c>
      <c r="C970" s="1" t="n">
        <v>45186</v>
      </c>
      <c r="D970" t="inlineStr">
        <is>
          <t>SÖDERMANLANDS LÄN</t>
        </is>
      </c>
      <c r="E970" t="inlineStr">
        <is>
          <t>VINGÅKER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35784-2019</t>
        </is>
      </c>
      <c r="B971" s="1" t="n">
        <v>43665</v>
      </c>
      <c r="C971" s="1" t="n">
        <v>45186</v>
      </c>
      <c r="D971" t="inlineStr">
        <is>
          <t>SÖDERMANLANDS LÄN</t>
        </is>
      </c>
      <c r="E971" t="inlineStr">
        <is>
          <t>KATRINEHOLM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35982-2019</t>
        </is>
      </c>
      <c r="B972" s="1" t="n">
        <v>43667</v>
      </c>
      <c r="C972" s="1" t="n">
        <v>45186</v>
      </c>
      <c r="D972" t="inlineStr">
        <is>
          <t>SÖDERMANLANDS LÄN</t>
        </is>
      </c>
      <c r="E972" t="inlineStr">
        <is>
          <t>ESKILSTUNA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35985-2019</t>
        </is>
      </c>
      <c r="B973" s="1" t="n">
        <v>43667</v>
      </c>
      <c r="C973" s="1" t="n">
        <v>45186</v>
      </c>
      <c r="D973" t="inlineStr">
        <is>
          <t>SÖDERMANLANDS LÄN</t>
        </is>
      </c>
      <c r="E973" t="inlineStr">
        <is>
          <t>ESKILSTUNA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36098-2019</t>
        </is>
      </c>
      <c r="B974" s="1" t="n">
        <v>43668</v>
      </c>
      <c r="C974" s="1" t="n">
        <v>45186</v>
      </c>
      <c r="D974" t="inlineStr">
        <is>
          <t>SÖDERMANLANDS LÄN</t>
        </is>
      </c>
      <c r="E974" t="inlineStr">
        <is>
          <t>STRÄNGNÄS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36152-2019</t>
        </is>
      </c>
      <c r="B975" s="1" t="n">
        <v>43668</v>
      </c>
      <c r="C975" s="1" t="n">
        <v>45186</v>
      </c>
      <c r="D975" t="inlineStr">
        <is>
          <t>SÖDERMANLANDS LÄN</t>
        </is>
      </c>
      <c r="E975" t="inlineStr">
        <is>
          <t>FLEN</t>
        </is>
      </c>
      <c r="F975" t="inlineStr">
        <is>
          <t>Holmen skog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36613-2019</t>
        </is>
      </c>
      <c r="B976" s="1" t="n">
        <v>43669</v>
      </c>
      <c r="C976" s="1" t="n">
        <v>45186</v>
      </c>
      <c r="D976" t="inlineStr">
        <is>
          <t>SÖDERMANLANDS LÄN</t>
        </is>
      </c>
      <c r="E976" t="inlineStr">
        <is>
          <t>KATRINEHOLM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36225-2019</t>
        </is>
      </c>
      <c r="B977" s="1" t="n">
        <v>43669</v>
      </c>
      <c r="C977" s="1" t="n">
        <v>45186</v>
      </c>
      <c r="D977" t="inlineStr">
        <is>
          <t>SÖDERMANLANDS LÄN</t>
        </is>
      </c>
      <c r="E977" t="inlineStr">
        <is>
          <t>FLEN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36582-2019</t>
        </is>
      </c>
      <c r="B978" s="1" t="n">
        <v>43669</v>
      </c>
      <c r="C978" s="1" t="n">
        <v>45186</v>
      </c>
      <c r="D978" t="inlineStr">
        <is>
          <t>SÖDERMANLANDS LÄN</t>
        </is>
      </c>
      <c r="E978" t="inlineStr">
        <is>
          <t>NYKÖPING</t>
        </is>
      </c>
      <c r="G978" t="n">
        <v>6.1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36612-2019</t>
        </is>
      </c>
      <c r="B979" s="1" t="n">
        <v>43669</v>
      </c>
      <c r="C979" s="1" t="n">
        <v>45186</v>
      </c>
      <c r="D979" t="inlineStr">
        <is>
          <t>SÖDERMANLANDS LÄN</t>
        </is>
      </c>
      <c r="E979" t="inlineStr">
        <is>
          <t>FLEN</t>
        </is>
      </c>
      <c r="G979" t="n">
        <v>4.8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36619-2019</t>
        </is>
      </c>
      <c r="B980" s="1" t="n">
        <v>43669</v>
      </c>
      <c r="C980" s="1" t="n">
        <v>45186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36223-2019</t>
        </is>
      </c>
      <c r="B981" s="1" t="n">
        <v>43669</v>
      </c>
      <c r="C981" s="1" t="n">
        <v>45186</v>
      </c>
      <c r="D981" t="inlineStr">
        <is>
          <t>SÖDERMANLANDS LÄN</t>
        </is>
      </c>
      <c r="E981" t="inlineStr">
        <is>
          <t>FLEN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36603-2019</t>
        </is>
      </c>
      <c r="B982" s="1" t="n">
        <v>43669</v>
      </c>
      <c r="C982" s="1" t="n">
        <v>45186</v>
      </c>
      <c r="D982" t="inlineStr">
        <is>
          <t>SÖDERMANLANDS LÄN</t>
        </is>
      </c>
      <c r="E982" t="inlineStr">
        <is>
          <t>KATRINEHOLM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36408-2019</t>
        </is>
      </c>
      <c r="B983" s="1" t="n">
        <v>43670</v>
      </c>
      <c r="C983" s="1" t="n">
        <v>45186</v>
      </c>
      <c r="D983" t="inlineStr">
        <is>
          <t>SÖDERMANLANDS LÄN</t>
        </is>
      </c>
      <c r="E983" t="inlineStr">
        <is>
          <t>KATRINEHOLM</t>
        </is>
      </c>
      <c r="G983" t="n">
        <v>13.6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36479-2019</t>
        </is>
      </c>
      <c r="B984" s="1" t="n">
        <v>43670</v>
      </c>
      <c r="C984" s="1" t="n">
        <v>45186</v>
      </c>
      <c r="D984" t="inlineStr">
        <is>
          <t>SÖDERMANLANDS LÄN</t>
        </is>
      </c>
      <c r="E984" t="inlineStr">
        <is>
          <t>VINGÅKER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36780-2019</t>
        </is>
      </c>
      <c r="B985" s="1" t="n">
        <v>43672</v>
      </c>
      <c r="C985" s="1" t="n">
        <v>45186</v>
      </c>
      <c r="D985" t="inlineStr">
        <is>
          <t>SÖDERMANLANDS LÄN</t>
        </is>
      </c>
      <c r="E985" t="inlineStr">
        <is>
          <t>KATRINEHOLM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36901-2019</t>
        </is>
      </c>
      <c r="B986" s="1" t="n">
        <v>43675</v>
      </c>
      <c r="C986" s="1" t="n">
        <v>45186</v>
      </c>
      <c r="D986" t="inlineStr">
        <is>
          <t>SÖDERMANLANDS LÄN</t>
        </is>
      </c>
      <c r="E986" t="inlineStr">
        <is>
          <t>FLEN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36994-2019</t>
        </is>
      </c>
      <c r="B987" s="1" t="n">
        <v>43676</v>
      </c>
      <c r="C987" s="1" t="n">
        <v>45186</v>
      </c>
      <c r="D987" t="inlineStr">
        <is>
          <t>SÖDERMANLANDS LÄN</t>
        </is>
      </c>
      <c r="E987" t="inlineStr">
        <is>
          <t>FLEN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36978-2019</t>
        </is>
      </c>
      <c r="B988" s="1" t="n">
        <v>43676</v>
      </c>
      <c r="C988" s="1" t="n">
        <v>45186</v>
      </c>
      <c r="D988" t="inlineStr">
        <is>
          <t>SÖDERMANLANDS LÄN</t>
        </is>
      </c>
      <c r="E988" t="inlineStr">
        <is>
          <t>FLEN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37062-2019</t>
        </is>
      </c>
      <c r="B989" s="1" t="n">
        <v>43676</v>
      </c>
      <c r="C989" s="1" t="n">
        <v>45186</v>
      </c>
      <c r="D989" t="inlineStr">
        <is>
          <t>SÖDERMANLANDS LÄN</t>
        </is>
      </c>
      <c r="E989" t="inlineStr">
        <is>
          <t>VINGÅKER</t>
        </is>
      </c>
      <c r="G989" t="n">
        <v>6.7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37255-2019</t>
        </is>
      </c>
      <c r="B990" s="1" t="n">
        <v>43677</v>
      </c>
      <c r="C990" s="1" t="n">
        <v>45186</v>
      </c>
      <c r="D990" t="inlineStr">
        <is>
          <t>SÖDERMANLANDS LÄN</t>
        </is>
      </c>
      <c r="E990" t="inlineStr">
        <is>
          <t>ESKILSTUNA</t>
        </is>
      </c>
      <c r="G990" t="n">
        <v>4.2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37337-2019</t>
        </is>
      </c>
      <c r="B991" s="1" t="n">
        <v>43678</v>
      </c>
      <c r="C991" s="1" t="n">
        <v>45186</v>
      </c>
      <c r="D991" t="inlineStr">
        <is>
          <t>SÖDERMANLANDS LÄN</t>
        </is>
      </c>
      <c r="E991" t="inlineStr">
        <is>
          <t>FLEN</t>
        </is>
      </c>
      <c r="G991" t="n">
        <v>4.5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37344-2019</t>
        </is>
      </c>
      <c r="B992" s="1" t="n">
        <v>43678</v>
      </c>
      <c r="C992" s="1" t="n">
        <v>45186</v>
      </c>
      <c r="D992" t="inlineStr">
        <is>
          <t>SÖDERMANLANDS LÄN</t>
        </is>
      </c>
      <c r="E992" t="inlineStr">
        <is>
          <t>NYKÖPING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37420-2019</t>
        </is>
      </c>
      <c r="B993" s="1" t="n">
        <v>43678</v>
      </c>
      <c r="C993" s="1" t="n">
        <v>45186</v>
      </c>
      <c r="D993" t="inlineStr">
        <is>
          <t>SÖDERMANLANDS LÄN</t>
        </is>
      </c>
      <c r="E993" t="inlineStr">
        <is>
          <t>KATRINEHOLM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37416-2019</t>
        </is>
      </c>
      <c r="B994" s="1" t="n">
        <v>43678</v>
      </c>
      <c r="C994" s="1" t="n">
        <v>45186</v>
      </c>
      <c r="D994" t="inlineStr">
        <is>
          <t>SÖDERMANLANDS LÄN</t>
        </is>
      </c>
      <c r="E994" t="inlineStr">
        <is>
          <t>NYKÖPING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37462-2019</t>
        </is>
      </c>
      <c r="B995" s="1" t="n">
        <v>43678</v>
      </c>
      <c r="C995" s="1" t="n">
        <v>45186</v>
      </c>
      <c r="D995" t="inlineStr">
        <is>
          <t>SÖDERMANLANDS LÄN</t>
        </is>
      </c>
      <c r="E995" t="inlineStr">
        <is>
          <t>KATRINEHOLM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37321-2019</t>
        </is>
      </c>
      <c r="B996" s="1" t="n">
        <v>43678</v>
      </c>
      <c r="C996" s="1" t="n">
        <v>45186</v>
      </c>
      <c r="D996" t="inlineStr">
        <is>
          <t>SÖDERMANLANDS LÄN</t>
        </is>
      </c>
      <c r="E996" t="inlineStr">
        <is>
          <t>KATRINEHOLM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37504-2019</t>
        </is>
      </c>
      <c r="B997" s="1" t="n">
        <v>43678</v>
      </c>
      <c r="C997" s="1" t="n">
        <v>45186</v>
      </c>
      <c r="D997" t="inlineStr">
        <is>
          <t>SÖDERMANLANDS LÄN</t>
        </is>
      </c>
      <c r="E997" t="inlineStr">
        <is>
          <t>ESKILSTUNA</t>
        </is>
      </c>
      <c r="G997" t="n">
        <v>6.1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37562-2019</t>
        </is>
      </c>
      <c r="B998" s="1" t="n">
        <v>43679</v>
      </c>
      <c r="C998" s="1" t="n">
        <v>45186</v>
      </c>
      <c r="D998" t="inlineStr">
        <is>
          <t>SÖDERMANLANDS LÄN</t>
        </is>
      </c>
      <c r="E998" t="inlineStr">
        <is>
          <t>STRÄNGNÄS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37574-2019</t>
        </is>
      </c>
      <c r="B999" s="1" t="n">
        <v>43679</v>
      </c>
      <c r="C999" s="1" t="n">
        <v>45186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37571-2019</t>
        </is>
      </c>
      <c r="B1000" s="1" t="n">
        <v>43679</v>
      </c>
      <c r="C1000" s="1" t="n">
        <v>45186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37627-2019</t>
        </is>
      </c>
      <c r="B1001" s="1" t="n">
        <v>43679</v>
      </c>
      <c r="C1001" s="1" t="n">
        <v>45186</v>
      </c>
      <c r="D1001" t="inlineStr">
        <is>
          <t>SÖDERMANLANDS LÄN</t>
        </is>
      </c>
      <c r="E1001" t="inlineStr">
        <is>
          <t>ESKILSTUNA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37546-2019</t>
        </is>
      </c>
      <c r="B1002" s="1" t="n">
        <v>43679</v>
      </c>
      <c r="C1002" s="1" t="n">
        <v>45186</v>
      </c>
      <c r="D1002" t="inlineStr">
        <is>
          <t>SÖDERMANLANDS LÄN</t>
        </is>
      </c>
      <c r="E1002" t="inlineStr">
        <is>
          <t>GNESTA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37560-2019</t>
        </is>
      </c>
      <c r="B1003" s="1" t="n">
        <v>43679</v>
      </c>
      <c r="C1003" s="1" t="n">
        <v>45186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37572-2019</t>
        </is>
      </c>
      <c r="B1004" s="1" t="n">
        <v>43679</v>
      </c>
      <c r="C1004" s="1" t="n">
        <v>45186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37742-2019</t>
        </is>
      </c>
      <c r="B1005" s="1" t="n">
        <v>43679</v>
      </c>
      <c r="C1005" s="1" t="n">
        <v>45186</v>
      </c>
      <c r="D1005" t="inlineStr">
        <is>
          <t>SÖDERMANLANDS LÄN</t>
        </is>
      </c>
      <c r="E1005" t="inlineStr">
        <is>
          <t>VINGÅKER</t>
        </is>
      </c>
      <c r="G1005" t="n">
        <v>3.6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37712-2019</t>
        </is>
      </c>
      <c r="B1006" s="1" t="n">
        <v>43682</v>
      </c>
      <c r="C1006" s="1" t="n">
        <v>45186</v>
      </c>
      <c r="D1006" t="inlineStr">
        <is>
          <t>SÖDERMANLANDS LÄN</t>
        </is>
      </c>
      <c r="E1006" t="inlineStr">
        <is>
          <t>GNESTA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37744-2019</t>
        </is>
      </c>
      <c r="B1007" s="1" t="n">
        <v>43682</v>
      </c>
      <c r="C1007" s="1" t="n">
        <v>45186</v>
      </c>
      <c r="D1007" t="inlineStr">
        <is>
          <t>SÖDERMANLANDS LÄN</t>
        </is>
      </c>
      <c r="E1007" t="inlineStr">
        <is>
          <t>NYKÖPING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37769-2019</t>
        </is>
      </c>
      <c r="B1008" s="1" t="n">
        <v>43682</v>
      </c>
      <c r="C1008" s="1" t="n">
        <v>45186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37715-2019</t>
        </is>
      </c>
      <c r="B1009" s="1" t="n">
        <v>43682</v>
      </c>
      <c r="C1009" s="1" t="n">
        <v>45186</v>
      </c>
      <c r="D1009" t="inlineStr">
        <is>
          <t>SÖDERMANLANDS LÄN</t>
        </is>
      </c>
      <c r="E1009" t="inlineStr">
        <is>
          <t>GNESTA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37940-2019</t>
        </is>
      </c>
      <c r="B1010" s="1" t="n">
        <v>43683</v>
      </c>
      <c r="C1010" s="1" t="n">
        <v>45186</v>
      </c>
      <c r="D1010" t="inlineStr">
        <is>
          <t>SÖDERMANLANDS LÄN</t>
        </is>
      </c>
      <c r="E1010" t="inlineStr">
        <is>
          <t>NYKÖPING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38008-2019</t>
        </is>
      </c>
      <c r="B1011" s="1" t="n">
        <v>43683</v>
      </c>
      <c r="C1011" s="1" t="n">
        <v>45186</v>
      </c>
      <c r="D1011" t="inlineStr">
        <is>
          <t>SÖDERMANLANDS LÄN</t>
        </is>
      </c>
      <c r="E1011" t="inlineStr">
        <is>
          <t>ESKILSTUNA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38046-2019</t>
        </is>
      </c>
      <c r="B1012" s="1" t="n">
        <v>43683</v>
      </c>
      <c r="C1012" s="1" t="n">
        <v>45186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Sveaskog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38177-2019</t>
        </is>
      </c>
      <c r="B1013" s="1" t="n">
        <v>43683</v>
      </c>
      <c r="C1013" s="1" t="n">
        <v>45186</v>
      </c>
      <c r="D1013" t="inlineStr">
        <is>
          <t>SÖDERMANLANDS LÄN</t>
        </is>
      </c>
      <c r="E1013" t="inlineStr">
        <is>
          <t>ESKILSTUNA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38107-2019</t>
        </is>
      </c>
      <c r="B1014" s="1" t="n">
        <v>43683</v>
      </c>
      <c r="C1014" s="1" t="n">
        <v>45186</v>
      </c>
      <c r="D1014" t="inlineStr">
        <is>
          <t>SÖDERMANLANDS LÄN</t>
        </is>
      </c>
      <c r="E1014" t="inlineStr">
        <is>
          <t>ESKILSTUNA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38409-2019</t>
        </is>
      </c>
      <c r="B1015" s="1" t="n">
        <v>43683</v>
      </c>
      <c r="C1015" s="1" t="n">
        <v>45186</v>
      </c>
      <c r="D1015" t="inlineStr">
        <is>
          <t>SÖDERMANLANDS LÄN</t>
        </is>
      </c>
      <c r="E1015" t="inlineStr">
        <is>
          <t>STRÄNGNÄS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38217-2019</t>
        </is>
      </c>
      <c r="B1016" s="1" t="n">
        <v>43684</v>
      </c>
      <c r="C1016" s="1" t="n">
        <v>45186</v>
      </c>
      <c r="D1016" t="inlineStr">
        <is>
          <t>SÖDERMANLANDS LÄN</t>
        </is>
      </c>
      <c r="E1016" t="inlineStr">
        <is>
          <t>ESKILSTUNA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38241-2019</t>
        </is>
      </c>
      <c r="B1017" s="1" t="n">
        <v>43684</v>
      </c>
      <c r="C1017" s="1" t="n">
        <v>45186</v>
      </c>
      <c r="D1017" t="inlineStr">
        <is>
          <t>SÖDERMANLANDS LÄN</t>
        </is>
      </c>
      <c r="E1017" t="inlineStr">
        <is>
          <t>FLEN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38288-2019</t>
        </is>
      </c>
      <c r="B1018" s="1" t="n">
        <v>43684</v>
      </c>
      <c r="C1018" s="1" t="n">
        <v>45186</v>
      </c>
      <c r="D1018" t="inlineStr">
        <is>
          <t>SÖDERMANLANDS LÄN</t>
        </is>
      </c>
      <c r="E1018" t="inlineStr">
        <is>
          <t>TROSA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38303-2019</t>
        </is>
      </c>
      <c r="B1019" s="1" t="n">
        <v>43684</v>
      </c>
      <c r="C1019" s="1" t="n">
        <v>45186</v>
      </c>
      <c r="D1019" t="inlineStr">
        <is>
          <t>SÖDERMANLANDS LÄN</t>
        </is>
      </c>
      <c r="E1019" t="inlineStr">
        <is>
          <t>ESKILSTUNA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38589-2019</t>
        </is>
      </c>
      <c r="B1020" s="1" t="n">
        <v>43684</v>
      </c>
      <c r="C1020" s="1" t="n">
        <v>45186</v>
      </c>
      <c r="D1020" t="inlineStr">
        <is>
          <t>SÖDERMANLANDS LÄN</t>
        </is>
      </c>
      <c r="E1020" t="inlineStr">
        <is>
          <t>ESKILSTUNA</t>
        </is>
      </c>
      <c r="G1020" t="n">
        <v>7.4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38213-2019</t>
        </is>
      </c>
      <c r="B1021" s="1" t="n">
        <v>43684</v>
      </c>
      <c r="C1021" s="1" t="n">
        <v>45186</v>
      </c>
      <c r="D1021" t="inlineStr">
        <is>
          <t>SÖDERMANLANDS LÄN</t>
        </is>
      </c>
      <c r="E1021" t="inlineStr">
        <is>
          <t>ESKILSTUNA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38436-2019</t>
        </is>
      </c>
      <c r="B1022" s="1" t="n">
        <v>43685</v>
      </c>
      <c r="C1022" s="1" t="n">
        <v>45186</v>
      </c>
      <c r="D1022" t="inlineStr">
        <is>
          <t>SÖDERMANLANDS LÄN</t>
        </is>
      </c>
      <c r="E1022" t="inlineStr">
        <is>
          <t>ESKILSTUNA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38736-2019</t>
        </is>
      </c>
      <c r="B1023" s="1" t="n">
        <v>43686</v>
      </c>
      <c r="C1023" s="1" t="n">
        <v>45186</v>
      </c>
      <c r="D1023" t="inlineStr">
        <is>
          <t>SÖDERMANLANDS LÄN</t>
        </is>
      </c>
      <c r="E1023" t="inlineStr">
        <is>
          <t>NYKÖPING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38593-2019</t>
        </is>
      </c>
      <c r="B1024" s="1" t="n">
        <v>43686</v>
      </c>
      <c r="C1024" s="1" t="n">
        <v>45186</v>
      </c>
      <c r="D1024" t="inlineStr">
        <is>
          <t>SÖDERMANLANDS LÄN</t>
        </is>
      </c>
      <c r="E1024" t="inlineStr">
        <is>
          <t>NYKÖPING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38795-2019</t>
        </is>
      </c>
      <c r="B1025" s="1" t="n">
        <v>43688</v>
      </c>
      <c r="C1025" s="1" t="n">
        <v>45186</v>
      </c>
      <c r="D1025" t="inlineStr">
        <is>
          <t>SÖDERMANLANDS LÄN</t>
        </is>
      </c>
      <c r="E1025" t="inlineStr">
        <is>
          <t>FLEN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38796-2019</t>
        </is>
      </c>
      <c r="B1026" s="1" t="n">
        <v>43688</v>
      </c>
      <c r="C1026" s="1" t="n">
        <v>45186</v>
      </c>
      <c r="D1026" t="inlineStr">
        <is>
          <t>SÖDERMANLANDS LÄN</t>
        </is>
      </c>
      <c r="E1026" t="inlineStr">
        <is>
          <t>FLEN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38812-2019</t>
        </is>
      </c>
      <c r="B1027" s="1" t="n">
        <v>43689</v>
      </c>
      <c r="C1027" s="1" t="n">
        <v>45186</v>
      </c>
      <c r="D1027" t="inlineStr">
        <is>
          <t>SÖDERMANLANDS LÄN</t>
        </is>
      </c>
      <c r="E1027" t="inlineStr">
        <is>
          <t>GNESTA</t>
        </is>
      </c>
      <c r="G1027" t="n">
        <v>4.7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38875-2019</t>
        </is>
      </c>
      <c r="B1028" s="1" t="n">
        <v>43689</v>
      </c>
      <c r="C1028" s="1" t="n">
        <v>45186</v>
      </c>
      <c r="D1028" t="inlineStr">
        <is>
          <t>SÖDERMANLANDS LÄN</t>
        </is>
      </c>
      <c r="E1028" t="inlineStr">
        <is>
          <t>VINGÅKER</t>
        </is>
      </c>
      <c r="F1028" t="inlineStr">
        <is>
          <t>Kommuner</t>
        </is>
      </c>
      <c r="G1028" t="n">
        <v>4.5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38977-2019</t>
        </is>
      </c>
      <c r="B1029" s="1" t="n">
        <v>43689</v>
      </c>
      <c r="C1029" s="1" t="n">
        <v>45186</v>
      </c>
      <c r="D1029" t="inlineStr">
        <is>
          <t>SÖDERMANLANDS LÄN</t>
        </is>
      </c>
      <c r="E1029" t="inlineStr">
        <is>
          <t>GNESTA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39166-2019</t>
        </is>
      </c>
      <c r="B1030" s="1" t="n">
        <v>43690</v>
      </c>
      <c r="C1030" s="1" t="n">
        <v>45186</v>
      </c>
      <c r="D1030" t="inlineStr">
        <is>
          <t>SÖDERMANLANDS LÄN</t>
        </is>
      </c>
      <c r="E1030" t="inlineStr">
        <is>
          <t>NYKÖPING</t>
        </is>
      </c>
      <c r="G1030" t="n">
        <v>2.6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39247-2019</t>
        </is>
      </c>
      <c r="B1031" s="1" t="n">
        <v>43690</v>
      </c>
      <c r="C1031" s="1" t="n">
        <v>45186</v>
      </c>
      <c r="D1031" t="inlineStr">
        <is>
          <t>SÖDERMANLANDS LÄN</t>
        </is>
      </c>
      <c r="E1031" t="inlineStr">
        <is>
          <t>NYKÖPING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39335-2019</t>
        </is>
      </c>
      <c r="B1032" s="1" t="n">
        <v>43690</v>
      </c>
      <c r="C1032" s="1" t="n">
        <v>45186</v>
      </c>
      <c r="D1032" t="inlineStr">
        <is>
          <t>SÖDERMANLANDS LÄN</t>
        </is>
      </c>
      <c r="E1032" t="inlineStr">
        <is>
          <t>NYKÖPING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39219-2019</t>
        </is>
      </c>
      <c r="B1033" s="1" t="n">
        <v>43690</v>
      </c>
      <c r="C1033" s="1" t="n">
        <v>45186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39228-2019</t>
        </is>
      </c>
      <c r="B1034" s="1" t="n">
        <v>43690</v>
      </c>
      <c r="C1034" s="1" t="n">
        <v>45186</v>
      </c>
      <c r="D1034" t="inlineStr">
        <is>
          <t>SÖDERMANLANDS LÄN</t>
        </is>
      </c>
      <c r="E1034" t="inlineStr">
        <is>
          <t>NYKÖPING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39245-2019</t>
        </is>
      </c>
      <c r="B1035" s="1" t="n">
        <v>43690</v>
      </c>
      <c r="C1035" s="1" t="n">
        <v>45186</v>
      </c>
      <c r="D1035" t="inlineStr">
        <is>
          <t>SÖDERMANLANDS LÄN</t>
        </is>
      </c>
      <c r="E1035" t="inlineStr">
        <is>
          <t>NYKÖPING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39328-2019</t>
        </is>
      </c>
      <c r="B1036" s="1" t="n">
        <v>43690</v>
      </c>
      <c r="C1036" s="1" t="n">
        <v>45186</v>
      </c>
      <c r="D1036" t="inlineStr">
        <is>
          <t>SÖDERMANLANDS LÄN</t>
        </is>
      </c>
      <c r="E1036" t="inlineStr">
        <is>
          <t>STRÄNGNÄS</t>
        </is>
      </c>
      <c r="G1036" t="n">
        <v>3.1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39424-2019</t>
        </is>
      </c>
      <c r="B1037" s="1" t="n">
        <v>43690</v>
      </c>
      <c r="C1037" s="1" t="n">
        <v>45186</v>
      </c>
      <c r="D1037" t="inlineStr">
        <is>
          <t>SÖDERMANLANDS LÄN</t>
        </is>
      </c>
      <c r="E1037" t="inlineStr">
        <is>
          <t>KATRINEHOLM</t>
        </is>
      </c>
      <c r="G1037" t="n">
        <v>25.1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39942-2019</t>
        </is>
      </c>
      <c r="B1038" s="1" t="n">
        <v>43690</v>
      </c>
      <c r="C1038" s="1" t="n">
        <v>45186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39441-2019</t>
        </is>
      </c>
      <c r="B1039" s="1" t="n">
        <v>43691</v>
      </c>
      <c r="C1039" s="1" t="n">
        <v>45186</v>
      </c>
      <c r="D1039" t="inlineStr">
        <is>
          <t>SÖDERMANLANDS LÄN</t>
        </is>
      </c>
      <c r="E1039" t="inlineStr">
        <is>
          <t>FLEN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39691-2019</t>
        </is>
      </c>
      <c r="B1040" s="1" t="n">
        <v>43691</v>
      </c>
      <c r="C1040" s="1" t="n">
        <v>45186</v>
      </c>
      <c r="D1040" t="inlineStr">
        <is>
          <t>SÖDERMANLANDS LÄN</t>
        </is>
      </c>
      <c r="E1040" t="inlineStr">
        <is>
          <t>STRÄNGNÄS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39731-2019</t>
        </is>
      </c>
      <c r="B1041" s="1" t="n">
        <v>43691</v>
      </c>
      <c r="C1041" s="1" t="n">
        <v>45186</v>
      </c>
      <c r="D1041" t="inlineStr">
        <is>
          <t>SÖDERMANLANDS LÄN</t>
        </is>
      </c>
      <c r="E1041" t="inlineStr">
        <is>
          <t>STRÄNGNÄS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41114-2019</t>
        </is>
      </c>
      <c r="B1042" s="1" t="n">
        <v>43691</v>
      </c>
      <c r="C1042" s="1" t="n">
        <v>45186</v>
      </c>
      <c r="D1042" t="inlineStr">
        <is>
          <t>SÖDERMANLANDS LÄN</t>
        </is>
      </c>
      <c r="E1042" t="inlineStr">
        <is>
          <t>FLEN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40620-2019</t>
        </is>
      </c>
      <c r="B1043" s="1" t="n">
        <v>43691</v>
      </c>
      <c r="C1043" s="1" t="n">
        <v>45186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39736-2019</t>
        </is>
      </c>
      <c r="B1044" s="1" t="n">
        <v>43691</v>
      </c>
      <c r="C1044" s="1" t="n">
        <v>45186</v>
      </c>
      <c r="D1044" t="inlineStr">
        <is>
          <t>SÖDERMANLANDS LÄN</t>
        </is>
      </c>
      <c r="E1044" t="inlineStr">
        <is>
          <t>VINGÅKER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41126-2019</t>
        </is>
      </c>
      <c r="B1045" s="1" t="n">
        <v>43691</v>
      </c>
      <c r="C1045" s="1" t="n">
        <v>45186</v>
      </c>
      <c r="D1045" t="inlineStr">
        <is>
          <t>SÖDERMANLANDS LÄN</t>
        </is>
      </c>
      <c r="E1045" t="inlineStr">
        <is>
          <t>KATRINEHOLM</t>
        </is>
      </c>
      <c r="F1045" t="inlineStr">
        <is>
          <t>Övriga Aktiebolag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39771-2019</t>
        </is>
      </c>
      <c r="B1046" s="1" t="n">
        <v>43692</v>
      </c>
      <c r="C1046" s="1" t="n">
        <v>45186</v>
      </c>
      <c r="D1046" t="inlineStr">
        <is>
          <t>SÖDERMANLANDS LÄN</t>
        </is>
      </c>
      <c r="E1046" t="inlineStr">
        <is>
          <t>VINGÅKER</t>
        </is>
      </c>
      <c r="F1046" t="inlineStr">
        <is>
          <t>Kyrkan</t>
        </is>
      </c>
      <c r="G1046" t="n">
        <v>12.2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39982-2019</t>
        </is>
      </c>
      <c r="B1047" s="1" t="n">
        <v>43692</v>
      </c>
      <c r="C1047" s="1" t="n">
        <v>45186</v>
      </c>
      <c r="D1047" t="inlineStr">
        <is>
          <t>SÖDERMANLANDS LÄN</t>
        </is>
      </c>
      <c r="E1047" t="inlineStr">
        <is>
          <t>GNESTA</t>
        </is>
      </c>
      <c r="F1047" t="inlineStr">
        <is>
          <t>Kommuner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40017-2019</t>
        </is>
      </c>
      <c r="B1048" s="1" t="n">
        <v>43693</v>
      </c>
      <c r="C1048" s="1" t="n">
        <v>45186</v>
      </c>
      <c r="D1048" t="inlineStr">
        <is>
          <t>SÖDERMANLANDS LÄN</t>
        </is>
      </c>
      <c r="E1048" t="inlineStr">
        <is>
          <t>ESKILSTUNA</t>
        </is>
      </c>
      <c r="G1048" t="n">
        <v>6.9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40020-2019</t>
        </is>
      </c>
      <c r="B1049" s="1" t="n">
        <v>43693</v>
      </c>
      <c r="C1049" s="1" t="n">
        <v>45186</v>
      </c>
      <c r="D1049" t="inlineStr">
        <is>
          <t>SÖDERMANLANDS LÄN</t>
        </is>
      </c>
      <c r="E1049" t="inlineStr">
        <is>
          <t>ESKILSTUNA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40552-2019</t>
        </is>
      </c>
      <c r="B1050" s="1" t="n">
        <v>43696</v>
      </c>
      <c r="C1050" s="1" t="n">
        <v>45186</v>
      </c>
      <c r="D1050" t="inlineStr">
        <is>
          <t>SÖDERMANLANDS LÄN</t>
        </is>
      </c>
      <c r="E1050" t="inlineStr">
        <is>
          <t>ESKILSTUNA</t>
        </is>
      </c>
      <c r="G1050" t="n">
        <v>6.8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41476-2019</t>
        </is>
      </c>
      <c r="B1051" s="1" t="n">
        <v>43696</v>
      </c>
      <c r="C1051" s="1" t="n">
        <v>45186</v>
      </c>
      <c r="D1051" t="inlineStr">
        <is>
          <t>SÖDERMANLANDS LÄN</t>
        </is>
      </c>
      <c r="E1051" t="inlineStr">
        <is>
          <t>ESKILSTUNA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40314-2019</t>
        </is>
      </c>
      <c r="B1052" s="1" t="n">
        <v>43696</v>
      </c>
      <c r="C1052" s="1" t="n">
        <v>45186</v>
      </c>
      <c r="D1052" t="inlineStr">
        <is>
          <t>SÖDERMANLANDS LÄN</t>
        </is>
      </c>
      <c r="E1052" t="inlineStr">
        <is>
          <t>FLEN</t>
        </is>
      </c>
      <c r="G1052" t="n">
        <v>10.3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41481-2019</t>
        </is>
      </c>
      <c r="B1053" s="1" t="n">
        <v>43696</v>
      </c>
      <c r="C1053" s="1" t="n">
        <v>45186</v>
      </c>
      <c r="D1053" t="inlineStr">
        <is>
          <t>SÖDERMANLANDS LÄN</t>
        </is>
      </c>
      <c r="E1053" t="inlineStr">
        <is>
          <t>ESKILSTUNA</t>
        </is>
      </c>
      <c r="G1053" t="n">
        <v>3.1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40455-2019</t>
        </is>
      </c>
      <c r="B1054" s="1" t="n">
        <v>43696</v>
      </c>
      <c r="C1054" s="1" t="n">
        <v>45186</v>
      </c>
      <c r="D1054" t="inlineStr">
        <is>
          <t>SÖDERMANLANDS LÄN</t>
        </is>
      </c>
      <c r="E1054" t="inlineStr">
        <is>
          <t>KATRINEHOLM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40778-2019</t>
        </is>
      </c>
      <c r="B1055" s="1" t="n">
        <v>43697</v>
      </c>
      <c r="C1055" s="1" t="n">
        <v>45186</v>
      </c>
      <c r="D1055" t="inlineStr">
        <is>
          <t>SÖDERMANLANDS LÄN</t>
        </is>
      </c>
      <c r="E1055" t="inlineStr">
        <is>
          <t>KATRINEHOLM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40798-2019</t>
        </is>
      </c>
      <c r="B1056" s="1" t="n">
        <v>43697</v>
      </c>
      <c r="C1056" s="1" t="n">
        <v>45186</v>
      </c>
      <c r="D1056" t="inlineStr">
        <is>
          <t>SÖDERMANLANDS LÄN</t>
        </is>
      </c>
      <c r="E1056" t="inlineStr">
        <is>
          <t>KATRINEHOLM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40812-2019</t>
        </is>
      </c>
      <c r="B1057" s="1" t="n">
        <v>43697</v>
      </c>
      <c r="C1057" s="1" t="n">
        <v>45186</v>
      </c>
      <c r="D1057" t="inlineStr">
        <is>
          <t>SÖDERMANLANDS LÄN</t>
        </is>
      </c>
      <c r="E1057" t="inlineStr">
        <is>
          <t>KATRINEHOLM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40891-2019</t>
        </is>
      </c>
      <c r="B1058" s="1" t="n">
        <v>43697</v>
      </c>
      <c r="C1058" s="1" t="n">
        <v>45186</v>
      </c>
      <c r="D1058" t="inlineStr">
        <is>
          <t>SÖDERMANLANDS LÄN</t>
        </is>
      </c>
      <c r="E1058" t="inlineStr">
        <is>
          <t>KATRINEHOLM</t>
        </is>
      </c>
      <c r="G1058" t="n">
        <v>10.5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40773-2019</t>
        </is>
      </c>
      <c r="B1059" s="1" t="n">
        <v>43697</v>
      </c>
      <c r="C1059" s="1" t="n">
        <v>45186</v>
      </c>
      <c r="D1059" t="inlineStr">
        <is>
          <t>SÖDERMANLANDS LÄN</t>
        </is>
      </c>
      <c r="E1059" t="inlineStr">
        <is>
          <t>KATRINEHOLM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40820-2019</t>
        </is>
      </c>
      <c r="B1060" s="1" t="n">
        <v>43697</v>
      </c>
      <c r="C1060" s="1" t="n">
        <v>45186</v>
      </c>
      <c r="D1060" t="inlineStr">
        <is>
          <t>SÖDERMANLANDS LÄN</t>
        </is>
      </c>
      <c r="E1060" t="inlineStr">
        <is>
          <t>KATRINEHOLM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40775-2019</t>
        </is>
      </c>
      <c r="B1061" s="1" t="n">
        <v>43697</v>
      </c>
      <c r="C1061" s="1" t="n">
        <v>45186</v>
      </c>
      <c r="D1061" t="inlineStr">
        <is>
          <t>SÖDERMANLANDS LÄN</t>
        </is>
      </c>
      <c r="E1061" t="inlineStr">
        <is>
          <t>KATRINEHOLM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40824-2019</t>
        </is>
      </c>
      <c r="B1062" s="1" t="n">
        <v>43697</v>
      </c>
      <c r="C1062" s="1" t="n">
        <v>45186</v>
      </c>
      <c r="D1062" t="inlineStr">
        <is>
          <t>SÖDERMANLANDS LÄN</t>
        </is>
      </c>
      <c r="E1062" t="inlineStr">
        <is>
          <t>KATRINEHOLM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41847-2019</t>
        </is>
      </c>
      <c r="B1063" s="1" t="n">
        <v>43697</v>
      </c>
      <c r="C1063" s="1" t="n">
        <v>45186</v>
      </c>
      <c r="D1063" t="inlineStr">
        <is>
          <t>SÖDERMANLANDS LÄN</t>
        </is>
      </c>
      <c r="E1063" t="inlineStr">
        <is>
          <t>FLEN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40781-2019</t>
        </is>
      </c>
      <c r="B1064" s="1" t="n">
        <v>43697</v>
      </c>
      <c r="C1064" s="1" t="n">
        <v>45186</v>
      </c>
      <c r="D1064" t="inlineStr">
        <is>
          <t>SÖDERMANLANDS LÄN</t>
        </is>
      </c>
      <c r="E1064" t="inlineStr">
        <is>
          <t>GNESTA</t>
        </is>
      </c>
      <c r="G1064" t="n">
        <v>6.1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40800-2019</t>
        </is>
      </c>
      <c r="B1065" s="1" t="n">
        <v>43697</v>
      </c>
      <c r="C1065" s="1" t="n">
        <v>45186</v>
      </c>
      <c r="D1065" t="inlineStr">
        <is>
          <t>SÖDERMANLANDS LÄN</t>
        </is>
      </c>
      <c r="E1065" t="inlineStr">
        <is>
          <t>KATRINEHOLM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41293-2019</t>
        </is>
      </c>
      <c r="B1066" s="1" t="n">
        <v>43698</v>
      </c>
      <c r="C1066" s="1" t="n">
        <v>45186</v>
      </c>
      <c r="D1066" t="inlineStr">
        <is>
          <t>SÖDERMANLANDS LÄN</t>
        </is>
      </c>
      <c r="E1066" t="inlineStr">
        <is>
          <t>VINGÅKER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41149-2019</t>
        </is>
      </c>
      <c r="B1067" s="1" t="n">
        <v>43698</v>
      </c>
      <c r="C1067" s="1" t="n">
        <v>45186</v>
      </c>
      <c r="D1067" t="inlineStr">
        <is>
          <t>SÖDERMANLANDS LÄN</t>
        </is>
      </c>
      <c r="E1067" t="inlineStr">
        <is>
          <t>NYKÖPING</t>
        </is>
      </c>
      <c r="G1067" t="n">
        <v>8.1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41167-2019</t>
        </is>
      </c>
      <c r="B1068" s="1" t="n">
        <v>43698</v>
      </c>
      <c r="C1068" s="1" t="n">
        <v>45186</v>
      </c>
      <c r="D1068" t="inlineStr">
        <is>
          <t>SÖDERMANLANDS LÄN</t>
        </is>
      </c>
      <c r="E1068" t="inlineStr">
        <is>
          <t>NYKÖPING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41154-2019</t>
        </is>
      </c>
      <c r="B1069" s="1" t="n">
        <v>43698</v>
      </c>
      <c r="C1069" s="1" t="n">
        <v>45186</v>
      </c>
      <c r="D1069" t="inlineStr">
        <is>
          <t>SÖDERMANLANDS LÄN</t>
        </is>
      </c>
      <c r="E1069" t="inlineStr">
        <is>
          <t>NYKÖPING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41244-2019</t>
        </is>
      </c>
      <c r="B1070" s="1" t="n">
        <v>43698</v>
      </c>
      <c r="C1070" s="1" t="n">
        <v>45186</v>
      </c>
      <c r="D1070" t="inlineStr">
        <is>
          <t>SÖDERMANLANDS LÄN</t>
        </is>
      </c>
      <c r="E1070" t="inlineStr">
        <is>
          <t>NYKÖPING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41442-2019</t>
        </is>
      </c>
      <c r="B1071" s="1" t="n">
        <v>43698</v>
      </c>
      <c r="C1071" s="1" t="n">
        <v>45186</v>
      </c>
      <c r="D1071" t="inlineStr">
        <is>
          <t>SÖDERMANLANDS LÄN</t>
        </is>
      </c>
      <c r="E1071" t="inlineStr">
        <is>
          <t>ESKILSTUNA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41718-2019</t>
        </is>
      </c>
      <c r="B1072" s="1" t="n">
        <v>43699</v>
      </c>
      <c r="C1072" s="1" t="n">
        <v>45186</v>
      </c>
      <c r="D1072" t="inlineStr">
        <is>
          <t>SÖDERMANLANDS LÄN</t>
        </is>
      </c>
      <c r="E1072" t="inlineStr">
        <is>
          <t>STRÄNGNÄS</t>
        </is>
      </c>
      <c r="G1072" t="n">
        <v>4.8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42618-2019</t>
        </is>
      </c>
      <c r="B1073" s="1" t="n">
        <v>43699</v>
      </c>
      <c r="C1073" s="1" t="n">
        <v>45186</v>
      </c>
      <c r="D1073" t="inlineStr">
        <is>
          <t>SÖDERMANLANDS LÄN</t>
        </is>
      </c>
      <c r="E1073" t="inlineStr">
        <is>
          <t>KATRINEHOLM</t>
        </is>
      </c>
      <c r="G1073" t="n">
        <v>24.1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41830-2019</t>
        </is>
      </c>
      <c r="B1074" s="1" t="n">
        <v>43700</v>
      </c>
      <c r="C1074" s="1" t="n">
        <v>45186</v>
      </c>
      <c r="D1074" t="inlineStr">
        <is>
          <t>SÖDERMANLANDS LÄN</t>
        </is>
      </c>
      <c r="E1074" t="inlineStr">
        <is>
          <t>TROSA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41902-2019</t>
        </is>
      </c>
      <c r="B1075" s="1" t="n">
        <v>43700</v>
      </c>
      <c r="C1075" s="1" t="n">
        <v>45186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41934-2019</t>
        </is>
      </c>
      <c r="B1076" s="1" t="n">
        <v>43700</v>
      </c>
      <c r="C1076" s="1" t="n">
        <v>45186</v>
      </c>
      <c r="D1076" t="inlineStr">
        <is>
          <t>SÖDERMANLANDS LÄN</t>
        </is>
      </c>
      <c r="E1076" t="inlineStr">
        <is>
          <t>VINGÅKER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41893-2019</t>
        </is>
      </c>
      <c r="B1077" s="1" t="n">
        <v>43700</v>
      </c>
      <c r="C1077" s="1" t="n">
        <v>45186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41975-2019</t>
        </is>
      </c>
      <c r="B1078" s="1" t="n">
        <v>43700</v>
      </c>
      <c r="C1078" s="1" t="n">
        <v>45186</v>
      </c>
      <c r="D1078" t="inlineStr">
        <is>
          <t>SÖDERMANLANDS LÄN</t>
        </is>
      </c>
      <c r="E1078" t="inlineStr">
        <is>
          <t>STRÄNGNÄS</t>
        </is>
      </c>
      <c r="F1078" t="inlineStr">
        <is>
          <t>Övriga Aktiebolag</t>
        </is>
      </c>
      <c r="G1078" t="n">
        <v>6.8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42056-2019</t>
        </is>
      </c>
      <c r="B1079" s="1" t="n">
        <v>43700</v>
      </c>
      <c r="C1079" s="1" t="n">
        <v>45186</v>
      </c>
      <c r="D1079" t="inlineStr">
        <is>
          <t>SÖDERMANLANDS LÄN</t>
        </is>
      </c>
      <c r="E1079" t="inlineStr">
        <is>
          <t>ESKILSTUNA</t>
        </is>
      </c>
      <c r="G1079" t="n">
        <v>7.4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41877-2019</t>
        </is>
      </c>
      <c r="B1080" s="1" t="n">
        <v>43700</v>
      </c>
      <c r="C1080" s="1" t="n">
        <v>45186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42324-2019</t>
        </is>
      </c>
      <c r="B1081" s="1" t="n">
        <v>43703</v>
      </c>
      <c r="C1081" s="1" t="n">
        <v>45186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Kommuner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42336-2019</t>
        </is>
      </c>
      <c r="B1082" s="1" t="n">
        <v>43703</v>
      </c>
      <c r="C1082" s="1" t="n">
        <v>45186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42343-2019</t>
        </is>
      </c>
      <c r="B1083" s="1" t="n">
        <v>43703</v>
      </c>
      <c r="C1083" s="1" t="n">
        <v>45186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42392-2019</t>
        </is>
      </c>
      <c r="B1084" s="1" t="n">
        <v>43703</v>
      </c>
      <c r="C1084" s="1" t="n">
        <v>45186</v>
      </c>
      <c r="D1084" t="inlineStr">
        <is>
          <t>SÖDERMANLANDS LÄN</t>
        </is>
      </c>
      <c r="E1084" t="inlineStr">
        <is>
          <t>KATRINEHOLM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42234-2019</t>
        </is>
      </c>
      <c r="B1085" s="1" t="n">
        <v>43703</v>
      </c>
      <c r="C1085" s="1" t="n">
        <v>45186</v>
      </c>
      <c r="D1085" t="inlineStr">
        <is>
          <t>SÖDERMANLANDS LÄN</t>
        </is>
      </c>
      <c r="E1085" t="inlineStr">
        <is>
          <t>NYKÖPING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42394-2019</t>
        </is>
      </c>
      <c r="B1086" s="1" t="n">
        <v>43703</v>
      </c>
      <c r="C1086" s="1" t="n">
        <v>45186</v>
      </c>
      <c r="D1086" t="inlineStr">
        <is>
          <t>SÖDERMANLANDS LÄN</t>
        </is>
      </c>
      <c r="E1086" t="inlineStr">
        <is>
          <t>KATRINEHOLM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42244-2019</t>
        </is>
      </c>
      <c r="B1087" s="1" t="n">
        <v>43703</v>
      </c>
      <c r="C1087" s="1" t="n">
        <v>45186</v>
      </c>
      <c r="D1087" t="inlineStr">
        <is>
          <t>SÖDERMANLANDS LÄN</t>
        </is>
      </c>
      <c r="E1087" t="inlineStr">
        <is>
          <t>KATRINEHOLM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42328-2019</t>
        </is>
      </c>
      <c r="B1088" s="1" t="n">
        <v>43703</v>
      </c>
      <c r="C1088" s="1" t="n">
        <v>45186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42338-2019</t>
        </is>
      </c>
      <c r="B1089" s="1" t="n">
        <v>43703</v>
      </c>
      <c r="C1089" s="1" t="n">
        <v>45186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42397-2019</t>
        </is>
      </c>
      <c r="B1090" s="1" t="n">
        <v>43703</v>
      </c>
      <c r="C1090" s="1" t="n">
        <v>45186</v>
      </c>
      <c r="D1090" t="inlineStr">
        <is>
          <t>SÖDERMANLANDS LÄN</t>
        </is>
      </c>
      <c r="E1090" t="inlineStr">
        <is>
          <t>KATRINEHOLM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42488-2019</t>
        </is>
      </c>
      <c r="B1091" s="1" t="n">
        <v>43704</v>
      </c>
      <c r="C1091" s="1" t="n">
        <v>45186</v>
      </c>
      <c r="D1091" t="inlineStr">
        <is>
          <t>SÖDERMANLANDS LÄN</t>
        </is>
      </c>
      <c r="E1091" t="inlineStr">
        <is>
          <t>NYKÖPING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42496-2019</t>
        </is>
      </c>
      <c r="B1092" s="1" t="n">
        <v>43704</v>
      </c>
      <c r="C1092" s="1" t="n">
        <v>45186</v>
      </c>
      <c r="D1092" t="inlineStr">
        <is>
          <t>SÖDERMANLANDS LÄN</t>
        </is>
      </c>
      <c r="E1092" t="inlineStr">
        <is>
          <t>NYKÖPING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42491-2019</t>
        </is>
      </c>
      <c r="B1093" s="1" t="n">
        <v>43704</v>
      </c>
      <c r="C1093" s="1" t="n">
        <v>45186</v>
      </c>
      <c r="D1093" t="inlineStr">
        <is>
          <t>SÖDERMANLANDS LÄN</t>
        </is>
      </c>
      <c r="E1093" t="inlineStr">
        <is>
          <t>NYKÖPING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42516-2019</t>
        </is>
      </c>
      <c r="B1094" s="1" t="n">
        <v>43704</v>
      </c>
      <c r="C1094" s="1" t="n">
        <v>45186</v>
      </c>
      <c r="D1094" t="inlineStr">
        <is>
          <t>SÖDERMANLANDS LÄN</t>
        </is>
      </c>
      <c r="E1094" t="inlineStr">
        <is>
          <t>TROSA</t>
        </is>
      </c>
      <c r="F1094" t="inlineStr">
        <is>
          <t>Övriga Aktiebolag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42675-2019</t>
        </is>
      </c>
      <c r="B1095" s="1" t="n">
        <v>43704</v>
      </c>
      <c r="C1095" s="1" t="n">
        <v>45186</v>
      </c>
      <c r="D1095" t="inlineStr">
        <is>
          <t>SÖDERMANLANDS LÄN</t>
        </is>
      </c>
      <c r="E1095" t="inlineStr">
        <is>
          <t>VINGÅKER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44364-2019</t>
        </is>
      </c>
      <c r="B1096" s="1" t="n">
        <v>43705</v>
      </c>
      <c r="C1096" s="1" t="n">
        <v>45186</v>
      </c>
      <c r="D1096" t="inlineStr">
        <is>
          <t>SÖDERMANLANDS LÄN</t>
        </is>
      </c>
      <c r="E1096" t="inlineStr">
        <is>
          <t>ESKILSTUNA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44403-2019</t>
        </is>
      </c>
      <c r="B1097" s="1" t="n">
        <v>43705</v>
      </c>
      <c r="C1097" s="1" t="n">
        <v>45186</v>
      </c>
      <c r="D1097" t="inlineStr">
        <is>
          <t>SÖDERMANLANDS LÄN</t>
        </is>
      </c>
      <c r="E1097" t="inlineStr">
        <is>
          <t>KATRINEHOLM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43063-2019</t>
        </is>
      </c>
      <c r="B1098" s="1" t="n">
        <v>43705</v>
      </c>
      <c r="C1098" s="1" t="n">
        <v>45186</v>
      </c>
      <c r="D1098" t="inlineStr">
        <is>
          <t>SÖDERMANLANDS LÄN</t>
        </is>
      </c>
      <c r="E1098" t="inlineStr">
        <is>
          <t>NYKÖPING</t>
        </is>
      </c>
      <c r="G1098" t="n">
        <v>5.7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42897-2019</t>
        </is>
      </c>
      <c r="B1099" s="1" t="n">
        <v>43705</v>
      </c>
      <c r="C1099" s="1" t="n">
        <v>45186</v>
      </c>
      <c r="D1099" t="inlineStr">
        <is>
          <t>SÖDERMANLANDS LÄN</t>
        </is>
      </c>
      <c r="E1099" t="inlineStr">
        <is>
          <t>KATRINEHOLM</t>
        </is>
      </c>
      <c r="G1099" t="n">
        <v>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42946-2019</t>
        </is>
      </c>
      <c r="B1100" s="1" t="n">
        <v>43705</v>
      </c>
      <c r="C1100" s="1" t="n">
        <v>45186</v>
      </c>
      <c r="D1100" t="inlineStr">
        <is>
          <t>SÖDERMANLANDS LÄN</t>
        </is>
      </c>
      <c r="E1100" t="inlineStr">
        <is>
          <t>GNESTA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43110-2019</t>
        </is>
      </c>
      <c r="B1101" s="1" t="n">
        <v>43705</v>
      </c>
      <c r="C1101" s="1" t="n">
        <v>45186</v>
      </c>
      <c r="D1101" t="inlineStr">
        <is>
          <t>SÖDERMANLANDS LÄN</t>
        </is>
      </c>
      <c r="E1101" t="inlineStr">
        <is>
          <t>VINGÅKER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43312-2019</t>
        </is>
      </c>
      <c r="B1102" s="1" t="n">
        <v>43706</v>
      </c>
      <c r="C1102" s="1" t="n">
        <v>45186</v>
      </c>
      <c r="D1102" t="inlineStr">
        <is>
          <t>SÖDERMANLANDS LÄN</t>
        </is>
      </c>
      <c r="E1102" t="inlineStr">
        <is>
          <t>ESKILSTUNA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43577-2019</t>
        </is>
      </c>
      <c r="B1103" s="1" t="n">
        <v>43706</v>
      </c>
      <c r="C1103" s="1" t="n">
        <v>45186</v>
      </c>
      <c r="D1103" t="inlineStr">
        <is>
          <t>SÖDERMANLANDS LÄN</t>
        </is>
      </c>
      <c r="E1103" t="inlineStr">
        <is>
          <t>KATRINEHOLM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43575-2019</t>
        </is>
      </c>
      <c r="B1104" s="1" t="n">
        <v>43706</v>
      </c>
      <c r="C1104" s="1" t="n">
        <v>45186</v>
      </c>
      <c r="D1104" t="inlineStr">
        <is>
          <t>SÖDERMANLANDS LÄN</t>
        </is>
      </c>
      <c r="E1104" t="inlineStr">
        <is>
          <t>KATRINEHOLM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43580-2019</t>
        </is>
      </c>
      <c r="B1105" s="1" t="n">
        <v>43706</v>
      </c>
      <c r="C1105" s="1" t="n">
        <v>45186</v>
      </c>
      <c r="D1105" t="inlineStr">
        <is>
          <t>SÖDERMANLANDS LÄN</t>
        </is>
      </c>
      <c r="E1105" t="inlineStr">
        <is>
          <t>KATRINEHOLM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43579-2019</t>
        </is>
      </c>
      <c r="B1106" s="1" t="n">
        <v>43706</v>
      </c>
      <c r="C1106" s="1" t="n">
        <v>45186</v>
      </c>
      <c r="D1106" t="inlineStr">
        <is>
          <t>SÖDERMANLANDS LÄN</t>
        </is>
      </c>
      <c r="E1106" t="inlineStr">
        <is>
          <t>KATRINEHOLM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43301-2019</t>
        </is>
      </c>
      <c r="B1107" s="1" t="n">
        <v>43706</v>
      </c>
      <c r="C1107" s="1" t="n">
        <v>45186</v>
      </c>
      <c r="D1107" t="inlineStr">
        <is>
          <t>SÖDERMANLANDS LÄN</t>
        </is>
      </c>
      <c r="E1107" t="inlineStr">
        <is>
          <t>ESKILSTUNA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43571-2019</t>
        </is>
      </c>
      <c r="B1108" s="1" t="n">
        <v>43706</v>
      </c>
      <c r="C1108" s="1" t="n">
        <v>45186</v>
      </c>
      <c r="D1108" t="inlineStr">
        <is>
          <t>SÖDERMANLANDS LÄN</t>
        </is>
      </c>
      <c r="E1108" t="inlineStr">
        <is>
          <t>STRÄNGNÄS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45332-2019</t>
        </is>
      </c>
      <c r="B1109" s="1" t="n">
        <v>43709</v>
      </c>
      <c r="C1109" s="1" t="n">
        <v>45186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45326-2019</t>
        </is>
      </c>
      <c r="B1110" s="1" t="n">
        <v>43709</v>
      </c>
      <c r="C1110" s="1" t="n">
        <v>45186</v>
      </c>
      <c r="D1110" t="inlineStr">
        <is>
          <t>SÖDERMANLANDS LÄN</t>
        </is>
      </c>
      <c r="E1110" t="inlineStr">
        <is>
          <t>KATRINEHOLM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44286-2019</t>
        </is>
      </c>
      <c r="B1111" s="1" t="n">
        <v>43710</v>
      </c>
      <c r="C1111" s="1" t="n">
        <v>45186</v>
      </c>
      <c r="D1111" t="inlineStr">
        <is>
          <t>SÖDERMANLANDS LÄN</t>
        </is>
      </c>
      <c r="E1111" t="inlineStr">
        <is>
          <t>KATRINEHOLM</t>
        </is>
      </c>
      <c r="G1111" t="n">
        <v>18.9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44309-2019</t>
        </is>
      </c>
      <c r="B1112" s="1" t="n">
        <v>43710</v>
      </c>
      <c r="C1112" s="1" t="n">
        <v>45186</v>
      </c>
      <c r="D1112" t="inlineStr">
        <is>
          <t>SÖDERMANLANDS LÄN</t>
        </is>
      </c>
      <c r="E1112" t="inlineStr">
        <is>
          <t>NYKÖPING</t>
        </is>
      </c>
      <c r="G1112" t="n">
        <v>16.3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45318-2019</t>
        </is>
      </c>
      <c r="B1113" s="1" t="n">
        <v>43710</v>
      </c>
      <c r="C1113" s="1" t="n">
        <v>45186</v>
      </c>
      <c r="D1113" t="inlineStr">
        <is>
          <t>SÖDERMANLANDS LÄN</t>
        </is>
      </c>
      <c r="E1113" t="inlineStr">
        <is>
          <t>KATRINEHOLM</t>
        </is>
      </c>
      <c r="G1113" t="n">
        <v>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44215-2019</t>
        </is>
      </c>
      <c r="B1114" s="1" t="n">
        <v>43710</v>
      </c>
      <c r="C1114" s="1" t="n">
        <v>45186</v>
      </c>
      <c r="D1114" t="inlineStr">
        <is>
          <t>SÖDERMANLANDS LÄN</t>
        </is>
      </c>
      <c r="E1114" t="inlineStr">
        <is>
          <t>KATRINEHOLM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44276-2019</t>
        </is>
      </c>
      <c r="B1115" s="1" t="n">
        <v>43710</v>
      </c>
      <c r="C1115" s="1" t="n">
        <v>45186</v>
      </c>
      <c r="D1115" t="inlineStr">
        <is>
          <t>SÖDERMANLANDS LÄN</t>
        </is>
      </c>
      <c r="E1115" t="inlineStr">
        <is>
          <t>KATRINEHOLM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44184-2019</t>
        </is>
      </c>
      <c r="B1116" s="1" t="n">
        <v>43710</v>
      </c>
      <c r="C1116" s="1" t="n">
        <v>45186</v>
      </c>
      <c r="D1116" t="inlineStr">
        <is>
          <t>SÖDERMANLANDS LÄN</t>
        </is>
      </c>
      <c r="E1116" t="inlineStr">
        <is>
          <t>KATRINEHOLM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44283-2019</t>
        </is>
      </c>
      <c r="B1117" s="1" t="n">
        <v>43710</v>
      </c>
      <c r="C1117" s="1" t="n">
        <v>45186</v>
      </c>
      <c r="D1117" t="inlineStr">
        <is>
          <t>SÖDERMANLANDS LÄN</t>
        </is>
      </c>
      <c r="E1117" t="inlineStr">
        <is>
          <t>KATRINEHOLM</t>
        </is>
      </c>
      <c r="G1117" t="n">
        <v>10.5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44504-2019</t>
        </is>
      </c>
      <c r="B1118" s="1" t="n">
        <v>43711</v>
      </c>
      <c r="C1118" s="1" t="n">
        <v>45186</v>
      </c>
      <c r="D1118" t="inlineStr">
        <is>
          <t>SÖDERMANLANDS LÄN</t>
        </is>
      </c>
      <c r="E1118" t="inlineStr">
        <is>
          <t>GNESTA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45642-2019</t>
        </is>
      </c>
      <c r="B1119" s="1" t="n">
        <v>43711</v>
      </c>
      <c r="C1119" s="1" t="n">
        <v>45186</v>
      </c>
      <c r="D1119" t="inlineStr">
        <is>
          <t>SÖDERMANLANDS LÄN</t>
        </is>
      </c>
      <c r="E1119" t="inlineStr">
        <is>
          <t>KATRINEHOLM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45780-2019</t>
        </is>
      </c>
      <c r="B1120" s="1" t="n">
        <v>43711</v>
      </c>
      <c r="C1120" s="1" t="n">
        <v>45186</v>
      </c>
      <c r="D1120" t="inlineStr">
        <is>
          <t>SÖDERMANLANDS LÄN</t>
        </is>
      </c>
      <c r="E1120" t="inlineStr">
        <is>
          <t>KATRINEHOLM</t>
        </is>
      </c>
      <c r="F1120" t="inlineStr">
        <is>
          <t>Övriga Aktiebolag</t>
        </is>
      </c>
      <c r="G1120" t="n">
        <v>16.5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44742-2019</t>
        </is>
      </c>
      <c r="B1121" s="1" t="n">
        <v>43712</v>
      </c>
      <c r="C1121" s="1" t="n">
        <v>45186</v>
      </c>
      <c r="D1121" t="inlineStr">
        <is>
          <t>SÖDERMANLANDS LÄN</t>
        </is>
      </c>
      <c r="E1121" t="inlineStr">
        <is>
          <t>ESKILSTUNA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44859-2019</t>
        </is>
      </c>
      <c r="B1122" s="1" t="n">
        <v>43712</v>
      </c>
      <c r="C1122" s="1" t="n">
        <v>45186</v>
      </c>
      <c r="D1122" t="inlineStr">
        <is>
          <t>SÖDERMANLANDS LÄN</t>
        </is>
      </c>
      <c r="E1122" t="inlineStr">
        <is>
          <t>KATRINEHOLM</t>
        </is>
      </c>
      <c r="G1122" t="n">
        <v>26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44698-2019</t>
        </is>
      </c>
      <c r="B1123" s="1" t="n">
        <v>43712</v>
      </c>
      <c r="C1123" s="1" t="n">
        <v>45186</v>
      </c>
      <c r="D1123" t="inlineStr">
        <is>
          <t>SÖDERMANLANDS LÄN</t>
        </is>
      </c>
      <c r="E1123" t="inlineStr">
        <is>
          <t>ESKILSTUNA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44764-2019</t>
        </is>
      </c>
      <c r="B1124" s="1" t="n">
        <v>43712</v>
      </c>
      <c r="C1124" s="1" t="n">
        <v>45186</v>
      </c>
      <c r="D1124" t="inlineStr">
        <is>
          <t>SÖDERMANLANDS LÄN</t>
        </is>
      </c>
      <c r="E1124" t="inlineStr">
        <is>
          <t>VINGÅKER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44862-2019</t>
        </is>
      </c>
      <c r="B1125" s="1" t="n">
        <v>43712</v>
      </c>
      <c r="C1125" s="1" t="n">
        <v>45186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45181-2019</t>
        </is>
      </c>
      <c r="B1126" s="1" t="n">
        <v>43713</v>
      </c>
      <c r="C1126" s="1" t="n">
        <v>45186</v>
      </c>
      <c r="D1126" t="inlineStr">
        <is>
          <t>SÖDERMANLANDS LÄN</t>
        </is>
      </c>
      <c r="E1126" t="inlineStr">
        <is>
          <t>ESKILSTUNA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45248-2019</t>
        </is>
      </c>
      <c r="B1127" s="1" t="n">
        <v>43713</v>
      </c>
      <c r="C1127" s="1" t="n">
        <v>45186</v>
      </c>
      <c r="D1127" t="inlineStr">
        <is>
          <t>SÖDERMANLANDS LÄN</t>
        </is>
      </c>
      <c r="E1127" t="inlineStr">
        <is>
          <t>KATRINEHOLM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45246-2019</t>
        </is>
      </c>
      <c r="B1128" s="1" t="n">
        <v>43713</v>
      </c>
      <c r="C1128" s="1" t="n">
        <v>45186</v>
      </c>
      <c r="D1128" t="inlineStr">
        <is>
          <t>SÖDERMANLANDS LÄN</t>
        </is>
      </c>
      <c r="E1128" t="inlineStr">
        <is>
          <t>KATRINEHOLM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46419-2019</t>
        </is>
      </c>
      <c r="B1129" s="1" t="n">
        <v>43716</v>
      </c>
      <c r="C1129" s="1" t="n">
        <v>45186</v>
      </c>
      <c r="D1129" t="inlineStr">
        <is>
          <t>SÖDERMANLANDS LÄN</t>
        </is>
      </c>
      <c r="E1129" t="inlineStr">
        <is>
          <t>VINGÅKER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46628-2019</t>
        </is>
      </c>
      <c r="B1130" s="1" t="n">
        <v>43717</v>
      </c>
      <c r="C1130" s="1" t="n">
        <v>45186</v>
      </c>
      <c r="D1130" t="inlineStr">
        <is>
          <t>SÖDERMANLANDS LÄN</t>
        </is>
      </c>
      <c r="E1130" t="inlineStr">
        <is>
          <t>FLEN</t>
        </is>
      </c>
      <c r="G1130" t="n">
        <v>16.2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46504-2019</t>
        </is>
      </c>
      <c r="B1131" s="1" t="n">
        <v>43717</v>
      </c>
      <c r="C1131" s="1" t="n">
        <v>45186</v>
      </c>
      <c r="D1131" t="inlineStr">
        <is>
          <t>SÖDERMANLANDS LÄN</t>
        </is>
      </c>
      <c r="E1131" t="inlineStr">
        <is>
          <t>NYKÖPING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46634-2019</t>
        </is>
      </c>
      <c r="B1132" s="1" t="n">
        <v>43717</v>
      </c>
      <c r="C1132" s="1" t="n">
        <v>45186</v>
      </c>
      <c r="D1132" t="inlineStr">
        <is>
          <t>SÖDERMANLANDS LÄN</t>
        </is>
      </c>
      <c r="E1132" t="inlineStr">
        <is>
          <t>GNESTA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46078-2019</t>
        </is>
      </c>
      <c r="B1133" s="1" t="n">
        <v>43718</v>
      </c>
      <c r="C1133" s="1" t="n">
        <v>45186</v>
      </c>
      <c r="D1133" t="inlineStr">
        <is>
          <t>SÖDERMANLANDS LÄN</t>
        </is>
      </c>
      <c r="E1133" t="inlineStr">
        <is>
          <t>NYKÖPING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47113-2019</t>
        </is>
      </c>
      <c r="B1134" s="1" t="n">
        <v>43720</v>
      </c>
      <c r="C1134" s="1" t="n">
        <v>45186</v>
      </c>
      <c r="D1134" t="inlineStr">
        <is>
          <t>SÖDERMANLANDS LÄN</t>
        </is>
      </c>
      <c r="E1134" t="inlineStr">
        <is>
          <t>GNESTA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47034-2019</t>
        </is>
      </c>
      <c r="B1135" s="1" t="n">
        <v>43720</v>
      </c>
      <c r="C1135" s="1" t="n">
        <v>45186</v>
      </c>
      <c r="D1135" t="inlineStr">
        <is>
          <t>SÖDERMANLANDS LÄN</t>
        </is>
      </c>
      <c r="E1135" t="inlineStr">
        <is>
          <t>NYKÖPING</t>
        </is>
      </c>
      <c r="F1135" t="inlineStr">
        <is>
          <t>Övriga Aktiebolag</t>
        </is>
      </c>
      <c r="G1135" t="n">
        <v>3.7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47115-2019</t>
        </is>
      </c>
      <c r="B1136" s="1" t="n">
        <v>43720</v>
      </c>
      <c r="C1136" s="1" t="n">
        <v>45186</v>
      </c>
      <c r="D1136" t="inlineStr">
        <is>
          <t>SÖDERMANLANDS LÄN</t>
        </is>
      </c>
      <c r="E1136" t="inlineStr">
        <is>
          <t>GNESTA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47122-2019</t>
        </is>
      </c>
      <c r="B1137" s="1" t="n">
        <v>43721</v>
      </c>
      <c r="C1137" s="1" t="n">
        <v>45186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8.5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47196-2019</t>
        </is>
      </c>
      <c r="B1138" s="1" t="n">
        <v>43721</v>
      </c>
      <c r="C1138" s="1" t="n">
        <v>45186</v>
      </c>
      <c r="D1138" t="inlineStr">
        <is>
          <t>SÖDERMANLANDS LÄN</t>
        </is>
      </c>
      <c r="E1138" t="inlineStr">
        <is>
          <t>GNESTA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47345-2019</t>
        </is>
      </c>
      <c r="B1139" s="1" t="n">
        <v>43721</v>
      </c>
      <c r="C1139" s="1" t="n">
        <v>45186</v>
      </c>
      <c r="D1139" t="inlineStr">
        <is>
          <t>SÖDERMANLANDS LÄN</t>
        </is>
      </c>
      <c r="E1139" t="inlineStr">
        <is>
          <t>FLEN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47127-2019</t>
        </is>
      </c>
      <c r="B1140" s="1" t="n">
        <v>43721</v>
      </c>
      <c r="C1140" s="1" t="n">
        <v>45186</v>
      </c>
      <c r="D1140" t="inlineStr">
        <is>
          <t>SÖDERMANLANDS LÄN</t>
        </is>
      </c>
      <c r="E1140" t="inlineStr">
        <is>
          <t>NYKÖPING</t>
        </is>
      </c>
      <c r="G1140" t="n">
        <v>49.7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47128-2019</t>
        </is>
      </c>
      <c r="B1141" s="1" t="n">
        <v>43721</v>
      </c>
      <c r="C1141" s="1" t="n">
        <v>45186</v>
      </c>
      <c r="D1141" t="inlineStr">
        <is>
          <t>SÖDERMANLANDS LÄN</t>
        </is>
      </c>
      <c r="E1141" t="inlineStr">
        <is>
          <t>NYKÖPING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47200-2019</t>
        </is>
      </c>
      <c r="B1142" s="1" t="n">
        <v>43721</v>
      </c>
      <c r="C1142" s="1" t="n">
        <v>45186</v>
      </c>
      <c r="D1142" t="inlineStr">
        <is>
          <t>SÖDERMANLANDS LÄN</t>
        </is>
      </c>
      <c r="E1142" t="inlineStr">
        <is>
          <t>VINGÅKER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47280-2019</t>
        </is>
      </c>
      <c r="B1143" s="1" t="n">
        <v>43721</v>
      </c>
      <c r="C1143" s="1" t="n">
        <v>45186</v>
      </c>
      <c r="D1143" t="inlineStr">
        <is>
          <t>SÖDERMANLANDS LÄN</t>
        </is>
      </c>
      <c r="E1143" t="inlineStr">
        <is>
          <t>ESKILSTUNA</t>
        </is>
      </c>
      <c r="G1143" t="n">
        <v>18.1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47431-2019</t>
        </is>
      </c>
      <c r="B1144" s="1" t="n">
        <v>43723</v>
      </c>
      <c r="C1144" s="1" t="n">
        <v>45186</v>
      </c>
      <c r="D1144" t="inlineStr">
        <is>
          <t>SÖDERMANLANDS LÄN</t>
        </is>
      </c>
      <c r="E1144" t="inlineStr">
        <is>
          <t>NYKÖPING</t>
        </is>
      </c>
      <c r="F1144" t="inlineStr">
        <is>
          <t>Övriga Aktiebolag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47537-2019</t>
        </is>
      </c>
      <c r="B1145" s="1" t="n">
        <v>43724</v>
      </c>
      <c r="C1145" s="1" t="n">
        <v>45186</v>
      </c>
      <c r="D1145" t="inlineStr">
        <is>
          <t>SÖDERMANLANDS LÄN</t>
        </is>
      </c>
      <c r="E1145" t="inlineStr">
        <is>
          <t>VINGÅKER</t>
        </is>
      </c>
      <c r="F1145" t="inlineStr">
        <is>
          <t>Övriga Aktiebolag</t>
        </is>
      </c>
      <c r="G1145" t="n">
        <v>4.6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47682-2019</t>
        </is>
      </c>
      <c r="B1146" s="1" t="n">
        <v>43724</v>
      </c>
      <c r="C1146" s="1" t="n">
        <v>45186</v>
      </c>
      <c r="D1146" t="inlineStr">
        <is>
          <t>SÖDERMANLANDS LÄN</t>
        </is>
      </c>
      <c r="E1146" t="inlineStr">
        <is>
          <t>GNESTA</t>
        </is>
      </c>
      <c r="G1146" t="n">
        <v>10.5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47553-2019</t>
        </is>
      </c>
      <c r="B1147" s="1" t="n">
        <v>43724</v>
      </c>
      <c r="C1147" s="1" t="n">
        <v>45186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47770-2019</t>
        </is>
      </c>
      <c r="B1148" s="1" t="n">
        <v>43724</v>
      </c>
      <c r="C1148" s="1" t="n">
        <v>45186</v>
      </c>
      <c r="D1148" t="inlineStr">
        <is>
          <t>SÖDERMANLANDS LÄN</t>
        </is>
      </c>
      <c r="E1148" t="inlineStr">
        <is>
          <t>GNESTA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47599-2019</t>
        </is>
      </c>
      <c r="B1149" s="1" t="n">
        <v>43724</v>
      </c>
      <c r="C1149" s="1" t="n">
        <v>45186</v>
      </c>
      <c r="D1149" t="inlineStr">
        <is>
          <t>SÖDERMANLANDS LÄN</t>
        </is>
      </c>
      <c r="E1149" t="inlineStr">
        <is>
          <t>VINGÅKER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47825-2019</t>
        </is>
      </c>
      <c r="B1150" s="1" t="n">
        <v>43725</v>
      </c>
      <c r="C1150" s="1" t="n">
        <v>45186</v>
      </c>
      <c r="D1150" t="inlineStr">
        <is>
          <t>SÖDERMANLANDS LÄN</t>
        </is>
      </c>
      <c r="E1150" t="inlineStr">
        <is>
          <t>STRÄNGNÄS</t>
        </is>
      </c>
      <c r="F1150" t="inlineStr">
        <is>
          <t>Övriga Aktiebolag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47866-2019</t>
        </is>
      </c>
      <c r="B1151" s="1" t="n">
        <v>43725</v>
      </c>
      <c r="C1151" s="1" t="n">
        <v>45186</v>
      </c>
      <c r="D1151" t="inlineStr">
        <is>
          <t>SÖDERMANLANDS LÄN</t>
        </is>
      </c>
      <c r="E1151" t="inlineStr">
        <is>
          <t>VINGÅKER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47935-2019</t>
        </is>
      </c>
      <c r="B1152" s="1" t="n">
        <v>43725</v>
      </c>
      <c r="C1152" s="1" t="n">
        <v>45186</v>
      </c>
      <c r="D1152" t="inlineStr">
        <is>
          <t>SÖDERMANLANDS LÄN</t>
        </is>
      </c>
      <c r="E1152" t="inlineStr">
        <is>
          <t>KATRINEHOLM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48078-2019</t>
        </is>
      </c>
      <c r="B1153" s="1" t="n">
        <v>43725</v>
      </c>
      <c r="C1153" s="1" t="n">
        <v>45186</v>
      </c>
      <c r="D1153" t="inlineStr">
        <is>
          <t>SÖDERMANLANDS LÄN</t>
        </is>
      </c>
      <c r="E1153" t="inlineStr">
        <is>
          <t>FLEN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48240-2019</t>
        </is>
      </c>
      <c r="B1154" s="1" t="n">
        <v>43726</v>
      </c>
      <c r="C1154" s="1" t="n">
        <v>45186</v>
      </c>
      <c r="D1154" t="inlineStr">
        <is>
          <t>SÖDERMANLANDS LÄN</t>
        </is>
      </c>
      <c r="E1154" t="inlineStr">
        <is>
          <t>FLEN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48581-2019</t>
        </is>
      </c>
      <c r="B1155" s="1" t="n">
        <v>43727</v>
      </c>
      <c r="C1155" s="1" t="n">
        <v>45186</v>
      </c>
      <c r="D1155" t="inlineStr">
        <is>
          <t>SÖDERMANLANDS LÄN</t>
        </is>
      </c>
      <c r="E1155" t="inlineStr">
        <is>
          <t>KATRINEHOLM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48792-2019</t>
        </is>
      </c>
      <c r="B1156" s="1" t="n">
        <v>43727</v>
      </c>
      <c r="C1156" s="1" t="n">
        <v>45186</v>
      </c>
      <c r="D1156" t="inlineStr">
        <is>
          <t>SÖDERMANLANDS LÄN</t>
        </is>
      </c>
      <c r="E1156" t="inlineStr">
        <is>
          <t>STRÄNGNÄS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48452-2019</t>
        </is>
      </c>
      <c r="B1157" s="1" t="n">
        <v>43727</v>
      </c>
      <c r="C1157" s="1" t="n">
        <v>45186</v>
      </c>
      <c r="D1157" t="inlineStr">
        <is>
          <t>SÖDERMANLANDS LÄN</t>
        </is>
      </c>
      <c r="E1157" t="inlineStr">
        <is>
          <t>NYKÖPING</t>
        </is>
      </c>
      <c r="G1157" t="n">
        <v>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48726-2019</t>
        </is>
      </c>
      <c r="B1158" s="1" t="n">
        <v>43728</v>
      </c>
      <c r="C1158" s="1" t="n">
        <v>45186</v>
      </c>
      <c r="D1158" t="inlineStr">
        <is>
          <t>SÖDERMANLANDS LÄN</t>
        </is>
      </c>
      <c r="E1158" t="inlineStr">
        <is>
          <t>NYKÖPING</t>
        </is>
      </c>
      <c r="G1158" t="n">
        <v>2.9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48829-2019</t>
        </is>
      </c>
      <c r="B1159" s="1" t="n">
        <v>43728</v>
      </c>
      <c r="C1159" s="1" t="n">
        <v>45186</v>
      </c>
      <c r="D1159" t="inlineStr">
        <is>
          <t>SÖDERMANLANDS LÄN</t>
        </is>
      </c>
      <c r="E1159" t="inlineStr">
        <is>
          <t>GNESTA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48827-2019</t>
        </is>
      </c>
      <c r="B1160" s="1" t="n">
        <v>43728</v>
      </c>
      <c r="C1160" s="1" t="n">
        <v>45186</v>
      </c>
      <c r="D1160" t="inlineStr">
        <is>
          <t>SÖDERMANLANDS LÄN</t>
        </is>
      </c>
      <c r="E1160" t="inlineStr">
        <is>
          <t>GNESTA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48848-2019</t>
        </is>
      </c>
      <c r="B1161" s="1" t="n">
        <v>43728</v>
      </c>
      <c r="C1161" s="1" t="n">
        <v>45186</v>
      </c>
      <c r="D1161" t="inlineStr">
        <is>
          <t>SÖDERMANLANDS LÄN</t>
        </is>
      </c>
      <c r="E1161" t="inlineStr">
        <is>
          <t>NYKÖPING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48943-2019</t>
        </is>
      </c>
      <c r="B1162" s="1" t="n">
        <v>43728</v>
      </c>
      <c r="C1162" s="1" t="n">
        <v>45186</v>
      </c>
      <c r="D1162" t="inlineStr">
        <is>
          <t>SÖDERMANLANDS LÄN</t>
        </is>
      </c>
      <c r="E1162" t="inlineStr">
        <is>
          <t>ESKILSTUNA</t>
        </is>
      </c>
      <c r="F1162" t="inlineStr">
        <is>
          <t>Naturvårdsverket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49342-2019</t>
        </is>
      </c>
      <c r="B1163" s="1" t="n">
        <v>43730</v>
      </c>
      <c r="C1163" s="1" t="n">
        <v>45186</v>
      </c>
      <c r="D1163" t="inlineStr">
        <is>
          <t>SÖDERMANLANDS LÄN</t>
        </is>
      </c>
      <c r="E1163" t="inlineStr">
        <is>
          <t>FLEN</t>
        </is>
      </c>
      <c r="G1163" t="n">
        <v>4.6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49320-2019</t>
        </is>
      </c>
      <c r="B1164" s="1" t="n">
        <v>43731</v>
      </c>
      <c r="C1164" s="1" t="n">
        <v>45186</v>
      </c>
      <c r="D1164" t="inlineStr">
        <is>
          <t>SÖDERMANLANDS LÄN</t>
        </is>
      </c>
      <c r="E1164" t="inlineStr">
        <is>
          <t>VINGÅKER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49315-2019</t>
        </is>
      </c>
      <c r="B1165" s="1" t="n">
        <v>43731</v>
      </c>
      <c r="C1165" s="1" t="n">
        <v>45186</v>
      </c>
      <c r="D1165" t="inlineStr">
        <is>
          <t>SÖDERMANLANDS LÄN</t>
        </is>
      </c>
      <c r="E1165" t="inlineStr">
        <is>
          <t>VINGÅKER</t>
        </is>
      </c>
      <c r="G1165" t="n">
        <v>7.3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49346-2019</t>
        </is>
      </c>
      <c r="B1166" s="1" t="n">
        <v>43731</v>
      </c>
      <c r="C1166" s="1" t="n">
        <v>45186</v>
      </c>
      <c r="D1166" t="inlineStr">
        <is>
          <t>SÖDERMANLANDS LÄN</t>
        </is>
      </c>
      <c r="E1166" t="inlineStr">
        <is>
          <t>KATRINEHOLM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49088-2019</t>
        </is>
      </c>
      <c r="B1167" s="1" t="n">
        <v>43731</v>
      </c>
      <c r="C1167" s="1" t="n">
        <v>45186</v>
      </c>
      <c r="D1167" t="inlineStr">
        <is>
          <t>SÖDERMANLANDS LÄN</t>
        </is>
      </c>
      <c r="E1167" t="inlineStr">
        <is>
          <t>VINGÅKER</t>
        </is>
      </c>
      <c r="G1167" t="n">
        <v>11.5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49101-2019</t>
        </is>
      </c>
      <c r="B1168" s="1" t="n">
        <v>43731</v>
      </c>
      <c r="C1168" s="1" t="n">
        <v>45186</v>
      </c>
      <c r="D1168" t="inlineStr">
        <is>
          <t>SÖDERMANLANDS LÄN</t>
        </is>
      </c>
      <c r="E1168" t="inlineStr">
        <is>
          <t>VINGÅKER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49515-2019</t>
        </is>
      </c>
      <c r="B1169" s="1" t="n">
        <v>43732</v>
      </c>
      <c r="C1169" s="1" t="n">
        <v>45186</v>
      </c>
      <c r="D1169" t="inlineStr">
        <is>
          <t>SÖDERMANLANDS LÄN</t>
        </is>
      </c>
      <c r="E1169" t="inlineStr">
        <is>
          <t>TROSA</t>
        </is>
      </c>
      <c r="F1169" t="inlineStr">
        <is>
          <t>Holmen skog AB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51122-2019</t>
        </is>
      </c>
      <c r="B1170" s="1" t="n">
        <v>43732</v>
      </c>
      <c r="C1170" s="1" t="n">
        <v>45186</v>
      </c>
      <c r="D1170" t="inlineStr">
        <is>
          <t>SÖDERMANLANDS LÄN</t>
        </is>
      </c>
      <c r="E1170" t="inlineStr">
        <is>
          <t>VINGÅKER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49630-2019</t>
        </is>
      </c>
      <c r="B1171" s="1" t="n">
        <v>43732</v>
      </c>
      <c r="C1171" s="1" t="n">
        <v>45186</v>
      </c>
      <c r="D1171" t="inlineStr">
        <is>
          <t>SÖDERMANLANDS LÄN</t>
        </is>
      </c>
      <c r="E1171" t="inlineStr">
        <is>
          <t>ESKILSTUNA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49628-2019</t>
        </is>
      </c>
      <c r="B1172" s="1" t="n">
        <v>43732</v>
      </c>
      <c r="C1172" s="1" t="n">
        <v>45186</v>
      </c>
      <c r="D1172" t="inlineStr">
        <is>
          <t>SÖDERMANLANDS LÄN</t>
        </is>
      </c>
      <c r="E1172" t="inlineStr">
        <is>
          <t>ESKILSTUNA</t>
        </is>
      </c>
      <c r="G1172" t="n">
        <v>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50184-2019</t>
        </is>
      </c>
      <c r="B1173" s="1" t="n">
        <v>43733</v>
      </c>
      <c r="C1173" s="1" t="n">
        <v>45186</v>
      </c>
      <c r="D1173" t="inlineStr">
        <is>
          <t>SÖDERMANLANDS LÄN</t>
        </is>
      </c>
      <c r="E1173" t="inlineStr">
        <is>
          <t>VINGÅKER</t>
        </is>
      </c>
      <c r="F1173" t="inlineStr">
        <is>
          <t>Övriga Aktiebolag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50046-2019</t>
        </is>
      </c>
      <c r="B1174" s="1" t="n">
        <v>43733</v>
      </c>
      <c r="C1174" s="1" t="n">
        <v>45186</v>
      </c>
      <c r="D1174" t="inlineStr">
        <is>
          <t>SÖDERMANLANDS LÄN</t>
        </is>
      </c>
      <c r="E1174" t="inlineStr">
        <is>
          <t>NYKÖPING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50192-2019</t>
        </is>
      </c>
      <c r="B1175" s="1" t="n">
        <v>43733</v>
      </c>
      <c r="C1175" s="1" t="n">
        <v>45186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50018-2019</t>
        </is>
      </c>
      <c r="B1176" s="1" t="n">
        <v>43734</v>
      </c>
      <c r="C1176" s="1" t="n">
        <v>45186</v>
      </c>
      <c r="D1176" t="inlineStr">
        <is>
          <t>SÖDERMANLANDS LÄN</t>
        </is>
      </c>
      <c r="E1176" t="inlineStr">
        <is>
          <t>GNESTA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50149-2019</t>
        </is>
      </c>
      <c r="B1177" s="1" t="n">
        <v>43734</v>
      </c>
      <c r="C1177" s="1" t="n">
        <v>45186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Holmen skog AB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50205-2019</t>
        </is>
      </c>
      <c r="B1178" s="1" t="n">
        <v>43734</v>
      </c>
      <c r="C1178" s="1" t="n">
        <v>45186</v>
      </c>
      <c r="D1178" t="inlineStr">
        <is>
          <t>SÖDERMANLANDS LÄN</t>
        </is>
      </c>
      <c r="E1178" t="inlineStr">
        <is>
          <t>STRÄNGNÄS</t>
        </is>
      </c>
      <c r="F1178" t="inlineStr">
        <is>
          <t>Allmännings- och besparingsskogar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50176-2019</t>
        </is>
      </c>
      <c r="B1179" s="1" t="n">
        <v>43734</v>
      </c>
      <c r="C1179" s="1" t="n">
        <v>45186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52086-2019</t>
        </is>
      </c>
      <c r="B1180" s="1" t="n">
        <v>43735</v>
      </c>
      <c r="C1180" s="1" t="n">
        <v>45186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50339-2019</t>
        </is>
      </c>
      <c r="B1181" s="1" t="n">
        <v>43735</v>
      </c>
      <c r="C1181" s="1" t="n">
        <v>45186</v>
      </c>
      <c r="D1181" t="inlineStr">
        <is>
          <t>SÖDERMANLANDS LÄN</t>
        </is>
      </c>
      <c r="E1181" t="inlineStr">
        <is>
          <t>ESKILSTUNA</t>
        </is>
      </c>
      <c r="F1181" t="inlineStr">
        <is>
          <t>Allmännings- och besparingsskogar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52147-2019</t>
        </is>
      </c>
      <c r="B1182" s="1" t="n">
        <v>43735</v>
      </c>
      <c r="C1182" s="1" t="n">
        <v>45186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50951-2019</t>
        </is>
      </c>
      <c r="B1183" s="1" t="n">
        <v>43738</v>
      </c>
      <c r="C1183" s="1" t="n">
        <v>45186</v>
      </c>
      <c r="D1183" t="inlineStr">
        <is>
          <t>SÖDERMANLANDS LÄN</t>
        </is>
      </c>
      <c r="E1183" t="inlineStr">
        <is>
          <t>ESKILSTUNA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50710-2019</t>
        </is>
      </c>
      <c r="B1184" s="1" t="n">
        <v>43738</v>
      </c>
      <c r="C1184" s="1" t="n">
        <v>45186</v>
      </c>
      <c r="D1184" t="inlineStr">
        <is>
          <t>SÖDERMANLANDS LÄN</t>
        </is>
      </c>
      <c r="E1184" t="inlineStr">
        <is>
          <t>FLEN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50869-2019</t>
        </is>
      </c>
      <c r="B1185" s="1" t="n">
        <v>43738</v>
      </c>
      <c r="C1185" s="1" t="n">
        <v>45186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51233-2019</t>
        </is>
      </c>
      <c r="B1186" s="1" t="n">
        <v>43739</v>
      </c>
      <c r="C1186" s="1" t="n">
        <v>45186</v>
      </c>
      <c r="D1186" t="inlineStr">
        <is>
          <t>SÖDERMANLANDS LÄN</t>
        </is>
      </c>
      <c r="E1186" t="inlineStr">
        <is>
          <t>KATRINEHOLM</t>
        </is>
      </c>
      <c r="G1186" t="n">
        <v>7.4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51298-2019</t>
        </is>
      </c>
      <c r="B1187" s="1" t="n">
        <v>43739</v>
      </c>
      <c r="C1187" s="1" t="n">
        <v>45186</v>
      </c>
      <c r="D1187" t="inlineStr">
        <is>
          <t>SÖDERMANLANDS LÄN</t>
        </is>
      </c>
      <c r="E1187" t="inlineStr">
        <is>
          <t>NYKÖPING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51139-2019</t>
        </is>
      </c>
      <c r="B1188" s="1" t="n">
        <v>43739</v>
      </c>
      <c r="C1188" s="1" t="n">
        <v>45186</v>
      </c>
      <c r="D1188" t="inlineStr">
        <is>
          <t>SÖDERMANLANDS LÄN</t>
        </is>
      </c>
      <c r="E1188" t="inlineStr">
        <is>
          <t>VINGÅKER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51296-2019</t>
        </is>
      </c>
      <c r="B1189" s="1" t="n">
        <v>43739</v>
      </c>
      <c r="C1189" s="1" t="n">
        <v>45186</v>
      </c>
      <c r="D1189" t="inlineStr">
        <is>
          <t>SÖDERMANLANDS LÄN</t>
        </is>
      </c>
      <c r="E1189" t="inlineStr">
        <is>
          <t>NYKÖPING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51109-2019</t>
        </is>
      </c>
      <c r="B1190" s="1" t="n">
        <v>43739</v>
      </c>
      <c r="C1190" s="1" t="n">
        <v>45186</v>
      </c>
      <c r="D1190" t="inlineStr">
        <is>
          <t>SÖDERMANLANDS LÄN</t>
        </is>
      </c>
      <c r="E1190" t="inlineStr">
        <is>
          <t>KATRINEHOLM</t>
        </is>
      </c>
      <c r="G1190" t="n">
        <v>7.8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51170-2019</t>
        </is>
      </c>
      <c r="B1191" s="1" t="n">
        <v>43739</v>
      </c>
      <c r="C1191" s="1" t="n">
        <v>45186</v>
      </c>
      <c r="D1191" t="inlineStr">
        <is>
          <t>SÖDERMANLANDS LÄN</t>
        </is>
      </c>
      <c r="E1191" t="inlineStr">
        <is>
          <t>FLEN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51151-2019</t>
        </is>
      </c>
      <c r="B1192" s="1" t="n">
        <v>43739</v>
      </c>
      <c r="C1192" s="1" t="n">
        <v>45186</v>
      </c>
      <c r="D1192" t="inlineStr">
        <is>
          <t>SÖDERMANLANDS LÄN</t>
        </is>
      </c>
      <c r="E1192" t="inlineStr">
        <is>
          <t>VINGÅKER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51292-2019</t>
        </is>
      </c>
      <c r="B1193" s="1" t="n">
        <v>43739</v>
      </c>
      <c r="C1193" s="1" t="n">
        <v>45186</v>
      </c>
      <c r="D1193" t="inlineStr">
        <is>
          <t>SÖDERMANLANDS LÄN</t>
        </is>
      </c>
      <c r="E1193" t="inlineStr">
        <is>
          <t>ESKILSTUNA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52889-2019</t>
        </is>
      </c>
      <c r="B1194" s="1" t="n">
        <v>43740</v>
      </c>
      <c r="C1194" s="1" t="n">
        <v>45186</v>
      </c>
      <c r="D1194" t="inlineStr">
        <is>
          <t>SÖDERMANLANDS LÄN</t>
        </is>
      </c>
      <c r="E1194" t="inlineStr">
        <is>
          <t>VINGÅKER</t>
        </is>
      </c>
      <c r="G1194" t="n">
        <v>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51636-2019</t>
        </is>
      </c>
      <c r="B1195" s="1" t="n">
        <v>43740</v>
      </c>
      <c r="C1195" s="1" t="n">
        <v>45186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51648-2019</t>
        </is>
      </c>
      <c r="B1196" s="1" t="n">
        <v>43740</v>
      </c>
      <c r="C1196" s="1" t="n">
        <v>45186</v>
      </c>
      <c r="D1196" t="inlineStr">
        <is>
          <t>SÖDERMANLANDS LÄN</t>
        </is>
      </c>
      <c r="E1196" t="inlineStr">
        <is>
          <t>ESKILSTUNA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52894-2019</t>
        </is>
      </c>
      <c r="B1197" s="1" t="n">
        <v>43740</v>
      </c>
      <c r="C1197" s="1" t="n">
        <v>45186</v>
      </c>
      <c r="D1197" t="inlineStr">
        <is>
          <t>SÖDERMANLANDS LÄN</t>
        </is>
      </c>
      <c r="E1197" t="inlineStr">
        <is>
          <t>VINGÅKER</t>
        </is>
      </c>
      <c r="G1197" t="n">
        <v>5.5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51637-2019</t>
        </is>
      </c>
      <c r="B1198" s="1" t="n">
        <v>43740</v>
      </c>
      <c r="C1198" s="1" t="n">
        <v>45186</v>
      </c>
      <c r="D1198" t="inlineStr">
        <is>
          <t>SÖDERMANLANDS LÄN</t>
        </is>
      </c>
      <c r="E1198" t="inlineStr">
        <is>
          <t>VINGÅKER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51738-2019</t>
        </is>
      </c>
      <c r="B1199" s="1" t="n">
        <v>43740</v>
      </c>
      <c r="C1199" s="1" t="n">
        <v>45186</v>
      </c>
      <c r="D1199" t="inlineStr">
        <is>
          <t>SÖDERMANLANDS LÄN</t>
        </is>
      </c>
      <c r="E1199" t="inlineStr">
        <is>
          <t>FLEN</t>
        </is>
      </c>
      <c r="G1199" t="n">
        <v>2.8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51468-2019</t>
        </is>
      </c>
      <c r="B1200" s="1" t="n">
        <v>43740</v>
      </c>
      <c r="C1200" s="1" t="n">
        <v>45186</v>
      </c>
      <c r="D1200" t="inlineStr">
        <is>
          <t>SÖDERMANLANDS LÄN</t>
        </is>
      </c>
      <c r="E1200" t="inlineStr">
        <is>
          <t>STRÄNGNÄS</t>
        </is>
      </c>
      <c r="G1200" t="n">
        <v>16.5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52892-2019</t>
        </is>
      </c>
      <c r="B1201" s="1" t="n">
        <v>43740</v>
      </c>
      <c r="C1201" s="1" t="n">
        <v>45186</v>
      </c>
      <c r="D1201" t="inlineStr">
        <is>
          <t>SÖDERMANLANDS LÄN</t>
        </is>
      </c>
      <c r="E1201" t="inlineStr">
        <is>
          <t>VINGÅKER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51852-2019</t>
        </is>
      </c>
      <c r="B1202" s="1" t="n">
        <v>43741</v>
      </c>
      <c r="C1202" s="1" t="n">
        <v>45186</v>
      </c>
      <c r="D1202" t="inlineStr">
        <is>
          <t>SÖDERMANLANDS LÄN</t>
        </is>
      </c>
      <c r="E1202" t="inlineStr">
        <is>
          <t>KATRINEHOLM</t>
        </is>
      </c>
      <c r="G1202" t="n">
        <v>16.4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51871-2019</t>
        </is>
      </c>
      <c r="B1203" s="1" t="n">
        <v>43741</v>
      </c>
      <c r="C1203" s="1" t="n">
        <v>45186</v>
      </c>
      <c r="D1203" t="inlineStr">
        <is>
          <t>SÖDERMANLANDS LÄN</t>
        </is>
      </c>
      <c r="E1203" t="inlineStr">
        <is>
          <t>KATRINEHOLM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54024-2019</t>
        </is>
      </c>
      <c r="B1204" s="1" t="n">
        <v>43742</v>
      </c>
      <c r="C1204" s="1" t="n">
        <v>45186</v>
      </c>
      <c r="D1204" t="inlineStr">
        <is>
          <t>SÖDERMANLANDS LÄN</t>
        </is>
      </c>
      <c r="E1204" t="inlineStr">
        <is>
          <t>STRÄNGNÄS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54017-2019</t>
        </is>
      </c>
      <c r="B1205" s="1" t="n">
        <v>43742</v>
      </c>
      <c r="C1205" s="1" t="n">
        <v>45186</v>
      </c>
      <c r="D1205" t="inlineStr">
        <is>
          <t>SÖDERMANLANDS LÄN</t>
        </is>
      </c>
      <c r="E1205" t="inlineStr">
        <is>
          <t>STRÄNGNÄS</t>
        </is>
      </c>
      <c r="G1205" t="n">
        <v>9.6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54028-2019</t>
        </is>
      </c>
      <c r="B1206" s="1" t="n">
        <v>43742</v>
      </c>
      <c r="C1206" s="1" t="n">
        <v>45186</v>
      </c>
      <c r="D1206" t="inlineStr">
        <is>
          <t>SÖDERMANLANDS LÄN</t>
        </is>
      </c>
      <c r="E1206" t="inlineStr">
        <is>
          <t>STRÄNGNÄS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54305-2019</t>
        </is>
      </c>
      <c r="B1207" s="1" t="n">
        <v>43745</v>
      </c>
      <c r="C1207" s="1" t="n">
        <v>45186</v>
      </c>
      <c r="D1207" t="inlineStr">
        <is>
          <t>SÖDERMANLANDS LÄN</t>
        </is>
      </c>
      <c r="E1207" t="inlineStr">
        <is>
          <t>KATRINEHOLM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52314-2019</t>
        </is>
      </c>
      <c r="B1208" s="1" t="n">
        <v>43745</v>
      </c>
      <c r="C1208" s="1" t="n">
        <v>45186</v>
      </c>
      <c r="D1208" t="inlineStr">
        <is>
          <t>SÖDERMANLANDS LÄN</t>
        </is>
      </c>
      <c r="E1208" t="inlineStr">
        <is>
          <t>VINGÅKER</t>
        </is>
      </c>
      <c r="G1208" t="n">
        <v>2.2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52465-2019</t>
        </is>
      </c>
      <c r="B1209" s="1" t="n">
        <v>43745</v>
      </c>
      <c r="C1209" s="1" t="n">
        <v>45186</v>
      </c>
      <c r="D1209" t="inlineStr">
        <is>
          <t>SÖDERMANLANDS LÄN</t>
        </is>
      </c>
      <c r="E1209" t="inlineStr">
        <is>
          <t>TROSA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54175-2019</t>
        </is>
      </c>
      <c r="B1210" s="1" t="n">
        <v>43745</v>
      </c>
      <c r="C1210" s="1" t="n">
        <v>45186</v>
      </c>
      <c r="D1210" t="inlineStr">
        <is>
          <t>SÖDERMANLANDS LÄN</t>
        </is>
      </c>
      <c r="E1210" t="inlineStr">
        <is>
          <t>FLEN</t>
        </is>
      </c>
      <c r="G1210" t="n">
        <v>3.9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54310-2019</t>
        </is>
      </c>
      <c r="B1211" s="1" t="n">
        <v>43745</v>
      </c>
      <c r="C1211" s="1" t="n">
        <v>45186</v>
      </c>
      <c r="D1211" t="inlineStr">
        <is>
          <t>SÖDERMANLANDS LÄN</t>
        </is>
      </c>
      <c r="E1211" t="inlineStr">
        <is>
          <t>KATRINEHOLM</t>
        </is>
      </c>
      <c r="F1211" t="inlineStr">
        <is>
          <t>Övriga Aktiebolag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52550-2019</t>
        </is>
      </c>
      <c r="B1212" s="1" t="n">
        <v>43745</v>
      </c>
      <c r="C1212" s="1" t="n">
        <v>45186</v>
      </c>
      <c r="D1212" t="inlineStr">
        <is>
          <t>SÖDERMANLANDS LÄN</t>
        </is>
      </c>
      <c r="E1212" t="inlineStr">
        <is>
          <t>VINGÅKER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54321-2019</t>
        </is>
      </c>
      <c r="B1213" s="1" t="n">
        <v>43745</v>
      </c>
      <c r="C1213" s="1" t="n">
        <v>45186</v>
      </c>
      <c r="D1213" t="inlineStr">
        <is>
          <t>SÖDERMANLANDS LÄN</t>
        </is>
      </c>
      <c r="E1213" t="inlineStr">
        <is>
          <t>KATRINEHOLM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52676-2019</t>
        </is>
      </c>
      <c r="B1214" s="1" t="n">
        <v>43746</v>
      </c>
      <c r="C1214" s="1" t="n">
        <v>45186</v>
      </c>
      <c r="D1214" t="inlineStr">
        <is>
          <t>SÖDERMANLANDS LÄN</t>
        </is>
      </c>
      <c r="E1214" t="inlineStr">
        <is>
          <t>NYKÖPING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52717-2019</t>
        </is>
      </c>
      <c r="B1215" s="1" t="n">
        <v>43746</v>
      </c>
      <c r="C1215" s="1" t="n">
        <v>45186</v>
      </c>
      <c r="D1215" t="inlineStr">
        <is>
          <t>SÖDERMANLANDS LÄN</t>
        </is>
      </c>
      <c r="E1215" t="inlineStr">
        <is>
          <t>ESKILSTUNA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52871-2019</t>
        </is>
      </c>
      <c r="B1216" s="1" t="n">
        <v>43746</v>
      </c>
      <c r="C1216" s="1" t="n">
        <v>45186</v>
      </c>
      <c r="D1216" t="inlineStr">
        <is>
          <t>SÖDERMANLANDS LÄN</t>
        </is>
      </c>
      <c r="E1216" t="inlineStr">
        <is>
          <t>FLEN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52720-2019</t>
        </is>
      </c>
      <c r="B1217" s="1" t="n">
        <v>43746</v>
      </c>
      <c r="C1217" s="1" t="n">
        <v>45186</v>
      </c>
      <c r="D1217" t="inlineStr">
        <is>
          <t>SÖDERMANLANDS LÄN</t>
        </is>
      </c>
      <c r="E1217" t="inlineStr">
        <is>
          <t>ESKILSTUNA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54412-2019</t>
        </is>
      </c>
      <c r="B1218" s="1" t="n">
        <v>43747</v>
      </c>
      <c r="C1218" s="1" t="n">
        <v>45186</v>
      </c>
      <c r="D1218" t="inlineStr">
        <is>
          <t>SÖDERMANLANDS LÄN</t>
        </is>
      </c>
      <c r="E1218" t="inlineStr">
        <is>
          <t>FLEN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53145-2019</t>
        </is>
      </c>
      <c r="B1219" s="1" t="n">
        <v>43747</v>
      </c>
      <c r="C1219" s="1" t="n">
        <v>45186</v>
      </c>
      <c r="D1219" t="inlineStr">
        <is>
          <t>SÖDERMANLANDS LÄN</t>
        </is>
      </c>
      <c r="E1219" t="inlineStr">
        <is>
          <t>VINGÅKER</t>
        </is>
      </c>
      <c r="G1219" t="n">
        <v>8.1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53762-2019</t>
        </is>
      </c>
      <c r="B1220" s="1" t="n">
        <v>43750</v>
      </c>
      <c r="C1220" s="1" t="n">
        <v>45186</v>
      </c>
      <c r="D1220" t="inlineStr">
        <is>
          <t>SÖDERMANLANDS LÄN</t>
        </is>
      </c>
      <c r="E1220" t="inlineStr">
        <is>
          <t>KATRINEHOLM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53786-2019</t>
        </is>
      </c>
      <c r="B1221" s="1" t="n">
        <v>43751</v>
      </c>
      <c r="C1221" s="1" t="n">
        <v>45186</v>
      </c>
      <c r="D1221" t="inlineStr">
        <is>
          <t>SÖDERMANLANDS LÄN</t>
        </is>
      </c>
      <c r="E1221" t="inlineStr">
        <is>
          <t>NYKÖPING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53933-2019</t>
        </is>
      </c>
      <c r="B1222" s="1" t="n">
        <v>43752</v>
      </c>
      <c r="C1222" s="1" t="n">
        <v>45186</v>
      </c>
      <c r="D1222" t="inlineStr">
        <is>
          <t>SÖDERMANLANDS LÄN</t>
        </is>
      </c>
      <c r="E1222" t="inlineStr">
        <is>
          <t>GNESTA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53876-2019</t>
        </is>
      </c>
      <c r="B1223" s="1" t="n">
        <v>43752</v>
      </c>
      <c r="C1223" s="1" t="n">
        <v>45186</v>
      </c>
      <c r="D1223" t="inlineStr">
        <is>
          <t>SÖDERMANLANDS LÄN</t>
        </is>
      </c>
      <c r="E1223" t="inlineStr">
        <is>
          <t>ESKILSTUNA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55088-2019</t>
        </is>
      </c>
      <c r="B1224" s="1" t="n">
        <v>43752</v>
      </c>
      <c r="C1224" s="1" t="n">
        <v>45186</v>
      </c>
      <c r="D1224" t="inlineStr">
        <is>
          <t>SÖDERMANLANDS LÄN</t>
        </is>
      </c>
      <c r="E1224" t="inlineStr">
        <is>
          <t>FLEN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55122-2019</t>
        </is>
      </c>
      <c r="B1225" s="1" t="n">
        <v>43752</v>
      </c>
      <c r="C1225" s="1" t="n">
        <v>45186</v>
      </c>
      <c r="D1225" t="inlineStr">
        <is>
          <t>SÖDERMANLANDS LÄN</t>
        </is>
      </c>
      <c r="E1225" t="inlineStr">
        <is>
          <t>FLEN</t>
        </is>
      </c>
      <c r="F1225" t="inlineStr">
        <is>
          <t>Övriga statliga verk och myndigheter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53945-2019</t>
        </is>
      </c>
      <c r="B1226" s="1" t="n">
        <v>43752</v>
      </c>
      <c r="C1226" s="1" t="n">
        <v>45186</v>
      </c>
      <c r="D1226" t="inlineStr">
        <is>
          <t>SÖDERMANLANDS LÄN</t>
        </is>
      </c>
      <c r="E1226" t="inlineStr">
        <is>
          <t>GNESTA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54208-2019</t>
        </is>
      </c>
      <c r="B1227" s="1" t="n">
        <v>43753</v>
      </c>
      <c r="C1227" s="1" t="n">
        <v>45186</v>
      </c>
      <c r="D1227" t="inlineStr">
        <is>
          <t>SÖDERMANLANDS LÄN</t>
        </is>
      </c>
      <c r="E1227" t="inlineStr">
        <is>
          <t>NYKÖPING</t>
        </is>
      </c>
      <c r="F1227" t="inlineStr">
        <is>
          <t>Sveaskog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54248-2019</t>
        </is>
      </c>
      <c r="B1228" s="1" t="n">
        <v>43753</v>
      </c>
      <c r="C1228" s="1" t="n">
        <v>45186</v>
      </c>
      <c r="D1228" t="inlineStr">
        <is>
          <t>SÖDERMANLANDS LÄN</t>
        </is>
      </c>
      <c r="E1228" t="inlineStr">
        <is>
          <t>KATRINEHOLM</t>
        </is>
      </c>
      <c r="G1228" t="n">
        <v>9.800000000000001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54307-2019</t>
        </is>
      </c>
      <c r="B1229" s="1" t="n">
        <v>43753</v>
      </c>
      <c r="C1229" s="1" t="n">
        <v>45186</v>
      </c>
      <c r="D1229" t="inlineStr">
        <is>
          <t>SÖDERMANLANDS LÄN</t>
        </is>
      </c>
      <c r="E1229" t="inlineStr">
        <is>
          <t>FLEN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55232-2019</t>
        </is>
      </c>
      <c r="B1230" s="1" t="n">
        <v>43753</v>
      </c>
      <c r="C1230" s="1" t="n">
        <v>45186</v>
      </c>
      <c r="D1230" t="inlineStr">
        <is>
          <t>SÖDERMANLANDS LÄN</t>
        </is>
      </c>
      <c r="E1230" t="inlineStr">
        <is>
          <t>KATRINEHOLM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54244-2019</t>
        </is>
      </c>
      <c r="B1231" s="1" t="n">
        <v>43753</v>
      </c>
      <c r="C1231" s="1" t="n">
        <v>45186</v>
      </c>
      <c r="D1231" t="inlineStr">
        <is>
          <t>SÖDERMANLANDS LÄN</t>
        </is>
      </c>
      <c r="E1231" t="inlineStr">
        <is>
          <t>NYKÖPING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54263-2019</t>
        </is>
      </c>
      <c r="B1232" s="1" t="n">
        <v>43753</v>
      </c>
      <c r="C1232" s="1" t="n">
        <v>45186</v>
      </c>
      <c r="D1232" t="inlineStr">
        <is>
          <t>SÖDERMANLANDS LÄN</t>
        </is>
      </c>
      <c r="E1232" t="inlineStr">
        <is>
          <t>KATRINEHOLM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54648-2019</t>
        </is>
      </c>
      <c r="B1233" s="1" t="n">
        <v>43754</v>
      </c>
      <c r="C1233" s="1" t="n">
        <v>45186</v>
      </c>
      <c r="D1233" t="inlineStr">
        <is>
          <t>SÖDERMANLANDS LÄN</t>
        </is>
      </c>
      <c r="E1233" t="inlineStr">
        <is>
          <t>ESKILSTUNA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54686-2019</t>
        </is>
      </c>
      <c r="B1234" s="1" t="n">
        <v>43754</v>
      </c>
      <c r="C1234" s="1" t="n">
        <v>45186</v>
      </c>
      <c r="D1234" t="inlineStr">
        <is>
          <t>SÖDERMANLANDS LÄN</t>
        </is>
      </c>
      <c r="E1234" t="inlineStr">
        <is>
          <t>VINGÅKER</t>
        </is>
      </c>
      <c r="G1234" t="n">
        <v>11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54527-2019</t>
        </is>
      </c>
      <c r="B1235" s="1" t="n">
        <v>43754</v>
      </c>
      <c r="C1235" s="1" t="n">
        <v>45186</v>
      </c>
      <c r="D1235" t="inlineStr">
        <is>
          <t>SÖDERMANLANDS LÄN</t>
        </is>
      </c>
      <c r="E1235" t="inlineStr">
        <is>
          <t>ESKILSTUNA</t>
        </is>
      </c>
      <c r="F1235" t="inlineStr">
        <is>
          <t>Allmännings- och besparingsskogar</t>
        </is>
      </c>
      <c r="G1235" t="n">
        <v>5.7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54685-2019</t>
        </is>
      </c>
      <c r="B1236" s="1" t="n">
        <v>43754</v>
      </c>
      <c r="C1236" s="1" t="n">
        <v>45186</v>
      </c>
      <c r="D1236" t="inlineStr">
        <is>
          <t>SÖDERMANLANDS LÄN</t>
        </is>
      </c>
      <c r="E1236" t="inlineStr">
        <is>
          <t>VINGÅKER</t>
        </is>
      </c>
      <c r="G1236" t="n">
        <v>10.8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55333-2019</t>
        </is>
      </c>
      <c r="B1237" s="1" t="n">
        <v>43756</v>
      </c>
      <c r="C1237" s="1" t="n">
        <v>45186</v>
      </c>
      <c r="D1237" t="inlineStr">
        <is>
          <t>SÖDERMANLANDS LÄN</t>
        </is>
      </c>
      <c r="E1237" t="inlineStr">
        <is>
          <t>KATRINEHOLM</t>
        </is>
      </c>
      <c r="G1237" t="n">
        <v>2.8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55346-2019</t>
        </is>
      </c>
      <c r="B1238" s="1" t="n">
        <v>43756</v>
      </c>
      <c r="C1238" s="1" t="n">
        <v>45186</v>
      </c>
      <c r="D1238" t="inlineStr">
        <is>
          <t>SÖDERMANLANDS LÄN</t>
        </is>
      </c>
      <c r="E1238" t="inlineStr">
        <is>
          <t>FLEN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56435-2019</t>
        </is>
      </c>
      <c r="B1239" s="1" t="n">
        <v>43756</v>
      </c>
      <c r="C1239" s="1" t="n">
        <v>45186</v>
      </c>
      <c r="D1239" t="inlineStr">
        <is>
          <t>SÖDERMANLANDS LÄN</t>
        </is>
      </c>
      <c r="E1239" t="inlineStr">
        <is>
          <t>ESKILSTUNA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55421-2019</t>
        </is>
      </c>
      <c r="B1240" s="1" t="n">
        <v>43758</v>
      </c>
      <c r="C1240" s="1" t="n">
        <v>45186</v>
      </c>
      <c r="D1240" t="inlineStr">
        <is>
          <t>SÖDERMANLANDS LÄN</t>
        </is>
      </c>
      <c r="E1240" t="inlineStr">
        <is>
          <t>FLEN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55417-2019</t>
        </is>
      </c>
      <c r="B1241" s="1" t="n">
        <v>43758</v>
      </c>
      <c r="C1241" s="1" t="n">
        <v>45186</v>
      </c>
      <c r="D1241" t="inlineStr">
        <is>
          <t>SÖDERMANLANDS LÄN</t>
        </is>
      </c>
      <c r="E1241" t="inlineStr">
        <is>
          <t>FLEN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55964-2019</t>
        </is>
      </c>
      <c r="B1242" s="1" t="n">
        <v>43759</v>
      </c>
      <c r="C1242" s="1" t="n">
        <v>45186</v>
      </c>
      <c r="D1242" t="inlineStr">
        <is>
          <t>SÖDERMANLANDS LÄN</t>
        </is>
      </c>
      <c r="E1242" t="inlineStr">
        <is>
          <t>VINGÅKER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55748-2019</t>
        </is>
      </c>
      <c r="B1243" s="1" t="n">
        <v>43759</v>
      </c>
      <c r="C1243" s="1" t="n">
        <v>45186</v>
      </c>
      <c r="D1243" t="inlineStr">
        <is>
          <t>SÖDERMANLANDS LÄN</t>
        </is>
      </c>
      <c r="E1243" t="inlineStr">
        <is>
          <t>VINGÅKER</t>
        </is>
      </c>
      <c r="G1243" t="n">
        <v>6.6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56260-2019</t>
        </is>
      </c>
      <c r="B1244" s="1" t="n">
        <v>43762</v>
      </c>
      <c r="C1244" s="1" t="n">
        <v>45186</v>
      </c>
      <c r="D1244" t="inlineStr">
        <is>
          <t>SÖDERMANLANDS LÄN</t>
        </is>
      </c>
      <c r="E1244" t="inlineStr">
        <is>
          <t>ESKILSTUNA</t>
        </is>
      </c>
      <c r="G1244" t="n">
        <v>8.6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57898-2019</t>
        </is>
      </c>
      <c r="B1245" s="1" t="n">
        <v>43762</v>
      </c>
      <c r="C1245" s="1" t="n">
        <v>45186</v>
      </c>
      <c r="D1245" t="inlineStr">
        <is>
          <t>SÖDERMANLANDS LÄN</t>
        </is>
      </c>
      <c r="E1245" t="inlineStr">
        <is>
          <t>FLEN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56745-2019</t>
        </is>
      </c>
      <c r="B1246" s="1" t="n">
        <v>43763</v>
      </c>
      <c r="C1246" s="1" t="n">
        <v>45186</v>
      </c>
      <c r="D1246" t="inlineStr">
        <is>
          <t>SÖDERMANLANDS LÄN</t>
        </is>
      </c>
      <c r="E1246" t="inlineStr">
        <is>
          <t>ESKILSTUNA</t>
        </is>
      </c>
      <c r="G1246" t="n">
        <v>5.5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56759-2019</t>
        </is>
      </c>
      <c r="B1247" s="1" t="n">
        <v>43763</v>
      </c>
      <c r="C1247" s="1" t="n">
        <v>45186</v>
      </c>
      <c r="D1247" t="inlineStr">
        <is>
          <t>SÖDERMANLANDS LÄN</t>
        </is>
      </c>
      <c r="E1247" t="inlineStr">
        <is>
          <t>ESKILSTUNA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56658-2019</t>
        </is>
      </c>
      <c r="B1248" s="1" t="n">
        <v>43763</v>
      </c>
      <c r="C1248" s="1" t="n">
        <v>45186</v>
      </c>
      <c r="D1248" t="inlineStr">
        <is>
          <t>SÖDERMANLANDS LÄN</t>
        </is>
      </c>
      <c r="E1248" t="inlineStr">
        <is>
          <t>ESKILSTUNA</t>
        </is>
      </c>
      <c r="F1248" t="inlineStr">
        <is>
          <t>Allmännings- och besparingsskogar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56842-2019</t>
        </is>
      </c>
      <c r="B1249" s="1" t="n">
        <v>43765</v>
      </c>
      <c r="C1249" s="1" t="n">
        <v>45186</v>
      </c>
      <c r="D1249" t="inlineStr">
        <is>
          <t>SÖDERMANLANDS LÄN</t>
        </is>
      </c>
      <c r="E1249" t="inlineStr">
        <is>
          <t>NYKÖPING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56843-2019</t>
        </is>
      </c>
      <c r="B1250" s="1" t="n">
        <v>43765</v>
      </c>
      <c r="C1250" s="1" t="n">
        <v>45186</v>
      </c>
      <c r="D1250" t="inlineStr">
        <is>
          <t>SÖDERMANLANDS LÄN</t>
        </is>
      </c>
      <c r="E1250" t="inlineStr">
        <is>
          <t>NYKÖPING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57010-2019</t>
        </is>
      </c>
      <c r="B1251" s="1" t="n">
        <v>43766</v>
      </c>
      <c r="C1251" s="1" t="n">
        <v>45186</v>
      </c>
      <c r="D1251" t="inlineStr">
        <is>
          <t>SÖDERMANLANDS LÄN</t>
        </is>
      </c>
      <c r="E1251" t="inlineStr">
        <is>
          <t>VINGÅKER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58108-2019</t>
        </is>
      </c>
      <c r="B1252" s="1" t="n">
        <v>43766</v>
      </c>
      <c r="C1252" s="1" t="n">
        <v>45186</v>
      </c>
      <c r="D1252" t="inlineStr">
        <is>
          <t>SÖDERMANLANDS LÄN</t>
        </is>
      </c>
      <c r="E1252" t="inlineStr">
        <is>
          <t>NYKÖPING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58109-2019</t>
        </is>
      </c>
      <c r="B1253" s="1" t="n">
        <v>43766</v>
      </c>
      <c r="C1253" s="1" t="n">
        <v>45186</v>
      </c>
      <c r="D1253" t="inlineStr">
        <is>
          <t>SÖDERMANLANDS LÄN</t>
        </is>
      </c>
      <c r="E1253" t="inlineStr">
        <is>
          <t>NYKÖPING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57407-2019</t>
        </is>
      </c>
      <c r="B1254" s="1" t="n">
        <v>43767</v>
      </c>
      <c r="C1254" s="1" t="n">
        <v>45186</v>
      </c>
      <c r="D1254" t="inlineStr">
        <is>
          <t>SÖDERMANLANDS LÄN</t>
        </is>
      </c>
      <c r="E1254" t="inlineStr">
        <is>
          <t>NYKÖPING</t>
        </is>
      </c>
      <c r="F1254" t="inlineStr">
        <is>
          <t>Sveaskog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57286-2019</t>
        </is>
      </c>
      <c r="B1255" s="1" t="n">
        <v>43767</v>
      </c>
      <c r="C1255" s="1" t="n">
        <v>45186</v>
      </c>
      <c r="D1255" t="inlineStr">
        <is>
          <t>SÖDERMANLANDS LÄN</t>
        </is>
      </c>
      <c r="E1255" t="inlineStr">
        <is>
          <t>VINGÅKER</t>
        </is>
      </c>
      <c r="G1255" t="n">
        <v>4.5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57793-2019</t>
        </is>
      </c>
      <c r="B1256" s="1" t="n">
        <v>43768</v>
      </c>
      <c r="C1256" s="1" t="n">
        <v>45186</v>
      </c>
      <c r="D1256" t="inlineStr">
        <is>
          <t>SÖDERMANLANDS LÄN</t>
        </is>
      </c>
      <c r="E1256" t="inlineStr">
        <is>
          <t>KATRINEHOLM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59039-2019</t>
        </is>
      </c>
      <c r="B1257" s="1" t="n">
        <v>43768</v>
      </c>
      <c r="C1257" s="1" t="n">
        <v>45186</v>
      </c>
      <c r="D1257" t="inlineStr">
        <is>
          <t>SÖDERMANLANDS LÄN</t>
        </is>
      </c>
      <c r="E1257" t="inlineStr">
        <is>
          <t>KATRINEHOLM</t>
        </is>
      </c>
      <c r="G1257" t="n">
        <v>22.3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57787-2019</t>
        </is>
      </c>
      <c r="B1258" s="1" t="n">
        <v>43768</v>
      </c>
      <c r="C1258" s="1" t="n">
        <v>45186</v>
      </c>
      <c r="D1258" t="inlineStr">
        <is>
          <t>SÖDERMANLANDS LÄN</t>
        </is>
      </c>
      <c r="E1258" t="inlineStr">
        <is>
          <t>KATRINEHOLM</t>
        </is>
      </c>
      <c r="F1258" t="inlineStr">
        <is>
          <t>Holmen skog AB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57795-2019</t>
        </is>
      </c>
      <c r="B1259" s="1" t="n">
        <v>43768</v>
      </c>
      <c r="C1259" s="1" t="n">
        <v>45186</v>
      </c>
      <c r="D1259" t="inlineStr">
        <is>
          <t>SÖDERMANLANDS LÄN</t>
        </is>
      </c>
      <c r="E1259" t="inlineStr">
        <is>
          <t>ESKILSTUNA</t>
        </is>
      </c>
      <c r="F1259" t="inlineStr">
        <is>
          <t>Kyrkan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57725-2019</t>
        </is>
      </c>
      <c r="B1260" s="1" t="n">
        <v>43768</v>
      </c>
      <c r="C1260" s="1" t="n">
        <v>45186</v>
      </c>
      <c r="D1260" t="inlineStr">
        <is>
          <t>SÖDERMANLANDS LÄN</t>
        </is>
      </c>
      <c r="E1260" t="inlineStr">
        <is>
          <t>GNESTA</t>
        </is>
      </c>
      <c r="G1260" t="n">
        <v>18.4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57800-2019</t>
        </is>
      </c>
      <c r="B1261" s="1" t="n">
        <v>43768</v>
      </c>
      <c r="C1261" s="1" t="n">
        <v>45186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57992-2019</t>
        </is>
      </c>
      <c r="B1262" s="1" t="n">
        <v>43769</v>
      </c>
      <c r="C1262" s="1" t="n">
        <v>45186</v>
      </c>
      <c r="D1262" t="inlineStr">
        <is>
          <t>SÖDERMANLANDS LÄN</t>
        </is>
      </c>
      <c r="E1262" t="inlineStr">
        <is>
          <t>ESKILSTUNA</t>
        </is>
      </c>
      <c r="G1262" t="n">
        <v>7.7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58159-2019</t>
        </is>
      </c>
      <c r="B1263" s="1" t="n">
        <v>43769</v>
      </c>
      <c r="C1263" s="1" t="n">
        <v>45186</v>
      </c>
      <c r="D1263" t="inlineStr">
        <is>
          <t>SÖDERMANLANDS LÄN</t>
        </is>
      </c>
      <c r="E1263" t="inlineStr">
        <is>
          <t>VINGÅKER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58938-2019</t>
        </is>
      </c>
      <c r="B1264" s="1" t="n">
        <v>43769</v>
      </c>
      <c r="C1264" s="1" t="n">
        <v>45186</v>
      </c>
      <c r="D1264" t="inlineStr">
        <is>
          <t>SÖDERMANLANDS LÄN</t>
        </is>
      </c>
      <c r="E1264" t="inlineStr">
        <is>
          <t>KATRINEHOLM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58909-2019</t>
        </is>
      </c>
      <c r="B1265" s="1" t="n">
        <v>43769</v>
      </c>
      <c r="C1265" s="1" t="n">
        <v>45186</v>
      </c>
      <c r="D1265" t="inlineStr">
        <is>
          <t>SÖDERMANLANDS LÄN</t>
        </is>
      </c>
      <c r="E1265" t="inlineStr">
        <is>
          <t>FLEN</t>
        </is>
      </c>
      <c r="G1265" t="n">
        <v>11.2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58378-2019</t>
        </is>
      </c>
      <c r="B1266" s="1" t="n">
        <v>43771</v>
      </c>
      <c r="C1266" s="1" t="n">
        <v>45186</v>
      </c>
      <c r="D1266" t="inlineStr">
        <is>
          <t>SÖDERMANLANDS LÄN</t>
        </is>
      </c>
      <c r="E1266" t="inlineStr">
        <is>
          <t>ESKILSTUNA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59014-2019</t>
        </is>
      </c>
      <c r="B1267" s="1" t="n">
        <v>43774</v>
      </c>
      <c r="C1267" s="1" t="n">
        <v>45186</v>
      </c>
      <c r="D1267" t="inlineStr">
        <is>
          <t>SÖDERMANLANDS LÄN</t>
        </is>
      </c>
      <c r="E1267" t="inlineStr">
        <is>
          <t>FLEN</t>
        </is>
      </c>
      <c r="F1267" t="inlineStr">
        <is>
          <t>Kommuner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59220-2019</t>
        </is>
      </c>
      <c r="B1268" s="1" t="n">
        <v>43775</v>
      </c>
      <c r="C1268" s="1" t="n">
        <v>45186</v>
      </c>
      <c r="D1268" t="inlineStr">
        <is>
          <t>SÖDERMANLANDS LÄN</t>
        </is>
      </c>
      <c r="E1268" t="inlineStr">
        <is>
          <t>STRÄNGNÄS</t>
        </is>
      </c>
      <c r="G1268" t="n">
        <v>15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59224-2019</t>
        </is>
      </c>
      <c r="B1269" s="1" t="n">
        <v>43775</v>
      </c>
      <c r="C1269" s="1" t="n">
        <v>45186</v>
      </c>
      <c r="D1269" t="inlineStr">
        <is>
          <t>SÖDERMANLANDS LÄN</t>
        </is>
      </c>
      <c r="E1269" t="inlineStr">
        <is>
          <t>GNESTA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59446-2019</t>
        </is>
      </c>
      <c r="B1270" s="1" t="n">
        <v>43776</v>
      </c>
      <c r="C1270" s="1" t="n">
        <v>45186</v>
      </c>
      <c r="D1270" t="inlineStr">
        <is>
          <t>SÖDERMANLANDS LÄN</t>
        </is>
      </c>
      <c r="E1270" t="inlineStr">
        <is>
          <t>FLEN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59529-2019</t>
        </is>
      </c>
      <c r="B1271" s="1" t="n">
        <v>43776</v>
      </c>
      <c r="C1271" s="1" t="n">
        <v>45186</v>
      </c>
      <c r="D1271" t="inlineStr">
        <is>
          <t>SÖDERMANLANDS LÄN</t>
        </is>
      </c>
      <c r="E1271" t="inlineStr">
        <is>
          <t>ESKILSTUNA</t>
        </is>
      </c>
      <c r="G1271" t="n">
        <v>7.4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59750-2019</t>
        </is>
      </c>
      <c r="B1272" s="1" t="n">
        <v>43776</v>
      </c>
      <c r="C1272" s="1" t="n">
        <v>45186</v>
      </c>
      <c r="D1272" t="inlineStr">
        <is>
          <t>SÖDERMANLANDS LÄN</t>
        </is>
      </c>
      <c r="E1272" t="inlineStr">
        <is>
          <t>FLEN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59448-2019</t>
        </is>
      </c>
      <c r="B1273" s="1" t="n">
        <v>43776</v>
      </c>
      <c r="C1273" s="1" t="n">
        <v>45186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59765-2019</t>
        </is>
      </c>
      <c r="B1274" s="1" t="n">
        <v>43776</v>
      </c>
      <c r="C1274" s="1" t="n">
        <v>45186</v>
      </c>
      <c r="D1274" t="inlineStr">
        <is>
          <t>SÖDERMANLANDS LÄN</t>
        </is>
      </c>
      <c r="E1274" t="inlineStr">
        <is>
          <t>VINGÅKER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59454-2019</t>
        </is>
      </c>
      <c r="B1275" s="1" t="n">
        <v>43776</v>
      </c>
      <c r="C1275" s="1" t="n">
        <v>45186</v>
      </c>
      <c r="D1275" t="inlineStr">
        <is>
          <t>SÖDERMANLANDS LÄN</t>
        </is>
      </c>
      <c r="E1275" t="inlineStr">
        <is>
          <t>FLEN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59547-2019</t>
        </is>
      </c>
      <c r="B1276" s="1" t="n">
        <v>43776</v>
      </c>
      <c r="C1276" s="1" t="n">
        <v>45186</v>
      </c>
      <c r="D1276" t="inlineStr">
        <is>
          <t>SÖDERMANLANDS LÄN</t>
        </is>
      </c>
      <c r="E1276" t="inlineStr">
        <is>
          <t>ESKILSTUNA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59767-2019</t>
        </is>
      </c>
      <c r="B1277" s="1" t="n">
        <v>43776</v>
      </c>
      <c r="C1277" s="1" t="n">
        <v>45186</v>
      </c>
      <c r="D1277" t="inlineStr">
        <is>
          <t>SÖDERMANLANDS LÄN</t>
        </is>
      </c>
      <c r="E1277" t="inlineStr">
        <is>
          <t>VINGÅKER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59981-2019</t>
        </is>
      </c>
      <c r="B1278" s="1" t="n">
        <v>43777</v>
      </c>
      <c r="C1278" s="1" t="n">
        <v>45186</v>
      </c>
      <c r="D1278" t="inlineStr">
        <is>
          <t>SÖDERMANLANDS LÄN</t>
        </is>
      </c>
      <c r="E1278" t="inlineStr">
        <is>
          <t>KATRINEHOLM</t>
        </is>
      </c>
      <c r="F1278" t="inlineStr">
        <is>
          <t>Kyrkan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59905-2019</t>
        </is>
      </c>
      <c r="B1279" s="1" t="n">
        <v>43777</v>
      </c>
      <c r="C1279" s="1" t="n">
        <v>45186</v>
      </c>
      <c r="D1279" t="inlineStr">
        <is>
          <t>SÖDERMANLANDS LÄN</t>
        </is>
      </c>
      <c r="E1279" t="inlineStr">
        <is>
          <t>KATRINEHOLM</t>
        </is>
      </c>
      <c r="G1279" t="n">
        <v>4.7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60672-2019</t>
        </is>
      </c>
      <c r="B1280" s="1" t="n">
        <v>43777</v>
      </c>
      <c r="C1280" s="1" t="n">
        <v>45186</v>
      </c>
      <c r="D1280" t="inlineStr">
        <is>
          <t>SÖDERMANLANDS LÄN</t>
        </is>
      </c>
      <c r="E1280" t="inlineStr">
        <is>
          <t>KATRINEHOLM</t>
        </is>
      </c>
      <c r="G1280" t="n">
        <v>6.5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59913-2019</t>
        </is>
      </c>
      <c r="B1281" s="1" t="n">
        <v>43777</v>
      </c>
      <c r="C1281" s="1" t="n">
        <v>45186</v>
      </c>
      <c r="D1281" t="inlineStr">
        <is>
          <t>SÖDERMANLANDS LÄN</t>
        </is>
      </c>
      <c r="E1281" t="inlineStr">
        <is>
          <t>KATRINEHOLM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60136-2019</t>
        </is>
      </c>
      <c r="B1282" s="1" t="n">
        <v>43779</v>
      </c>
      <c r="C1282" s="1" t="n">
        <v>45186</v>
      </c>
      <c r="D1282" t="inlineStr">
        <is>
          <t>SÖDERMANLANDS LÄN</t>
        </is>
      </c>
      <c r="E1282" t="inlineStr">
        <is>
          <t>KATRINEHOLM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60408-2019</t>
        </is>
      </c>
      <c r="B1283" s="1" t="n">
        <v>43780</v>
      </c>
      <c r="C1283" s="1" t="n">
        <v>45186</v>
      </c>
      <c r="D1283" t="inlineStr">
        <is>
          <t>SÖDERMANLANDS LÄN</t>
        </is>
      </c>
      <c r="E1283" t="inlineStr">
        <is>
          <t>VINGÅKER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60431-2019</t>
        </is>
      </c>
      <c r="B1284" s="1" t="n">
        <v>43780</v>
      </c>
      <c r="C1284" s="1" t="n">
        <v>45186</v>
      </c>
      <c r="D1284" t="inlineStr">
        <is>
          <t>SÖDERMANLANDS LÄN</t>
        </is>
      </c>
      <c r="E1284" t="inlineStr">
        <is>
          <t>VINGÅKER</t>
        </is>
      </c>
      <c r="G1284" t="n">
        <v>14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60466-2019</t>
        </is>
      </c>
      <c r="B1285" s="1" t="n">
        <v>43780</v>
      </c>
      <c r="C1285" s="1" t="n">
        <v>45186</v>
      </c>
      <c r="D1285" t="inlineStr">
        <is>
          <t>SÖDERMANLANDS LÄN</t>
        </is>
      </c>
      <c r="E1285" t="inlineStr">
        <is>
          <t>STRÄNGNÄS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60675-2019</t>
        </is>
      </c>
      <c r="B1286" s="1" t="n">
        <v>43781</v>
      </c>
      <c r="C1286" s="1" t="n">
        <v>45186</v>
      </c>
      <c r="D1286" t="inlineStr">
        <is>
          <t>SÖDERMANLANDS LÄN</t>
        </is>
      </c>
      <c r="E1286" t="inlineStr">
        <is>
          <t>KATRINEHOLM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60860-2019</t>
        </is>
      </c>
      <c r="B1287" s="1" t="n">
        <v>43781</v>
      </c>
      <c r="C1287" s="1" t="n">
        <v>45186</v>
      </c>
      <c r="D1287" t="inlineStr">
        <is>
          <t>SÖDERMANLANDS LÄN</t>
        </is>
      </c>
      <c r="E1287" t="inlineStr">
        <is>
          <t>ESKILSTUNA</t>
        </is>
      </c>
      <c r="F1287" t="inlineStr">
        <is>
          <t>Allmännings- och besparingsskogar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60852-2019</t>
        </is>
      </c>
      <c r="B1288" s="1" t="n">
        <v>43781</v>
      </c>
      <c r="C1288" s="1" t="n">
        <v>45186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60731-2019</t>
        </is>
      </c>
      <c r="B1289" s="1" t="n">
        <v>43781</v>
      </c>
      <c r="C1289" s="1" t="n">
        <v>45186</v>
      </c>
      <c r="D1289" t="inlineStr">
        <is>
          <t>SÖDERMANLANDS LÄN</t>
        </is>
      </c>
      <c r="E1289" t="inlineStr">
        <is>
          <t>ESKILSTUNA</t>
        </is>
      </c>
      <c r="G1289" t="n">
        <v>4.6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61999-2019</t>
        </is>
      </c>
      <c r="B1290" s="1" t="n">
        <v>43781</v>
      </c>
      <c r="C1290" s="1" t="n">
        <v>45186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61161-2019</t>
        </is>
      </c>
      <c r="B1291" s="1" t="n">
        <v>43782</v>
      </c>
      <c r="C1291" s="1" t="n">
        <v>45186</v>
      </c>
      <c r="D1291" t="inlineStr">
        <is>
          <t>SÖDERMANLANDS LÄN</t>
        </is>
      </c>
      <c r="E1291" t="inlineStr">
        <is>
          <t>KATRINEHOLM</t>
        </is>
      </c>
      <c r="F1291" t="inlineStr">
        <is>
          <t>Kyrkan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61402-2019</t>
        </is>
      </c>
      <c r="B1292" s="1" t="n">
        <v>43783</v>
      </c>
      <c r="C1292" s="1" t="n">
        <v>45186</v>
      </c>
      <c r="D1292" t="inlineStr">
        <is>
          <t>SÖDERMANLANDS LÄN</t>
        </is>
      </c>
      <c r="E1292" t="inlineStr">
        <is>
          <t>STRÄNGNÄS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61432-2019</t>
        </is>
      </c>
      <c r="B1293" s="1" t="n">
        <v>43783</v>
      </c>
      <c r="C1293" s="1" t="n">
        <v>45186</v>
      </c>
      <c r="D1293" t="inlineStr">
        <is>
          <t>SÖDERMANLANDS LÄN</t>
        </is>
      </c>
      <c r="E1293" t="inlineStr">
        <is>
          <t>STRÄNGNÄS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61653-2019</t>
        </is>
      </c>
      <c r="B1294" s="1" t="n">
        <v>43784</v>
      </c>
      <c r="C1294" s="1" t="n">
        <v>45186</v>
      </c>
      <c r="D1294" t="inlineStr">
        <is>
          <t>SÖDERMANLANDS LÄN</t>
        </is>
      </c>
      <c r="E1294" t="inlineStr">
        <is>
          <t>ESKILSTUNA</t>
        </is>
      </c>
      <c r="G1294" t="n">
        <v>5.4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61713-2019</t>
        </is>
      </c>
      <c r="B1295" s="1" t="n">
        <v>43784</v>
      </c>
      <c r="C1295" s="1" t="n">
        <v>45186</v>
      </c>
      <c r="D1295" t="inlineStr">
        <is>
          <t>SÖDERMANLANDS LÄN</t>
        </is>
      </c>
      <c r="E1295" t="inlineStr">
        <is>
          <t>ESKILSTUNA</t>
        </is>
      </c>
      <c r="F1295" t="inlineStr">
        <is>
          <t>Holmen skog AB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61867-2019</t>
        </is>
      </c>
      <c r="B1296" s="1" t="n">
        <v>43784</v>
      </c>
      <c r="C1296" s="1" t="n">
        <v>45186</v>
      </c>
      <c r="D1296" t="inlineStr">
        <is>
          <t>SÖDERMANLANDS LÄN</t>
        </is>
      </c>
      <c r="E1296" t="inlineStr">
        <is>
          <t>KATRINEHOLM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62954-2019</t>
        </is>
      </c>
      <c r="B1297" s="1" t="n">
        <v>43784</v>
      </c>
      <c r="C1297" s="1" t="n">
        <v>45186</v>
      </c>
      <c r="D1297" t="inlineStr">
        <is>
          <t>SÖDERMANLANDS LÄN</t>
        </is>
      </c>
      <c r="E1297" t="inlineStr">
        <is>
          <t>GNESTA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61821-2019</t>
        </is>
      </c>
      <c r="B1298" s="1" t="n">
        <v>43786</v>
      </c>
      <c r="C1298" s="1" t="n">
        <v>45186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Övriga Aktiebolag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61822-2019</t>
        </is>
      </c>
      <c r="B1299" s="1" t="n">
        <v>43786</v>
      </c>
      <c r="C1299" s="1" t="n">
        <v>45186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61843-2019</t>
        </is>
      </c>
      <c r="B1300" s="1" t="n">
        <v>43786</v>
      </c>
      <c r="C1300" s="1" t="n">
        <v>45186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61889-2019</t>
        </is>
      </c>
      <c r="B1301" s="1" t="n">
        <v>43787</v>
      </c>
      <c r="C1301" s="1" t="n">
        <v>45186</v>
      </c>
      <c r="D1301" t="inlineStr">
        <is>
          <t>SÖDERMANLANDS LÄN</t>
        </is>
      </c>
      <c r="E1301" t="inlineStr">
        <is>
          <t>FLEN</t>
        </is>
      </c>
      <c r="F1301" t="inlineStr">
        <is>
          <t>Holmen skog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61863-2019</t>
        </is>
      </c>
      <c r="B1302" s="1" t="n">
        <v>43787</v>
      </c>
      <c r="C1302" s="1" t="n">
        <v>45186</v>
      </c>
      <c r="D1302" t="inlineStr">
        <is>
          <t>SÖDERMANLANDS LÄN</t>
        </is>
      </c>
      <c r="E1302" t="inlineStr">
        <is>
          <t>ESKILSTUNA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61876-2019</t>
        </is>
      </c>
      <c r="B1303" s="1" t="n">
        <v>43787</v>
      </c>
      <c r="C1303" s="1" t="n">
        <v>45186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Kommuner</t>
        </is>
      </c>
      <c r="G1303" t="n">
        <v>5.6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61980-2019</t>
        </is>
      </c>
      <c r="B1304" s="1" t="n">
        <v>43787</v>
      </c>
      <c r="C1304" s="1" t="n">
        <v>45186</v>
      </c>
      <c r="D1304" t="inlineStr">
        <is>
          <t>SÖDERMANLANDS LÄN</t>
        </is>
      </c>
      <c r="E1304" t="inlineStr">
        <is>
          <t>ESKILSTUNA</t>
        </is>
      </c>
      <c r="G1304" t="n">
        <v>8.300000000000001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62161-2019</t>
        </is>
      </c>
      <c r="B1305" s="1" t="n">
        <v>43787</v>
      </c>
      <c r="C1305" s="1" t="n">
        <v>45186</v>
      </c>
      <c r="D1305" t="inlineStr">
        <is>
          <t>SÖDERMANLANDS LÄN</t>
        </is>
      </c>
      <c r="E1305" t="inlineStr">
        <is>
          <t>STRÄNGNÄS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62271-2019</t>
        </is>
      </c>
      <c r="B1306" s="1" t="n">
        <v>43788</v>
      </c>
      <c r="C1306" s="1" t="n">
        <v>45186</v>
      </c>
      <c r="D1306" t="inlineStr">
        <is>
          <t>SÖDERMANLANDS LÄN</t>
        </is>
      </c>
      <c r="E1306" t="inlineStr">
        <is>
          <t>ESKILSTUNA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62315-2019</t>
        </is>
      </c>
      <c r="B1307" s="1" t="n">
        <v>43788</v>
      </c>
      <c r="C1307" s="1" t="n">
        <v>45186</v>
      </c>
      <c r="D1307" t="inlineStr">
        <is>
          <t>SÖDERMANLANDS LÄN</t>
        </is>
      </c>
      <c r="E1307" t="inlineStr">
        <is>
          <t>ESKILSTUNA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62324-2019</t>
        </is>
      </c>
      <c r="B1308" s="1" t="n">
        <v>43788</v>
      </c>
      <c r="C1308" s="1" t="n">
        <v>45186</v>
      </c>
      <c r="D1308" t="inlineStr">
        <is>
          <t>SÖDERMANLANDS LÄN</t>
        </is>
      </c>
      <c r="E1308" t="inlineStr">
        <is>
          <t>NYKÖPING</t>
        </is>
      </c>
      <c r="G1308" t="n">
        <v>6.4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62469-2019</t>
        </is>
      </c>
      <c r="B1309" s="1" t="n">
        <v>43788</v>
      </c>
      <c r="C1309" s="1" t="n">
        <v>45186</v>
      </c>
      <c r="D1309" t="inlineStr">
        <is>
          <t>SÖDERMANLANDS LÄN</t>
        </is>
      </c>
      <c r="E1309" t="inlineStr">
        <is>
          <t>ESKILSTUNA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62257-2019</t>
        </is>
      </c>
      <c r="B1310" s="1" t="n">
        <v>43788</v>
      </c>
      <c r="C1310" s="1" t="n">
        <v>45186</v>
      </c>
      <c r="D1310" t="inlineStr">
        <is>
          <t>SÖDERMANLANDS LÄN</t>
        </is>
      </c>
      <c r="E1310" t="inlineStr">
        <is>
          <t>ESKILSTUNA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62272-2019</t>
        </is>
      </c>
      <c r="B1311" s="1" t="n">
        <v>43788</v>
      </c>
      <c r="C1311" s="1" t="n">
        <v>45186</v>
      </c>
      <c r="D1311" t="inlineStr">
        <is>
          <t>SÖDERMANLANDS LÄN</t>
        </is>
      </c>
      <c r="E1311" t="inlineStr">
        <is>
          <t>NYKÖPING</t>
        </is>
      </c>
      <c r="G1311" t="n">
        <v>2.7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62510-2019</t>
        </is>
      </c>
      <c r="B1312" s="1" t="n">
        <v>43788</v>
      </c>
      <c r="C1312" s="1" t="n">
        <v>45186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62467-2019</t>
        </is>
      </c>
      <c r="B1313" s="1" t="n">
        <v>43788</v>
      </c>
      <c r="C1313" s="1" t="n">
        <v>45186</v>
      </c>
      <c r="D1313" t="inlineStr">
        <is>
          <t>SÖDERMANLANDS LÄN</t>
        </is>
      </c>
      <c r="E1313" t="inlineStr">
        <is>
          <t>ESKILSTUNA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62471-2019</t>
        </is>
      </c>
      <c r="B1314" s="1" t="n">
        <v>43788</v>
      </c>
      <c r="C1314" s="1" t="n">
        <v>45186</v>
      </c>
      <c r="D1314" t="inlineStr">
        <is>
          <t>SÖDERMANLANDS LÄN</t>
        </is>
      </c>
      <c r="E1314" t="inlineStr">
        <is>
          <t>ESKILSTUNA</t>
        </is>
      </c>
      <c r="G1314" t="n">
        <v>11.7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62566-2019</t>
        </is>
      </c>
      <c r="B1315" s="1" t="n">
        <v>43789</v>
      </c>
      <c r="C1315" s="1" t="n">
        <v>45186</v>
      </c>
      <c r="D1315" t="inlineStr">
        <is>
          <t>SÖDERMANLANDS LÄN</t>
        </is>
      </c>
      <c r="E1315" t="inlineStr">
        <is>
          <t>STRÄNGNÄS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62676-2019</t>
        </is>
      </c>
      <c r="B1316" s="1" t="n">
        <v>43789</v>
      </c>
      <c r="C1316" s="1" t="n">
        <v>45186</v>
      </c>
      <c r="D1316" t="inlineStr">
        <is>
          <t>SÖDERMANLANDS LÄN</t>
        </is>
      </c>
      <c r="E1316" t="inlineStr">
        <is>
          <t>ESKILSTUNA</t>
        </is>
      </c>
      <c r="G1316" t="n">
        <v>6.4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62977-2019</t>
        </is>
      </c>
      <c r="B1317" s="1" t="n">
        <v>43790</v>
      </c>
      <c r="C1317" s="1" t="n">
        <v>45186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62982-2019</t>
        </is>
      </c>
      <c r="B1318" s="1" t="n">
        <v>43790</v>
      </c>
      <c r="C1318" s="1" t="n">
        <v>45186</v>
      </c>
      <c r="D1318" t="inlineStr">
        <is>
          <t>SÖDERMANLANDS LÄN</t>
        </is>
      </c>
      <c r="E1318" t="inlineStr">
        <is>
          <t>ESKILSTUNA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62874-2019</t>
        </is>
      </c>
      <c r="B1319" s="1" t="n">
        <v>43790</v>
      </c>
      <c r="C1319" s="1" t="n">
        <v>45186</v>
      </c>
      <c r="D1319" t="inlineStr">
        <is>
          <t>SÖDERMANLANDS LÄN</t>
        </is>
      </c>
      <c r="E1319" t="inlineStr">
        <is>
          <t>STRÄNGNÄS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62962-2019</t>
        </is>
      </c>
      <c r="B1320" s="1" t="n">
        <v>43790</v>
      </c>
      <c r="C1320" s="1" t="n">
        <v>45186</v>
      </c>
      <c r="D1320" t="inlineStr">
        <is>
          <t>SÖDERMANLANDS LÄN</t>
        </is>
      </c>
      <c r="E1320" t="inlineStr">
        <is>
          <t>GNESTA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63732-2019</t>
        </is>
      </c>
      <c r="B1321" s="1" t="n">
        <v>43790</v>
      </c>
      <c r="C1321" s="1" t="n">
        <v>45186</v>
      </c>
      <c r="D1321" t="inlineStr">
        <is>
          <t>SÖDERMANLANDS LÄN</t>
        </is>
      </c>
      <c r="E1321" t="inlineStr">
        <is>
          <t>TROSA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62995-2019</t>
        </is>
      </c>
      <c r="B1322" s="1" t="n">
        <v>43790</v>
      </c>
      <c r="C1322" s="1" t="n">
        <v>45186</v>
      </c>
      <c r="D1322" t="inlineStr">
        <is>
          <t>SÖDERMANLANDS LÄN</t>
        </is>
      </c>
      <c r="E1322" t="inlineStr">
        <is>
          <t>ESKILSTUNA</t>
        </is>
      </c>
      <c r="G1322" t="n">
        <v>6.7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63001-2019</t>
        </is>
      </c>
      <c r="B1323" s="1" t="n">
        <v>43790</v>
      </c>
      <c r="C1323" s="1" t="n">
        <v>45186</v>
      </c>
      <c r="D1323" t="inlineStr">
        <is>
          <t>SÖDERMANLANDS LÄN</t>
        </is>
      </c>
      <c r="E1323" t="inlineStr">
        <is>
          <t>ESKILSTUNA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63058-2019</t>
        </is>
      </c>
      <c r="B1324" s="1" t="n">
        <v>43791</v>
      </c>
      <c r="C1324" s="1" t="n">
        <v>45186</v>
      </c>
      <c r="D1324" t="inlineStr">
        <is>
          <t>SÖDERMANLANDS LÄN</t>
        </is>
      </c>
      <c r="E1324" t="inlineStr">
        <is>
          <t>STRÄNGNÄS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63120-2019</t>
        </is>
      </c>
      <c r="B1325" s="1" t="n">
        <v>43791</v>
      </c>
      <c r="C1325" s="1" t="n">
        <v>45186</v>
      </c>
      <c r="D1325" t="inlineStr">
        <is>
          <t>SÖDERMANLANDS LÄN</t>
        </is>
      </c>
      <c r="E1325" t="inlineStr">
        <is>
          <t>ESKILSTUNA</t>
        </is>
      </c>
      <c r="G1325" t="n">
        <v>8.699999999999999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64364-2019</t>
        </is>
      </c>
      <c r="B1326" s="1" t="n">
        <v>43793</v>
      </c>
      <c r="C1326" s="1" t="n">
        <v>45186</v>
      </c>
      <c r="D1326" t="inlineStr">
        <is>
          <t>SÖDERMANLANDS LÄN</t>
        </is>
      </c>
      <c r="E1326" t="inlineStr">
        <is>
          <t>KATRINEHOLM</t>
        </is>
      </c>
      <c r="G1326" t="n">
        <v>5.9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64409-2019</t>
        </is>
      </c>
      <c r="B1327" s="1" t="n">
        <v>43793</v>
      </c>
      <c r="C1327" s="1" t="n">
        <v>45186</v>
      </c>
      <c r="D1327" t="inlineStr">
        <is>
          <t>SÖDERMANLANDS LÄN</t>
        </is>
      </c>
      <c r="E1327" t="inlineStr">
        <is>
          <t>KATRINEHOLM</t>
        </is>
      </c>
      <c r="G1327" t="n">
        <v>15.8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63343-2019</t>
        </is>
      </c>
      <c r="B1328" s="1" t="n">
        <v>43794</v>
      </c>
      <c r="C1328" s="1" t="n">
        <v>45186</v>
      </c>
      <c r="D1328" t="inlineStr">
        <is>
          <t>SÖDERMANLANDS LÄN</t>
        </is>
      </c>
      <c r="E1328" t="inlineStr">
        <is>
          <t>TROSA</t>
        </is>
      </c>
      <c r="F1328" t="inlineStr">
        <is>
          <t>Holmen skog AB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63541-2019</t>
        </is>
      </c>
      <c r="B1329" s="1" t="n">
        <v>43794</v>
      </c>
      <c r="C1329" s="1" t="n">
        <v>45186</v>
      </c>
      <c r="D1329" t="inlineStr">
        <is>
          <t>SÖDERMANLANDS LÄN</t>
        </is>
      </c>
      <c r="E1329" t="inlineStr">
        <is>
          <t>VINGÅKER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63377-2019</t>
        </is>
      </c>
      <c r="B1330" s="1" t="n">
        <v>43794</v>
      </c>
      <c r="C1330" s="1" t="n">
        <v>45186</v>
      </c>
      <c r="D1330" t="inlineStr">
        <is>
          <t>SÖDERMANLANDS LÄN</t>
        </is>
      </c>
      <c r="E1330" t="inlineStr">
        <is>
          <t>VINGÅKER</t>
        </is>
      </c>
      <c r="G1330" t="n">
        <v>3.9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64580-2019</t>
        </is>
      </c>
      <c r="B1331" s="1" t="n">
        <v>43794</v>
      </c>
      <c r="C1331" s="1" t="n">
        <v>45186</v>
      </c>
      <c r="D1331" t="inlineStr">
        <is>
          <t>SÖDERMANLANDS LÄN</t>
        </is>
      </c>
      <c r="E1331" t="inlineStr">
        <is>
          <t>FLEN</t>
        </is>
      </c>
      <c r="F1331" t="inlineStr">
        <is>
          <t>Övriga statliga verk och myndigheter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63275-2019</t>
        </is>
      </c>
      <c r="B1332" s="1" t="n">
        <v>43794</v>
      </c>
      <c r="C1332" s="1" t="n">
        <v>45186</v>
      </c>
      <c r="D1332" t="inlineStr">
        <is>
          <t>SÖDERMANLANDS LÄN</t>
        </is>
      </c>
      <c r="E1332" t="inlineStr">
        <is>
          <t>KATRINEHOLM</t>
        </is>
      </c>
      <c r="G1332" t="n">
        <v>13.2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63758-2019</t>
        </is>
      </c>
      <c r="B1333" s="1" t="n">
        <v>43795</v>
      </c>
      <c r="C1333" s="1" t="n">
        <v>45186</v>
      </c>
      <c r="D1333" t="inlineStr">
        <is>
          <t>SÖDERMANLANDS LÄN</t>
        </is>
      </c>
      <c r="E1333" t="inlineStr">
        <is>
          <t>FLEN</t>
        </is>
      </c>
      <c r="F1333" t="inlineStr">
        <is>
          <t>Kyrkan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63822-2019</t>
        </is>
      </c>
      <c r="B1334" s="1" t="n">
        <v>43795</v>
      </c>
      <c r="C1334" s="1" t="n">
        <v>45186</v>
      </c>
      <c r="D1334" t="inlineStr">
        <is>
          <t>SÖDERMANLANDS LÄN</t>
        </is>
      </c>
      <c r="E1334" t="inlineStr">
        <is>
          <t>NYKÖPING</t>
        </is>
      </c>
      <c r="G1334" t="n">
        <v>2.1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63580-2019</t>
        </is>
      </c>
      <c r="B1335" s="1" t="n">
        <v>43795</v>
      </c>
      <c r="C1335" s="1" t="n">
        <v>45186</v>
      </c>
      <c r="D1335" t="inlineStr">
        <is>
          <t>SÖDERMANLANDS LÄN</t>
        </is>
      </c>
      <c r="E1335" t="inlineStr">
        <is>
          <t>ESKILSTUNA</t>
        </is>
      </c>
      <c r="F1335" t="inlineStr">
        <is>
          <t>Allmännings- och besparingsskogar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63712-2019</t>
        </is>
      </c>
      <c r="B1336" s="1" t="n">
        <v>43795</v>
      </c>
      <c r="C1336" s="1" t="n">
        <v>45186</v>
      </c>
      <c r="D1336" t="inlineStr">
        <is>
          <t>SÖDERMANLANDS LÄN</t>
        </is>
      </c>
      <c r="E1336" t="inlineStr">
        <is>
          <t>KATRINEHOLM</t>
        </is>
      </c>
      <c r="G1336" t="n">
        <v>6.6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63566-2019</t>
        </is>
      </c>
      <c r="B1337" s="1" t="n">
        <v>43795</v>
      </c>
      <c r="C1337" s="1" t="n">
        <v>45186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63586-2019</t>
        </is>
      </c>
      <c r="B1338" s="1" t="n">
        <v>43795</v>
      </c>
      <c r="C1338" s="1" t="n">
        <v>45186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9.199999999999999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64167-2019</t>
        </is>
      </c>
      <c r="B1339" s="1" t="n">
        <v>43797</v>
      </c>
      <c r="C1339" s="1" t="n">
        <v>45186</v>
      </c>
      <c r="D1339" t="inlineStr">
        <is>
          <t>SÖDERMANLANDS LÄN</t>
        </is>
      </c>
      <c r="E1339" t="inlineStr">
        <is>
          <t>STRÄNGNÄS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64222-2019</t>
        </is>
      </c>
      <c r="B1340" s="1" t="n">
        <v>43797</v>
      </c>
      <c r="C1340" s="1" t="n">
        <v>45186</v>
      </c>
      <c r="D1340" t="inlineStr">
        <is>
          <t>SÖDERMANLANDS LÄN</t>
        </is>
      </c>
      <c r="E1340" t="inlineStr">
        <is>
          <t>ESKILSTUNA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65370-2019</t>
        </is>
      </c>
      <c r="B1341" s="1" t="n">
        <v>43797</v>
      </c>
      <c r="C1341" s="1" t="n">
        <v>45186</v>
      </c>
      <c r="D1341" t="inlineStr">
        <is>
          <t>SÖDERMANLANDS LÄN</t>
        </is>
      </c>
      <c r="E1341" t="inlineStr">
        <is>
          <t>TROSA</t>
        </is>
      </c>
      <c r="G1341" t="n">
        <v>52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64576-2019</t>
        </is>
      </c>
      <c r="B1342" s="1" t="n">
        <v>43798</v>
      </c>
      <c r="C1342" s="1" t="n">
        <v>45186</v>
      </c>
      <c r="D1342" t="inlineStr">
        <is>
          <t>SÖDERMANLANDS LÄN</t>
        </is>
      </c>
      <c r="E1342" t="inlineStr">
        <is>
          <t>FLEN</t>
        </is>
      </c>
      <c r="F1342" t="inlineStr">
        <is>
          <t>Holmen skog AB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64711-2019</t>
        </is>
      </c>
      <c r="B1343" s="1" t="n">
        <v>43798</v>
      </c>
      <c r="C1343" s="1" t="n">
        <v>45186</v>
      </c>
      <c r="D1343" t="inlineStr">
        <is>
          <t>SÖDERMANLANDS LÄN</t>
        </is>
      </c>
      <c r="E1343" t="inlineStr">
        <is>
          <t>KATRINEHOLM</t>
        </is>
      </c>
      <c r="F1343" t="inlineStr">
        <is>
          <t>Holmen skog AB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64594-2019</t>
        </is>
      </c>
      <c r="B1344" s="1" t="n">
        <v>43798</v>
      </c>
      <c r="C1344" s="1" t="n">
        <v>45186</v>
      </c>
      <c r="D1344" t="inlineStr">
        <is>
          <t>SÖDERMANLANDS LÄN</t>
        </is>
      </c>
      <c r="E1344" t="inlineStr">
        <is>
          <t>NYKÖPING</t>
        </is>
      </c>
      <c r="F1344" t="inlineStr">
        <is>
          <t>Kommuner</t>
        </is>
      </c>
      <c r="G1344" t="n">
        <v>2.6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45186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45186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45186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45186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45186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45186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45186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45186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45186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45186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45186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45186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45186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45186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45186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45186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45186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45186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45186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45186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45186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45186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45186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45186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45186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45186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45186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45186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45186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45186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45186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45186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45186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45186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45186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45186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45186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45186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45186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45186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45186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45186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45186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45186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45186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45186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45186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45186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45186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45186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45186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45186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45186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45186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45186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45186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45186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45186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45186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45186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45186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45186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45186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45186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45186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45186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45186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45186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45186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45186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45186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45186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45186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45186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45186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45186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45186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45186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45186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45186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45186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45186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45186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45186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45186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45186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45186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45186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45186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45186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45186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45186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45186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45186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45186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45186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45186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45186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45186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45186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45186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45186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45186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45186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45186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45186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45186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45186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45186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45186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45186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45186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45186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45186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45186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45186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45186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45186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45186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45186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45186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45186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45186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45186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45186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45186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45186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45186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45186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45186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45186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45186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45186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45186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45186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45186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45186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45186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45186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45186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45186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45186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45186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45186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45186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45186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45186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45186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45186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45186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45186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45186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45186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45186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45186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45186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45186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45186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45186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45186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45186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45186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45186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45186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45186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45186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45186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45186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45186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45186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45186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45186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45186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45186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45186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45186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45186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45186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45186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45186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45186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45186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45186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45186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45186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45186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45186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45186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45186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45186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45186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45186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45186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45186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45186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45186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45186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45186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45186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45186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45186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45186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45186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45186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45186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45186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45186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45186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45186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45186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45186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45186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45186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45186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45186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45186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45186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45186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45186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45186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45186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45186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45186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45186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45186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45186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45186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45186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45186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45186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45186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45186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45186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45186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45186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45186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45186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45186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45186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45186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45186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45186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45186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45186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45186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45186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45186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45186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45186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45186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45186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45186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45186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45186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45186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45186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45186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45186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45186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45186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45186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45186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45186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45186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45186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45186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45186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45186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45186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45186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45186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45186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45186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45186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45186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45186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45186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45186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45186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45186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45186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45186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45186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45186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45186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45186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45186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45186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45186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45186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45186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45186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45186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45186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45186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45186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45186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45186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45186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45186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45186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45186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45186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45186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45186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45186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45186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45186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45186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45186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45186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45186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45186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45186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45186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45186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45186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45186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45186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45186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45186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45186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45186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45186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45186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45186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45186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45186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45186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45186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45186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45186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45186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45186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45186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45186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45186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45186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45186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45186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45186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45186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45186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45186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45186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45186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45186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45186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45186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45186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45186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45186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45186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45186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45186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45186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45186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45186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45186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45186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45186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45186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45186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45186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45186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45186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45186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45186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45186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45186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45186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45186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45186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45186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45186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45186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45186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45186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45186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45186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45186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45186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45186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45186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45186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45186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45186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45186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45186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45186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45186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45186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45186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45186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45186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45186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45186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45186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45186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45186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45186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45186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45186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45186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45186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45186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45186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45186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45186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45186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45186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45186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45186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45186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45186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45186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45186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45186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45186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45186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45186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45186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45186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45186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45186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45186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45186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45186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45186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45186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45186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45186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45186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45186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45186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45186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45186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45186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45186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45186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45186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45186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45186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45186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45186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45186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45186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45186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45186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45186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45186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45186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45186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45186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45186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45186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45186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45186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45186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45186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45186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45186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45186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45186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45186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45186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45186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45186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45186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45186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45186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45186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45186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45186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45186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45186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45186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45186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45186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45186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45186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45186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45186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45186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45186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45186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45186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45186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45186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45186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45186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45186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45186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45186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40259-2020.png", "A 40259-2020")</f>
        <v/>
      </c>
      <c r="V1838">
        <f>HYPERLINK("https://klasma.github.io/Logging_KATRINEHOLM/klagomål/A 40259-2020.docx", "A 40259-2020")</f>
        <v/>
      </c>
      <c r="W1838">
        <f>HYPERLINK("https://klasma.github.io/Logging_KATRINEHOLM/klagomålsmail/A 40259-2020.docx", "A 40259-2020")</f>
        <v/>
      </c>
      <c r="X1838">
        <f>HYPERLINK("https://klasma.github.io/Logging_KATRINEHOLM/tillsyn/A 40259-2020.docx", "A 40259-2020")</f>
        <v/>
      </c>
      <c r="Y1838">
        <f>HYPERLINK("https://klasma.github.io/Logging_KATRINEHOLM/tillsynsmail/A 40259-2020.docx", "A 40259-2020")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45186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45186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45186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45186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45186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45186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45186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45186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45186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45186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45186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45186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45186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45186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45186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45186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45186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45186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45186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45186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45186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45186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45186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45186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45186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45186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45186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45186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45186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45186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45186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45186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45186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45186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45186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45186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45186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45186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45186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45186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45186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45186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45186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45186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45186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45186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45186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45186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45186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45186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45186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45186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45186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45186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45186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45186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45186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45186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45186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45186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45186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45186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45186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45186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45186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45186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45186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45186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45186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45186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45186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45186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45186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45186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45186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45186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45186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45186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45186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45186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45186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45186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45186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45186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45186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45186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45186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45186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45186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45186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45186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45186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45186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45186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45186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45186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45186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45186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45186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45186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45186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45186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45186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45186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45186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45186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45186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45186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45186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45186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45186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45186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45186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49444-2020.png", "A 49444-2020")</f>
        <v/>
      </c>
      <c r="V1951">
        <f>HYPERLINK("https://klasma.github.io/Logging_ESKILSTUNA/klagomål/A 49444-2020.docx", "A 49444-2020")</f>
        <v/>
      </c>
      <c r="W1951">
        <f>HYPERLINK("https://klasma.github.io/Logging_ESKILSTUNA/klagomålsmail/A 49444-2020.docx", "A 49444-2020")</f>
        <v/>
      </c>
      <c r="X1951">
        <f>HYPERLINK("https://klasma.github.io/Logging_ESKILSTUNA/tillsyn/A 49444-2020.docx", "A 49444-2020")</f>
        <v/>
      </c>
      <c r="Y1951">
        <f>HYPERLINK("https://klasma.github.io/Logging_ESKILSTUNA/tillsynsmail/A 49444-2020.docx", "A 49444-2020")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45186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45186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45186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45186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45186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45186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45186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45186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45186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45186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45186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45186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45186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45186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45186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45186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45186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45186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45186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45186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45186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45186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45186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45186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45186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45186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45186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45186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45186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45186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45186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45186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45186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45186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45186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45186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45186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45186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45186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45186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45186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45186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45186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45186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45186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45186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45186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45186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45186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45186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45186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45186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45186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45186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45186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45186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45186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45186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45186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45186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45186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45186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45186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45186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45186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45186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45186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45186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45186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45186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45186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45186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45186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45186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45186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45186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45186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45186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45186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45186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45186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45186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45186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45186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45186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45186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45186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45186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45186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45186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45186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45186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45186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45186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45186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45186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45186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57642-2020.png", "A 57642-2020")</f>
        <v/>
      </c>
      <c r="V2048">
        <f>HYPERLINK("https://klasma.github.io/Logging_STRANGNAS/klagomål/A 57642-2020.docx", "A 57642-2020")</f>
        <v/>
      </c>
      <c r="W2048">
        <f>HYPERLINK("https://klasma.github.io/Logging_STRANGNAS/klagomålsmail/A 57642-2020.docx", "A 57642-2020")</f>
        <v/>
      </c>
      <c r="X2048">
        <f>HYPERLINK("https://klasma.github.io/Logging_STRANGNAS/tillsyn/A 57642-2020.docx", "A 57642-2020")</f>
        <v/>
      </c>
      <c r="Y2048">
        <f>HYPERLINK("https://klasma.github.io/Logging_STRANGNAS/tillsynsmail/A 57642-2020.docx", "A 57642-2020")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45186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45186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45186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45186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45186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45186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45186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45186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45186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45186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45186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45186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45186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45186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45186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45186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45186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45186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45186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45186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45186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45186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45186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45186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45186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45186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45186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45186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45186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45186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45186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45186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45186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45186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45186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45186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45186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45186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45186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45186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45186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45186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45186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45186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45186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45186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45186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45186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45186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45186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45186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45186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45186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45186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45186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45186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45186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45186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45186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45186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45186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45186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45186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45186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45186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45186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45186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45186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45186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45186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45186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45186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45186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45186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45186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45186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45186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45186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45186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45186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45186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45186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45186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45186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45186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45186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45186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45186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45186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45186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45186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45186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45186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45186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45186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45186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45186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45186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45186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45186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45186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45186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45186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45186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45186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45186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45186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45186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45186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45186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45186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45186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45186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45186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45186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45186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45186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45186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45186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45186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45186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45186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45186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45186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45186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45186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45186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45186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45186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45186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45186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45186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45186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45186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45186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45186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45186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45186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45186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45186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45186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45186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45186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45186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45186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45186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45186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45186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45186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45186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45186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45186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45186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45186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45186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45186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45186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45186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45186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45186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45186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45186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45186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45186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45186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45186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45186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45186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45186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45186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45186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45186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45186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45186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45186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45186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45186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45186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45186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45186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45186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45186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45186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45186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45186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45186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45186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45186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45186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45186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45186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45186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45186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45186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45186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45186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45186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45186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45186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45186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45186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45186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45186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45186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45186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45186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45186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45186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45186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45186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45186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45186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45186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45186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45186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45186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45186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45186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45186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45186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45186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45186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45186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45186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45186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45186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45186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45186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45186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45186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45186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45186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45186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45186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45186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8176-2021.png", "A 8176-2021")</f>
        <v/>
      </c>
      <c r="V2283">
        <f>HYPERLINK("https://klasma.github.io/Logging_FLEN/klagomål/A 8176-2021.docx", "A 8176-2021")</f>
        <v/>
      </c>
      <c r="W2283">
        <f>HYPERLINK("https://klasma.github.io/Logging_FLEN/klagomålsmail/A 8176-2021.docx", "A 8176-2021")</f>
        <v/>
      </c>
      <c r="X2283">
        <f>HYPERLINK("https://klasma.github.io/Logging_FLEN/tillsyn/A 8176-2021.docx", "A 8176-2021")</f>
        <v/>
      </c>
      <c r="Y2283">
        <f>HYPERLINK("https://klasma.github.io/Logging_FLEN/tillsynsmail/A 8176-2021.docx", "A 8176-2021")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45186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45186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45186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45186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45186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45186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45186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45186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45186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45186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45186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45186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45186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45186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45186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45186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45186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45186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45186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45186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45186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45186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45186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45186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45186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45186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45186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45186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45186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45186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45186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45186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45186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45186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45186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45186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45186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45186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45186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45186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45186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45186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45186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45186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45186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45186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45186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45186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45186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45186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45186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45186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45186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45186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45186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45186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45186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45186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45186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45186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45186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45186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45186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45186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45186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45186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45186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45186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45186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45186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45186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45186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45186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45186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45186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45186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45186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45186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45186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45186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45186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45186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45186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45186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45186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45186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45186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45186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45186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45186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45186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45186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45186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45186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45186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45186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45186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45186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45186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45186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45186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45186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45186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45186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45186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45186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45186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45186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45186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45186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45186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45186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45186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45186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45186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45186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45186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45186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45186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45186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45186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45186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45186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45186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45186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45186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45186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45186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45186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45186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45186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45186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45186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45186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45186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45186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45186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45186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45186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45186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45186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45186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45186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45186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45186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45186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45186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45186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45186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45186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45186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45186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45186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45186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45186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45186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45186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45186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45186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45186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45186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45186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45186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45186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45186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45186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45186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45186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45186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45186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45186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45186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45186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45186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45186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45186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45186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45186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45186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45186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45186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45186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45186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45186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45186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45186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45186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45186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45186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45186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45186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45186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45186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45186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45186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45186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45186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45186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45186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45186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45186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45186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45186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45186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45186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45186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45186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45186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45186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45186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45186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45186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45186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45186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45186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45186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45186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45186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45186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45186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45186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45186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45186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45186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45186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45186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45186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45186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45186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45186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45186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45186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45186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45186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45186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45186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45186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45186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45186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45186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45186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45186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45186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45186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45186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45186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45186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45186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45186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45186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32733-2021.png", "A 32733-2021")</f>
        <v/>
      </c>
      <c r="V2533">
        <f>HYPERLINK("https://klasma.github.io/Logging_KATRINEHOLM/klagomål/A 32733-2021.docx", "A 32733-2021")</f>
        <v/>
      </c>
      <c r="W2533">
        <f>HYPERLINK("https://klasma.github.io/Logging_KATRINEHOLM/klagomålsmail/A 32733-2021.docx", "A 32733-2021")</f>
        <v/>
      </c>
      <c r="X2533">
        <f>HYPERLINK("https://klasma.github.io/Logging_KATRINEHOLM/tillsyn/A 32733-2021.docx", "A 32733-2021")</f>
        <v/>
      </c>
      <c r="Y2533">
        <f>HYPERLINK("https://klasma.github.io/Logging_KATRINEHOLM/tillsynsmail/A 32733-2021.docx", "A 32733-2021")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45186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45186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45186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45186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45186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45186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45186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45186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45186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45186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45186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45186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45186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45186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45186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45186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45186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45186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45186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45186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45186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45186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45186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45186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45186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45186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45186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45186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45186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45186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45186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45186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45186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45186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45186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45186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45186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45186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45186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45186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45186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45186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45186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45186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45186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45186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45186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45186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45186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45186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45186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45186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45186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45186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45186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45186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45186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45186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45186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45186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45186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45186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45186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45186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45186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45186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45186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45186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45186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45186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45186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45186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45186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45186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45186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45186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45186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45186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45186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45186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45186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45186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45186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45186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45186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45186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45186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45186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45186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45186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45186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45186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45186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45186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45186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45186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45186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45186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45186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45186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45186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45186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45186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45186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45186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45186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45186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45186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45186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45186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45186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45186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45186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45186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45186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45186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45186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45186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45186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45186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45186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45186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45186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45186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45186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45186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45186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45186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45186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45186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45186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45186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45186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45186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45186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45186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45186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45186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45186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45186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45186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45186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45186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45186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45186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45186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45186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45186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45186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45186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45186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45186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45186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45186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45186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45186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45186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45186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45186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45186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45186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45186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45186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45186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45186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45186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45186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45186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45186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45186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45186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45186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45186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45186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45186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45186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45186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45186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45186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45186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45186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45186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45186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45186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45186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45186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45186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45186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45186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45186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45186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45186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45186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45186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45186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45186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45186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45186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45186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45186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45186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45186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45186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45186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45186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45186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45186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45186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45186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45186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45186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45186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45186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45186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45186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45186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45186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45186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45186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45186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45186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45186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45186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45186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45186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45186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45186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45186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45186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45186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45186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45186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45186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45186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45186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45186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45186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45186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45186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45186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45186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45186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45186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45186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45186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45186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45186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45186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45186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45186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45186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45186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45186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45186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45186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45186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45186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45186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45186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45186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45186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45186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45186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45186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45186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45186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45186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45186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45186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45186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45186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45186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45186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45186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45186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45186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45186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45186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45186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45186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45186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45186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45186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45186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45186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45186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45186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45186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45186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45186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45186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45186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45186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45186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45186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45186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45186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45186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45186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45186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45186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45186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45186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45186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45186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45186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45186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45186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45186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45186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45186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45186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45186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45186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45186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45186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45186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45186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45186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45186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45186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45186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45186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45186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45186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45186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45186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45186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45186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45186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45186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45186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45186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45186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45186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45186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45186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45186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45186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45186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45186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45186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45186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45186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45186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45186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45186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45186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45186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45186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45186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45186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45186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45186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45186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45186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45186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45186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45186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45186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45186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45186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45186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45186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45186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45186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45186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45186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45186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45186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45186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45186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45186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45186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45186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45186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45186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45186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45186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45186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45186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45186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45186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45186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45186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45186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45186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45186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45186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45186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45186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45186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45186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45186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45186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45186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45186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45186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45186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45186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45186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45186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45186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45186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45186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45186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45186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45186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45186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45186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45186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45186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45186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45186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45186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45186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45186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45186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45186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45186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45186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45186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45186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45186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45186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45186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45186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45186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45186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45186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45186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45186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45186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45186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45186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45186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45186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45186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45186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45186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45186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45186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45186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45186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45186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45186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45186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45186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45186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45186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45186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45186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45186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45186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45186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45186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45186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45186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45186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45186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45186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45186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45186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45186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45186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45186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45186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45186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45186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45186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45186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45186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45186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45186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45186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45186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45186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45186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45186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45186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45186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45186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45186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45186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45186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45186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45186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45186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45186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45186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45186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45186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45186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45186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45186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45186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45186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45186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45186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45186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45186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45186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45186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45186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45186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45186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45186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45186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45186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45186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45186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45186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45186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45186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45186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45186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45186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45186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45186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45186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45186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45186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45186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45186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45186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45186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45186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45186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45186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45186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45186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45186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45186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45186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45186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45186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45186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45186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45186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45186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45186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45186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45186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45186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45186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45186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45186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45186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45186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45186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45186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45186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45186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45186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45186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45186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45186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45186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45186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45186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45186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45186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45186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45186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45186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45186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45186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45186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45186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45186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45186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45186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45186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45186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45186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45186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45186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45186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45186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45186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45186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45186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45186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45186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45186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45186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45186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45186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45186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45186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45186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45186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45186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45186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45186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45186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45186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45186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45186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45186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45186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45186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45186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45186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45186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45186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45186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45186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45186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45186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45186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45186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45186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45186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45186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45186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45186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45186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45186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45186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45186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45186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45186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45186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45186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45186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45186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45186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45186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45186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45186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45186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45186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45186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45186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45186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45186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45186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45186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45186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45186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45186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45186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45186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45186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45186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45186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45186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45186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45186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45186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45186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45186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45186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45186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45186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45186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45186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45186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45186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45186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45186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45186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45186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45186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45186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45186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45186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45186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45186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45186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45186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45186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45186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45186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45186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45186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45186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45186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45186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45186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45186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45186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45186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45186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45186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45186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45186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45186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45186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45186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45186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45186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45186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45186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45186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45186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45186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45186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45186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45186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45186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45186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45186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45186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45186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45186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45186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45186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45186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45186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45186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45186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45186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45186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45186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45186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45186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45186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45186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45186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45186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45186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45186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45186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45186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45186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45186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45186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45186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45186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45186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45186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45186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45186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45186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45186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45186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45186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45186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45186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45186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45186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45186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45186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45186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45186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45186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45186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45186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45186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45186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45186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45186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45186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45186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45186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45186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45186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45186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45186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45186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45186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45186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45186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45186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45186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45186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45186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45186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45186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45186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45186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45186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45186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45186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45186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45186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45186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45186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45186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45186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45186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45186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45186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45186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45186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45186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45186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45186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45186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45186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45186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45186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45186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45186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45186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45186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45186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45186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45186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45186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45186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45186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45186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45186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45186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45186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45186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45186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45186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45186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45186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45186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45186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45186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45186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45186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45186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45186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45186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45186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45186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45186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45186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45186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45186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45186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45186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45186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45186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45186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45186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45186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45186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45186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45186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45186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45186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45186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45186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45186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45186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45186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45186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45186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45186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45186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45186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45186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45186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45186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45186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45186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45186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45186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45186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45186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45186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45186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45186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45186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45186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45186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45186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45186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45186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45186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45186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45186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45186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45186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45186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45186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45186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45186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45186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45186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45186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45186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45186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45186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45186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45186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45186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45186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45186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45186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45186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45186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45186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45186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45186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45186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45186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45186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45186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45186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45186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45186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45186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45186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45186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45186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45186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45186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45186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45186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45186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45186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45186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45186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45186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45186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45186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45186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45186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45186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45186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45186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45186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45186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45186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45186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45186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45186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45186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45186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45186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45186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45186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45186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45186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45186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45186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45186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45186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45186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45186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45186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45186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45186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45186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45186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45186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45186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45186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45186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45186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45186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45186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45186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45186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45186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45186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45186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45186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45186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45186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45186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45186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45186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45186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45186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45186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45186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45186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45186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45186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45186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45186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45186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45186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45186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45186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45186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45186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45186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45186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45186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45186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45186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45186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45186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45186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45186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45186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45186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45186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45186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45186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45186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45186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45186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45186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45186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45186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45186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45186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45186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45186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45186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45186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45186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45186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45186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45186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45186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45186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45186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45186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45186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45186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45186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45186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45186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45186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45186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45186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45186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45186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45186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45186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45186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45186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45186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45186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45186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45186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45186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45186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45186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45186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45186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45186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45186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45186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45186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45186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45186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45186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45186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45186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45186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45186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45186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45186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45186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45186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45186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45186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45186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45186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45186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45186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45186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45186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45186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45186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45186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45186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45186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45186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45186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45186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45186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45186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45186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45186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45186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45186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45186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45186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45186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45186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45186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45186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45186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45186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45186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45186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45186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45186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45186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45186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45186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45186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45186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45186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45186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45186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45186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45186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45186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45186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45186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45186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45186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45186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45186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45186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45186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45186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45186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45186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45186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45186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45186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45186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45186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45186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45186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45186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45186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45186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45186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45186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45186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45186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45186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45186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45186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45186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45186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45186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45186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45186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45186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45186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45186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45186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45186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45186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45186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45186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45186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45186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45186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45186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45186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45186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45186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45186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45186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45186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45186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45186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45186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45186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45186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45186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45186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45186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45186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45186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45186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45186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45186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45186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45186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45186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45186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45186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45186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45186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45186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45186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45186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45186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45186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45186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45186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45186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45186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45186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45186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45186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45186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45186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45186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45186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45186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45186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45186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45186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45186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45186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45186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45186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45186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45186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45186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45186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45186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45186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45186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45186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45186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45186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45186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45186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45186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45186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45186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45186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45186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45186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45186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45186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45186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45186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45186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45186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45186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45186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45186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45186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45186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45186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45186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45186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45186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45186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45186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45186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45186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45186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45186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45186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45186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45186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45186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45186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45186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45186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45186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45186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45186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45186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45186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45186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45186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45186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45186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45186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45186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45186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45186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45186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45186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45186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45186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45186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45186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45186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45186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45186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45186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45186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45186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45186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45186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45186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45186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45186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45186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45186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45186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45186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45186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45186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45186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45186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45186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45186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45186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45186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45186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45186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45186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45186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45186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45186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45186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45186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45186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45186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45186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45186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45186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45186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45186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45186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45186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45186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45186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45186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45186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45186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45186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45186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45186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45186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45186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45186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45186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45186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45186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45186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45186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45186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45186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45186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45186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45186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45186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45186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45186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45186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45186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45186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45186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45186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45186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45186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45186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45186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45186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45186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45186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45186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45186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45186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45186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45186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45186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45186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45186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45186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45186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45186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45186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45186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45186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45186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45186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45186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45186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45186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45186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45186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45186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45186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45186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45186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45186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45186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45186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45186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45186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45186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45186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45186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45186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45186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45186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45186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45186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45186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45186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45186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45186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45186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45186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45186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45186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45186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45186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45186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45186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45186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45186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45186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45186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45186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45186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45186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45186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45186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45186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45186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45186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45186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45186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45186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45186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45186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45186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45186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45186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45186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45186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45186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45186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45186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45186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45186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45186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45186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45186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45186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45186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45186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45186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45186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45186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45186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45186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45186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45186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45186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45186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45186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45186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45186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45186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45186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45186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45186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45186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45186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45186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45186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45186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45186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45186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45186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45186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45186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45186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45186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45186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45186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45186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45186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45186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45186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45186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45186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45186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45186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45186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45186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45186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45186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45186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45186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45186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45186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45186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45186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45186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45186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45186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45186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45186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45186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45186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45186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45186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45186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45186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45186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45186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45186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45186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45186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45186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45186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45186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45186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45186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45186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45186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45186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45186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45186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45186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45186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45186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45186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45186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45186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45186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45186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45186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45186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45186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45186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45186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45186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45186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45186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45186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45186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45186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45186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45186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45186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45186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45186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45186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45186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45186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45186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45186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45186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45186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45186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45186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45186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45186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45186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45186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45186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45186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45186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45186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45186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45186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45186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45186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45186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45186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45186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45186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45186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45186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45186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45186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45186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45186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45186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45186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45186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45186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45186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45186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45186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45186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45186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45186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45186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45186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45186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45186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45186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45186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45186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45186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45186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45186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45186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45186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45186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45186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45186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45186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45186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45186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45186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45186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45186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45186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45186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45186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45186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45186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45186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45186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45186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45186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45186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45186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45186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45186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45186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45186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45186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45186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45186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45186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45186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45186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45186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45186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45186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45186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45186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45186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45186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45186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45186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45186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45186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45186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45186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45186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45186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45186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45186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45186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45186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45186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45186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45186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45186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45186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45186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45186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45186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45186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45186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45186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45186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45186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45186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45186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45186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45186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45186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45186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45186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45186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45186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45186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45186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45186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45186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45186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45186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45186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45186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45186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45186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45186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45186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45186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45186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45186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45186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45186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45186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45186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45186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45186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45186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45186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45186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45186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45186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45186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45186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45186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45186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45186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45186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45186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45186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45186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45186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45186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45186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45186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45186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45186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45186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45186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45186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45186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45186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45186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45186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45186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45186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45186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45186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45186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45186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45186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45186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45186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45186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45186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45186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45186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45186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45186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45186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45186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45186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45186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45186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45186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45186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45186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45186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45186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45186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45186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45186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45186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45186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45186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45186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45186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45186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45186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45186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45186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45186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45186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45186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45186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45186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45186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45186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45186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45186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45186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45186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45186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45186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45186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45186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45186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45186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45186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45186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45186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45186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45186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45186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45186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45186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45186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45186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45186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45186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45186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45186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45186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45186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45186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45186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45186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45186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45186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45186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45186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45186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45186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45186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45186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45186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45186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45186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45186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45186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45186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45186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45186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45186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45186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45186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45186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45186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45186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45186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45186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45186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45186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45186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45186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45186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45186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45186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45186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45186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45186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45186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45186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45186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45186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45186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45186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45186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45186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45186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45186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45186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45186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45186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45186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45186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45186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45186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45186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45186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45186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45186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45186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45186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45186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45186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45186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45186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45186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45186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45186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45186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45186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45186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45186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45186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45186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45186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45186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45186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45186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45186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45186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45186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45186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45186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45186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45186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45186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45186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45186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45186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45186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45186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45186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45186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45186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45186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45186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45186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45186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45186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45186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45186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45186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45186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45186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45186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45186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45186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45186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45186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45186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45186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45186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45186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45186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45186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45186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45186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45186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45186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45186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45186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45186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45186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45186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45186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45186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45186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45186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45186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45186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45186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45186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45186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45186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45186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45186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45186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45186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45186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45186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45186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45186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45186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45186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45186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45186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45186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45186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45186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45186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45186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45186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45186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45186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45186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45186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45186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45186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45186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45186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45186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45186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45186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45186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45186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45186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45186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45186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45186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45186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45186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45186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45186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45186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45186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45186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45186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45186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45186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45186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45186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45186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45186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45186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45186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45186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45186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45186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45186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45186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45186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45186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45186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45186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45186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45186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45186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45186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45186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45186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45186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45186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45186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45186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45186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45186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45186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45186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45186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45186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45186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45186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45186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45186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45186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45186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45186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45186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45186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45186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45186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45186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45186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45186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45186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45186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45186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45186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45186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45186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45186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45186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45186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45186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45186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45186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45186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45186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45186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45186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45186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45186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45186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45186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45186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45186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45186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45186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45186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45186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45186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45186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45186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45186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45186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45186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45186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45186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45186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45186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45186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45186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45186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45186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45186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45186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45186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45186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45186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45186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45186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45186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45186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45186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45186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45186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45186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45186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45186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45186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45186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45186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45186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45186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45186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45186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45186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45186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45186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45186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45186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45186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45186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45186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45186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45186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45186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45186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45186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45186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45186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45186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45186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45186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45186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45186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45186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45186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45186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45186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45186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45186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45186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45186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45186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45186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45186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45186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45186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45186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45186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45186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45186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45186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45186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45186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45186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45186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45186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45186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45186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45186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45186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45186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45186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45186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45186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45186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45186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45186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45186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45186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45186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45186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45186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45186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45186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45186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45186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45186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45186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45186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45186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45186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45186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45186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45186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45186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45186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45186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45186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45186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45186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45186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45186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45186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45186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45186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45186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45186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45186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45186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45186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45186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45186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45186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45186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45186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45186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45186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45186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45186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45186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45186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45186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45186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45186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45186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45186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45186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45186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45186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45186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45186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45186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45186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45186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45186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45186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45186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45186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45186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45186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45186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45186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45186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45186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45186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45186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45186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45186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45186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45186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45186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45186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45186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45186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45186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45186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45186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45186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45186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45186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45186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45186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45186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45186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45186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45186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45186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45186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45186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45186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45186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45186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45186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45186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45186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45186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45186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45186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45186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45186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45186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45186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45186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45186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45186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45186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45186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45186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45186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45186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45186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45186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45186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45186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45186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45186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45186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45186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45186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45186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45186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45186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45186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45186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45186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45186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45186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45186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45186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45186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45186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45186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45186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45186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45186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45186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45186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45186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45186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45186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45186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45186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45186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45186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45186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45186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45186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45186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45186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45186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45186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45186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45186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45186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45186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45186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45186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45186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45186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45186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45186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45186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45186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45186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45186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45186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45186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45186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45186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45186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45186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45186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45186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45186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45186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45186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45186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45186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45186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45186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45186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45186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45186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45186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45186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45186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45186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45186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45186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45186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45186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45186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45186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45186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45186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45186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45186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45186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45186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45186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45186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45186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45186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45186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45186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45186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45186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45186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45186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45186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45186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45186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45186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45186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45186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45186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45186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45186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45186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45186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45186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45186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45186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45186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45186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45186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45186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45186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45186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45186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45186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45186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45186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45186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45186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45186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45186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45186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45186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45186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45186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45186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45186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45186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45186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45186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45186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45186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45186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45186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45186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45186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45186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45186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45186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45186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45186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45186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45186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45186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45186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45186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45186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45186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45186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45186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45186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45186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45186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45186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45186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45186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45186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45186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45186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45186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45186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45186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45186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45186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45186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45186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45186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45186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45186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45186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45186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45186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45186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45186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45186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45186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45186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45186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45186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45186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45186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45186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45186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45186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45186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45186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45186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45186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45186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45186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45186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45186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45186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45186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45186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45186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45186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45186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45186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45186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45186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45186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45186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45186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45186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45186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45186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45186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45186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45186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45186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45186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45186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45186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45186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45186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45186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>
      <c r="A4962" t="inlineStr">
        <is>
          <t>A 43161-2023</t>
        </is>
      </c>
      <c r="B4962" s="1" t="n">
        <v>45183</v>
      </c>
      <c r="C4962" s="1" t="n">
        <v>45186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2023-09-17T06:47:19Z</dcterms:created>
  <dcterms:modified xmlns:dcterms="http://purl.org/dc/terms/" xmlns:xsi="http://www.w3.org/2001/XMLSchema-instance" xsi:type="dcterms:W3CDTF">2023-09-17T06:47:21Z</dcterms:modified>
</cp:coreProperties>
</file>