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45175</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45175</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45175</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40639-2022</t>
        </is>
      </c>
      <c r="B5" s="1" t="n">
        <v>44824</v>
      </c>
      <c r="C5" s="1" t="n">
        <v>45175</v>
      </c>
      <c r="D5" t="inlineStr">
        <is>
          <t>VÄSTERNORRLANDS LÄN</t>
        </is>
      </c>
      <c r="E5" t="inlineStr">
        <is>
          <t>SOLLEFTEÅ</t>
        </is>
      </c>
      <c r="F5" t="inlineStr">
        <is>
          <t>Holmen skog AB</t>
        </is>
      </c>
      <c r="G5" t="n">
        <v>17.9</v>
      </c>
      <c r="H5" t="n">
        <v>5</v>
      </c>
      <c r="I5" t="n">
        <v>3</v>
      </c>
      <c r="J5" t="n">
        <v>11</v>
      </c>
      <c r="K5" t="n">
        <v>2</v>
      </c>
      <c r="L5" t="n">
        <v>0</v>
      </c>
      <c r="M5" t="n">
        <v>1</v>
      </c>
      <c r="N5" t="n">
        <v>0</v>
      </c>
      <c r="O5" t="n">
        <v>14</v>
      </c>
      <c r="P5" t="n">
        <v>3</v>
      </c>
      <c r="Q5" t="n">
        <v>18</v>
      </c>
      <c r="R5" s="2" t="inlineStr">
        <is>
          <t>Kritporing
Knärot
Ulltickeporing
Garnlav
Granticka
Gränsticka
Lunglav
Nordtagging
Spillkråka
Stjärntagging
Talltita
Tretåig hackspett
Ullticka
Vedtrappmossa
Bårdlav
Stuplav
Vedticka
Fläcknycklar</t>
        </is>
      </c>
      <c r="S5">
        <f>HYPERLINK("https://klasma.github.io/Logging_SOLLEFTEA/artfynd/A 40639-2022.xlsx")</f>
        <v/>
      </c>
      <c r="T5">
        <f>HYPERLINK("https://klasma.github.io/Logging_SOLLEFTEA/kartor/A 40639-2022.png")</f>
        <v/>
      </c>
      <c r="U5">
        <f>HYPERLINK("https://klasma.github.io/Logging_SOLLEFTEA/knärot/A 40639-2022.png")</f>
        <v/>
      </c>
      <c r="V5">
        <f>HYPERLINK("https://klasma.github.io/Logging_SOLLEFTEA/klagomål/A 40639-2022.docx")</f>
        <v/>
      </c>
      <c r="W5">
        <f>HYPERLINK("https://klasma.github.io/Logging_SOLLEFTEA/klagomålsmail/A 40639-2022.docx")</f>
        <v/>
      </c>
      <c r="X5">
        <f>HYPERLINK("https://klasma.github.io/Logging_SOLLEFTEA/tillsyn/A 40639-2022.docx")</f>
        <v/>
      </c>
      <c r="Y5">
        <f>HYPERLINK("https://klasma.github.io/Logging_SOLLEFTEA/tillsynsmail/A 40639-2022.docx")</f>
        <v/>
      </c>
    </row>
    <row r="6" ht="15" customHeight="1">
      <c r="A6" t="inlineStr">
        <is>
          <t>A 18055-2023</t>
        </is>
      </c>
      <c r="B6" s="1" t="n">
        <v>45040</v>
      </c>
      <c r="C6" s="1" t="n">
        <v>45175</v>
      </c>
      <c r="D6" t="inlineStr">
        <is>
          <t>VÄSTERNORRLANDS LÄN</t>
        </is>
      </c>
      <c r="E6" t="inlineStr">
        <is>
          <t>SOLLEFTEÅ</t>
        </is>
      </c>
      <c r="G6" t="n">
        <v>8</v>
      </c>
      <c r="H6" t="n">
        <v>4</v>
      </c>
      <c r="I6" t="n">
        <v>7</v>
      </c>
      <c r="J6" t="n">
        <v>8</v>
      </c>
      <c r="K6" t="n">
        <v>3</v>
      </c>
      <c r="L6" t="n">
        <v>0</v>
      </c>
      <c r="M6" t="n">
        <v>0</v>
      </c>
      <c r="N6" t="n">
        <v>0</v>
      </c>
      <c r="O6" t="n">
        <v>11</v>
      </c>
      <c r="P6" t="n">
        <v>3</v>
      </c>
      <c r="Q6" t="n">
        <v>18</v>
      </c>
      <c r="R6" s="2" t="inlineStr">
        <is>
          <t>Knärot
Lappticka
Rynkskinn
Garnlav
Granticka
Kolflarnlav
Lunglav
Rosenticka
Talltita
Tretåig hackspett
Ullticka
Bårdlav
Korallblylav
Luddlav
Spindelblomster
Stor aspticka
Vanlig flatbagge
Vedticka</t>
        </is>
      </c>
      <c r="S6">
        <f>HYPERLINK("https://klasma.github.io/Logging_SOLLEFTEA/artfynd/A 18055-2023.xlsx")</f>
        <v/>
      </c>
      <c r="T6">
        <f>HYPERLINK("https://klasma.github.io/Logging_SOLLEFTEA/kartor/A 18055-2023.png")</f>
        <v/>
      </c>
      <c r="U6">
        <f>HYPERLINK("https://klasma.github.io/Logging_SOLLEFTEA/knärot/A 18055-2023.png")</f>
        <v/>
      </c>
      <c r="V6">
        <f>HYPERLINK("https://klasma.github.io/Logging_SOLLEFTEA/klagomål/A 18055-2023.docx")</f>
        <v/>
      </c>
      <c r="W6">
        <f>HYPERLINK("https://klasma.github.io/Logging_SOLLEFTEA/klagomålsmail/A 18055-2023.docx")</f>
        <v/>
      </c>
      <c r="X6">
        <f>HYPERLINK("https://klasma.github.io/Logging_SOLLEFTEA/tillsyn/A 18055-2023.docx")</f>
        <v/>
      </c>
      <c r="Y6">
        <f>HYPERLINK("https://klasma.github.io/Logging_SOLLEFTEA/tillsynsmail/A 18055-2023.docx")</f>
        <v/>
      </c>
    </row>
    <row r="7" ht="15" customHeight="1">
      <c r="A7" t="inlineStr">
        <is>
          <t>A 9503-2022</t>
        </is>
      </c>
      <c r="B7" s="1" t="n">
        <v>44616</v>
      </c>
      <c r="C7" s="1" t="n">
        <v>45175</v>
      </c>
      <c r="D7" t="inlineStr">
        <is>
          <t>VÄSTERNORRLANDS LÄN</t>
        </is>
      </c>
      <c r="E7" t="inlineStr">
        <is>
          <t>SOLLEFTEÅ</t>
        </is>
      </c>
      <c r="F7" t="inlineStr">
        <is>
          <t>SCA</t>
        </is>
      </c>
      <c r="G7" t="n">
        <v>4.3</v>
      </c>
      <c r="H7" t="n">
        <v>2</v>
      </c>
      <c r="I7" t="n">
        <v>7</v>
      </c>
      <c r="J7" t="n">
        <v>9</v>
      </c>
      <c r="K7" t="n">
        <v>1</v>
      </c>
      <c r="L7" t="n">
        <v>0</v>
      </c>
      <c r="M7" t="n">
        <v>0</v>
      </c>
      <c r="N7" t="n">
        <v>0</v>
      </c>
      <c r="O7" t="n">
        <v>10</v>
      </c>
      <c r="P7" t="n">
        <v>1</v>
      </c>
      <c r="Q7" t="n">
        <v>17</v>
      </c>
      <c r="R7" s="2" t="inlineStr">
        <is>
          <t>Knärot
Dvärgbägarlav
Garnlav
Kolflarnlav
Lunglav
Mörk kolflarnlav
Skrovellav
Tretåig hackspett
Ullticka
Vedskivlav
Bårdlav
Dropptaggsvamp
Luddlav
Norrlandslav
Rävticka
Stuplav
Vedticka</t>
        </is>
      </c>
      <c r="S7">
        <f>HYPERLINK("https://klasma.github.io/Logging_SOLLEFTEA/artfynd/A 9503-2022.xlsx")</f>
        <v/>
      </c>
      <c r="T7">
        <f>HYPERLINK("https://klasma.github.io/Logging_SOLLEFTEA/kartor/A 9503-2022.png")</f>
        <v/>
      </c>
      <c r="U7">
        <f>HYPERLINK("https://klasma.github.io/Logging_SOLLEFTEA/knärot/A 9503-2022.png")</f>
        <v/>
      </c>
      <c r="V7">
        <f>HYPERLINK("https://klasma.github.io/Logging_SOLLEFTEA/klagomål/A 9503-2022.docx")</f>
        <v/>
      </c>
      <c r="W7">
        <f>HYPERLINK("https://klasma.github.io/Logging_SOLLEFTEA/klagomålsmail/A 9503-2022.docx")</f>
        <v/>
      </c>
      <c r="X7">
        <f>HYPERLINK("https://klasma.github.io/Logging_SOLLEFTEA/tillsyn/A 9503-2022.docx")</f>
        <v/>
      </c>
      <c r="Y7">
        <f>HYPERLINK("https://klasma.github.io/Logging_SOLLEFTEA/tillsynsmail/A 9503-2022.docx")</f>
        <v/>
      </c>
    </row>
    <row r="8" ht="15" customHeight="1">
      <c r="A8" t="inlineStr">
        <is>
          <t>A 47451-2018</t>
        </is>
      </c>
      <c r="B8" s="1" t="n">
        <v>43369</v>
      </c>
      <c r="C8" s="1" t="n">
        <v>45175</v>
      </c>
      <c r="D8" t="inlineStr">
        <is>
          <t>VÄSTERNORRLANDS LÄN</t>
        </is>
      </c>
      <c r="E8" t="inlineStr">
        <is>
          <t>SOLLEFTEÅ</t>
        </is>
      </c>
      <c r="G8" t="n">
        <v>31.1</v>
      </c>
      <c r="H8" t="n">
        <v>2</v>
      </c>
      <c r="I8" t="n">
        <v>2</v>
      </c>
      <c r="J8" t="n">
        <v>13</v>
      </c>
      <c r="K8" t="n">
        <v>1</v>
      </c>
      <c r="L8" t="n">
        <v>0</v>
      </c>
      <c r="M8" t="n">
        <v>0</v>
      </c>
      <c r="N8" t="n">
        <v>0</v>
      </c>
      <c r="O8" t="n">
        <v>14</v>
      </c>
      <c r="P8" t="n">
        <v>1</v>
      </c>
      <c r="Q8" t="n">
        <v>16</v>
      </c>
      <c r="R8" s="2" t="inlineStr">
        <is>
          <t>Doftticka
Blanksvart spiklav
Doftskinn
Gammelgransskål
Garnlav
Kolflarnlav
Lunglav
Rosenticka
Skrovellav
Tallticka
Tretåig hackspett
Ullticka
Violettgrå tagellav
Vitgrynig nållav
Stuplav
Vedticka</t>
        </is>
      </c>
      <c r="S8">
        <f>HYPERLINK("https://klasma.github.io/Logging_SOLLEFTEA/artfynd/A 47451-2018.xlsx")</f>
        <v/>
      </c>
      <c r="T8">
        <f>HYPERLINK("https://klasma.github.io/Logging_SOLLEFTEA/kartor/A 47451-2018.png")</f>
        <v/>
      </c>
      <c r="V8">
        <f>HYPERLINK("https://klasma.github.io/Logging_SOLLEFTEA/klagomål/A 47451-2018.docx")</f>
        <v/>
      </c>
      <c r="W8">
        <f>HYPERLINK("https://klasma.github.io/Logging_SOLLEFTEA/klagomålsmail/A 47451-2018.docx")</f>
        <v/>
      </c>
      <c r="X8">
        <f>HYPERLINK("https://klasma.github.io/Logging_SOLLEFTEA/tillsyn/A 47451-2018.docx")</f>
        <v/>
      </c>
      <c r="Y8">
        <f>HYPERLINK("https://klasma.github.io/Logging_SOLLEFTEA/tillsynsmail/A 47451-2018.docx")</f>
        <v/>
      </c>
    </row>
    <row r="9" ht="15" customHeight="1">
      <c r="A9" t="inlineStr">
        <is>
          <t>A 29770-2019</t>
        </is>
      </c>
      <c r="B9" s="1" t="n">
        <v>43632</v>
      </c>
      <c r="C9" s="1" t="n">
        <v>45175</v>
      </c>
      <c r="D9" t="inlineStr">
        <is>
          <t>VÄSTERNORRLANDS LÄN</t>
        </is>
      </c>
      <c r="E9" t="inlineStr">
        <is>
          <t>SOLLEFTEÅ</t>
        </is>
      </c>
      <c r="G9" t="n">
        <v>20.2</v>
      </c>
      <c r="H9" t="n">
        <v>1</v>
      </c>
      <c r="I9" t="n">
        <v>5</v>
      </c>
      <c r="J9" t="n">
        <v>9</v>
      </c>
      <c r="K9" t="n">
        <v>2</v>
      </c>
      <c r="L9" t="n">
        <v>0</v>
      </c>
      <c r="M9" t="n">
        <v>0</v>
      </c>
      <c r="N9" t="n">
        <v>0</v>
      </c>
      <c r="O9" t="n">
        <v>11</v>
      </c>
      <c r="P9" t="n">
        <v>2</v>
      </c>
      <c r="Q9" t="n">
        <v>16</v>
      </c>
      <c r="R9" s="2" t="inlineStr">
        <is>
          <t>Lappticka
Rynkskinn
Doftskinn
Gammelgransskål
Garnlav
Granticka
Gränsticka
Lunglav
Rosenticka
Tretåig hackspett
Ullticka
Bårdlav
Korallblylav
Stuplav
Trådticka
Vedticka</t>
        </is>
      </c>
      <c r="S9">
        <f>HYPERLINK("https://klasma.github.io/Logging_SOLLEFTEA/artfynd/A 29770-2019.xlsx")</f>
        <v/>
      </c>
      <c r="T9">
        <f>HYPERLINK("https://klasma.github.io/Logging_SOLLEFTEA/kartor/A 29770-2019.png")</f>
        <v/>
      </c>
      <c r="V9">
        <f>HYPERLINK("https://klasma.github.io/Logging_SOLLEFTEA/klagomål/A 29770-2019.docx")</f>
        <v/>
      </c>
      <c r="W9">
        <f>HYPERLINK("https://klasma.github.io/Logging_SOLLEFTEA/klagomålsmail/A 29770-2019.docx")</f>
        <v/>
      </c>
      <c r="X9">
        <f>HYPERLINK("https://klasma.github.io/Logging_SOLLEFTEA/tillsyn/A 29770-2019.docx")</f>
        <v/>
      </c>
      <c r="Y9">
        <f>HYPERLINK("https://klasma.github.io/Logging_SOLLEFTEA/tillsynsmail/A 29770-2019.docx")</f>
        <v/>
      </c>
    </row>
    <row r="10" ht="15" customHeight="1">
      <c r="A10" t="inlineStr">
        <is>
          <t>A 59323-2021</t>
        </is>
      </c>
      <c r="B10" s="1" t="n">
        <v>44490</v>
      </c>
      <c r="C10" s="1" t="n">
        <v>45175</v>
      </c>
      <c r="D10" t="inlineStr">
        <is>
          <t>VÄSTERNORRLANDS LÄN</t>
        </is>
      </c>
      <c r="E10" t="inlineStr">
        <is>
          <t>SOLLEFTEÅ</t>
        </is>
      </c>
      <c r="F10" t="inlineStr">
        <is>
          <t>SCA</t>
        </is>
      </c>
      <c r="G10" t="n">
        <v>3.7</v>
      </c>
      <c r="H10" t="n">
        <v>3</v>
      </c>
      <c r="I10" t="n">
        <v>3</v>
      </c>
      <c r="J10" t="n">
        <v>10</v>
      </c>
      <c r="K10" t="n">
        <v>3</v>
      </c>
      <c r="L10" t="n">
        <v>0</v>
      </c>
      <c r="M10" t="n">
        <v>0</v>
      </c>
      <c r="N10" t="n">
        <v>0</v>
      </c>
      <c r="O10" t="n">
        <v>13</v>
      </c>
      <c r="P10" t="n">
        <v>3</v>
      </c>
      <c r="Q10" t="n">
        <v>16</v>
      </c>
      <c r="R10" s="2" t="inlineStr">
        <is>
          <t>Doftticka
Knärot
Rynkskinn
Gammelgransskål
Garnlav
Granticka
Harticka
Lunglav
Mörk kolflarnlav
Tallticka
Tretåig hackspett
Ullticka
Vedtrappmossa
Bollvitmossa
Bronshjon
Dropptaggsvamp</t>
        </is>
      </c>
      <c r="S10">
        <f>HYPERLINK("https://klasma.github.io/Logging_SOLLEFTEA/artfynd/A 59323-2021.xlsx")</f>
        <v/>
      </c>
      <c r="T10">
        <f>HYPERLINK("https://klasma.github.io/Logging_SOLLEFTEA/kartor/A 59323-2021.png")</f>
        <v/>
      </c>
      <c r="U10">
        <f>HYPERLINK("https://klasma.github.io/Logging_SOLLEFTEA/knärot/A 59323-2021.png")</f>
        <v/>
      </c>
      <c r="V10">
        <f>HYPERLINK("https://klasma.github.io/Logging_SOLLEFTEA/klagomål/A 59323-2021.docx")</f>
        <v/>
      </c>
      <c r="W10">
        <f>HYPERLINK("https://klasma.github.io/Logging_SOLLEFTEA/klagomålsmail/A 59323-2021.docx")</f>
        <v/>
      </c>
      <c r="X10">
        <f>HYPERLINK("https://klasma.github.io/Logging_SOLLEFTEA/tillsyn/A 59323-2021.docx")</f>
        <v/>
      </c>
      <c r="Y10">
        <f>HYPERLINK("https://klasma.github.io/Logging_SOLLEFTEA/tillsynsmail/A 59323-2021.docx")</f>
        <v/>
      </c>
    </row>
    <row r="11" ht="15" customHeight="1">
      <c r="A11" t="inlineStr">
        <is>
          <t>A 2365-2023</t>
        </is>
      </c>
      <c r="B11" s="1" t="n">
        <v>44942</v>
      </c>
      <c r="C11" s="1" t="n">
        <v>45175</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45175</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45175</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45175</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45175</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45175</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45175</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45175</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45175</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45175</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45175</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45175</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45175</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45175</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26367-2023</t>
        </is>
      </c>
      <c r="B25" s="1" t="n">
        <v>45091</v>
      </c>
      <c r="C25" s="1" t="n">
        <v>45175</v>
      </c>
      <c r="D25" t="inlineStr">
        <is>
          <t>VÄSTERNORRLANDS LÄN</t>
        </is>
      </c>
      <c r="E25" t="inlineStr">
        <is>
          <t>SOLLEFTEÅ</t>
        </is>
      </c>
      <c r="F25" t="inlineStr">
        <is>
          <t>SCA</t>
        </is>
      </c>
      <c r="G25" t="n">
        <v>44.2</v>
      </c>
      <c r="H25" t="n">
        <v>4</v>
      </c>
      <c r="I25" t="n">
        <v>4</v>
      </c>
      <c r="J25" t="n">
        <v>7</v>
      </c>
      <c r="K25" t="n">
        <v>0</v>
      </c>
      <c r="L25" t="n">
        <v>0</v>
      </c>
      <c r="M25" t="n">
        <v>0</v>
      </c>
      <c r="N25" t="n">
        <v>0</v>
      </c>
      <c r="O25" t="n">
        <v>7</v>
      </c>
      <c r="P25" t="n">
        <v>0</v>
      </c>
      <c r="Q25" t="n">
        <v>12</v>
      </c>
      <c r="R25" s="2" t="inlineStr">
        <is>
          <t>Garnlav
Granticka
Lunglav
Rosenticka
Spillkråka
Tretåig hackspett
Violettgrå tagellav
Norrlandslav
Plattlummer
Skinnlav
Vedticka
Revlummer</t>
        </is>
      </c>
      <c r="S25">
        <f>HYPERLINK("https://klasma.github.io/Logging_SOLLEFTEA/artfynd/A 26367-2023.xlsx")</f>
        <v/>
      </c>
      <c r="T25">
        <f>HYPERLINK("https://klasma.github.io/Logging_SOLLEFTEA/kartor/A 26367-2023.png")</f>
        <v/>
      </c>
      <c r="V25">
        <f>HYPERLINK("https://klasma.github.io/Logging_SOLLEFTEA/klagomål/A 26367-2023.docx")</f>
        <v/>
      </c>
      <c r="W25">
        <f>HYPERLINK("https://klasma.github.io/Logging_SOLLEFTEA/klagomålsmail/A 26367-2023.docx")</f>
        <v/>
      </c>
      <c r="X25">
        <f>HYPERLINK("https://klasma.github.io/Logging_SOLLEFTEA/tillsyn/A 26367-2023.docx")</f>
        <v/>
      </c>
      <c r="Y25">
        <f>HYPERLINK("https://klasma.github.io/Logging_SOLLEFTEA/tillsynsmail/A 26367-2023.docx")</f>
        <v/>
      </c>
    </row>
    <row r="26" ht="15" customHeight="1">
      <c r="A26" t="inlineStr">
        <is>
          <t>A 28663-2023</t>
        </is>
      </c>
      <c r="B26" s="1" t="n">
        <v>45096</v>
      </c>
      <c r="C26" s="1" t="n">
        <v>45175</v>
      </c>
      <c r="D26" t="inlineStr">
        <is>
          <t>VÄSTERNORRLANDS LÄN</t>
        </is>
      </c>
      <c r="E26" t="inlineStr">
        <is>
          <t>SOLLEFTEÅ</t>
        </is>
      </c>
      <c r="G26" t="n">
        <v>16.2</v>
      </c>
      <c r="H26" t="n">
        <v>3</v>
      </c>
      <c r="I26" t="n">
        <v>3</v>
      </c>
      <c r="J26" t="n">
        <v>6</v>
      </c>
      <c r="K26" t="n">
        <v>2</v>
      </c>
      <c r="L26" t="n">
        <v>0</v>
      </c>
      <c r="M26" t="n">
        <v>0</v>
      </c>
      <c r="N26" t="n">
        <v>0</v>
      </c>
      <c r="O26" t="n">
        <v>8</v>
      </c>
      <c r="P26" t="n">
        <v>2</v>
      </c>
      <c r="Q26" t="n">
        <v>12</v>
      </c>
      <c r="R26" s="2" t="inlineStr">
        <is>
          <t>Knärot
Rynkskinn
Garnlav
Lunglav
Mörk kolflarnlav
Rosenticka
Spillkråka
Ullticka
Dropptaggsvamp
Vanlig flatbagge
Vedticka
Fläcknycklar</t>
        </is>
      </c>
      <c r="S26">
        <f>HYPERLINK("https://klasma.github.io/Logging_SOLLEFTEA/artfynd/A 28663-2023.xlsx")</f>
        <v/>
      </c>
      <c r="T26">
        <f>HYPERLINK("https://klasma.github.io/Logging_SOLLEFTEA/kartor/A 28663-2023.png")</f>
        <v/>
      </c>
      <c r="U26">
        <f>HYPERLINK("https://klasma.github.io/Logging_SOLLEFTEA/knärot/A 28663-2023.png")</f>
        <v/>
      </c>
      <c r="V26">
        <f>HYPERLINK("https://klasma.github.io/Logging_SOLLEFTEA/klagomål/A 28663-2023.docx")</f>
        <v/>
      </c>
      <c r="W26">
        <f>HYPERLINK("https://klasma.github.io/Logging_SOLLEFTEA/klagomålsmail/A 28663-2023.docx")</f>
        <v/>
      </c>
      <c r="X26">
        <f>HYPERLINK("https://klasma.github.io/Logging_SOLLEFTEA/tillsyn/A 28663-2023.docx")</f>
        <v/>
      </c>
      <c r="Y26">
        <f>HYPERLINK("https://klasma.github.io/Logging_SOLLEFTEA/tillsynsmail/A 28663-2023.docx")</f>
        <v/>
      </c>
    </row>
    <row r="27" ht="15" customHeight="1">
      <c r="A27" t="inlineStr">
        <is>
          <t>A 40784-2019</t>
        </is>
      </c>
      <c r="B27" s="1" t="n">
        <v>43693</v>
      </c>
      <c r="C27" s="1" t="n">
        <v>45175</v>
      </c>
      <c r="D27" t="inlineStr">
        <is>
          <t>VÄSTERNORRLANDS LÄN</t>
        </is>
      </c>
      <c r="E27" t="inlineStr">
        <is>
          <t>SOLLEFTEÅ</t>
        </is>
      </c>
      <c r="G27" t="n">
        <v>10.5</v>
      </c>
      <c r="H27" t="n">
        <v>1</v>
      </c>
      <c r="I27" t="n">
        <v>1</v>
      </c>
      <c r="J27" t="n">
        <v>8</v>
      </c>
      <c r="K27" t="n">
        <v>2</v>
      </c>
      <c r="L27" t="n">
        <v>0</v>
      </c>
      <c r="M27" t="n">
        <v>0</v>
      </c>
      <c r="N27" t="n">
        <v>0</v>
      </c>
      <c r="O27" t="n">
        <v>10</v>
      </c>
      <c r="P27" t="n">
        <v>2</v>
      </c>
      <c r="Q27" t="n">
        <v>11</v>
      </c>
      <c r="R27" s="2" t="inlineStr">
        <is>
          <t>Blackticka
Rynkskinn
Gammelgransskål
Garnlav
Granticka
Kolflarnlav
Lunglav
Talltita
Ullticka
Vedskivlav
Vedticka</t>
        </is>
      </c>
      <c r="S27">
        <f>HYPERLINK("https://klasma.github.io/Logging_SOLLEFTEA/artfynd/A 40784-2019.xlsx")</f>
        <v/>
      </c>
      <c r="T27">
        <f>HYPERLINK("https://klasma.github.io/Logging_SOLLEFTEA/kartor/A 40784-2019.png")</f>
        <v/>
      </c>
      <c r="V27">
        <f>HYPERLINK("https://klasma.github.io/Logging_SOLLEFTEA/klagomål/A 40784-2019.docx")</f>
        <v/>
      </c>
      <c r="W27">
        <f>HYPERLINK("https://klasma.github.io/Logging_SOLLEFTEA/klagomålsmail/A 40784-2019.docx")</f>
        <v/>
      </c>
      <c r="X27">
        <f>HYPERLINK("https://klasma.github.io/Logging_SOLLEFTEA/tillsyn/A 40784-2019.docx")</f>
        <v/>
      </c>
      <c r="Y27">
        <f>HYPERLINK("https://klasma.github.io/Logging_SOLLEFTEA/tillsynsmail/A 40784-2019.docx")</f>
        <v/>
      </c>
    </row>
    <row r="28" ht="15" customHeight="1">
      <c r="A28" t="inlineStr">
        <is>
          <t>A 41031-2020</t>
        </is>
      </c>
      <c r="B28" s="1" t="n">
        <v>44070</v>
      </c>
      <c r="C28" s="1" t="n">
        <v>45175</v>
      </c>
      <c r="D28" t="inlineStr">
        <is>
          <t>VÄSTERNORRLANDS LÄN</t>
        </is>
      </c>
      <c r="E28" t="inlineStr">
        <is>
          <t>SOLLEFTEÅ</t>
        </is>
      </c>
      <c r="F28" t="inlineStr">
        <is>
          <t>SCA</t>
        </is>
      </c>
      <c r="G28" t="n">
        <v>4</v>
      </c>
      <c r="H28" t="n">
        <v>1</v>
      </c>
      <c r="I28" t="n">
        <v>2</v>
      </c>
      <c r="J28" t="n">
        <v>8</v>
      </c>
      <c r="K28" t="n">
        <v>1</v>
      </c>
      <c r="L28" t="n">
        <v>0</v>
      </c>
      <c r="M28" t="n">
        <v>0</v>
      </c>
      <c r="N28" t="n">
        <v>0</v>
      </c>
      <c r="O28" t="n">
        <v>9</v>
      </c>
      <c r="P28" t="n">
        <v>1</v>
      </c>
      <c r="Q28" t="n">
        <v>11</v>
      </c>
      <c r="R28" s="2" t="inlineStr">
        <is>
          <t>Liten sotlav
Garnlav
Kolflarnlav
Lunglav
Mörk kolflarnlav
Skogshare
Talltita
Violettgrå tagellav
Vitgrynig nållav
Luddlav
Stuplav</t>
        </is>
      </c>
      <c r="S28">
        <f>HYPERLINK("https://klasma.github.io/Logging_SOLLEFTEA/artfynd/A 41031-2020.xlsx")</f>
        <v/>
      </c>
      <c r="T28">
        <f>HYPERLINK("https://klasma.github.io/Logging_SOLLEFTEA/kartor/A 41031-2020.png")</f>
        <v/>
      </c>
      <c r="U28">
        <f>HYPERLINK("https://klasma.github.io/Logging_SOLLEFTEA/knärot/A 41031-2020.png")</f>
        <v/>
      </c>
      <c r="V28">
        <f>HYPERLINK("https://klasma.github.io/Logging_SOLLEFTEA/klagomål/A 41031-2020.docx")</f>
        <v/>
      </c>
      <c r="W28">
        <f>HYPERLINK("https://klasma.github.io/Logging_SOLLEFTEA/klagomålsmail/A 41031-2020.docx")</f>
        <v/>
      </c>
      <c r="X28">
        <f>HYPERLINK("https://klasma.github.io/Logging_SOLLEFTEA/tillsyn/A 41031-2020.docx")</f>
        <v/>
      </c>
      <c r="Y28">
        <f>HYPERLINK("https://klasma.github.io/Logging_SOLLEFTEA/tillsynsmail/A 41031-2020.docx")</f>
        <v/>
      </c>
    </row>
    <row r="29" ht="15" customHeight="1">
      <c r="A29" t="inlineStr">
        <is>
          <t>A 50639-2020</t>
        </is>
      </c>
      <c r="B29" s="1" t="n">
        <v>44110</v>
      </c>
      <c r="C29" s="1" t="n">
        <v>45175</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45175</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45175</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45175</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45175</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45175</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45175</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45175</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45175</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45175</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45175</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45175</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45175</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45175</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45175</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45175</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45175</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45175</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45175</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45175</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45175</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45175</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45175</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45175</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45175</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45175</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45175</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26655-2022</t>
        </is>
      </c>
      <c r="B56" s="1" t="n">
        <v>44739</v>
      </c>
      <c r="C56" s="1" t="n">
        <v>45175</v>
      </c>
      <c r="D56" t="inlineStr">
        <is>
          <t>VÄSTERNORRLANDS LÄN</t>
        </is>
      </c>
      <c r="E56" t="inlineStr">
        <is>
          <t>SOLLEFTEÅ</t>
        </is>
      </c>
      <c r="F56" t="inlineStr">
        <is>
          <t>Holmen skog AB</t>
        </is>
      </c>
      <c r="G56" t="n">
        <v>5.8</v>
      </c>
      <c r="H56" t="n">
        <v>2</v>
      </c>
      <c r="I56" t="n">
        <v>0</v>
      </c>
      <c r="J56" t="n">
        <v>5</v>
      </c>
      <c r="K56" t="n">
        <v>1</v>
      </c>
      <c r="L56" t="n">
        <v>0</v>
      </c>
      <c r="M56" t="n">
        <v>0</v>
      </c>
      <c r="N56" t="n">
        <v>0</v>
      </c>
      <c r="O56" t="n">
        <v>6</v>
      </c>
      <c r="P56" t="n">
        <v>1</v>
      </c>
      <c r="Q56" t="n">
        <v>6</v>
      </c>
      <c r="R56" s="2" t="inlineStr">
        <is>
          <t>Knärot
Garnlav
Lunglav
Rosenticka
Talltita
Ullticka</t>
        </is>
      </c>
      <c r="S56">
        <f>HYPERLINK("https://klasma.github.io/Logging_SOLLEFTEA/artfynd/A 26655-2022.xlsx")</f>
        <v/>
      </c>
      <c r="T56">
        <f>HYPERLINK("https://klasma.github.io/Logging_SOLLEFTEA/kartor/A 26655-2022.png")</f>
        <v/>
      </c>
      <c r="U56">
        <f>HYPERLINK("https://klasma.github.io/Logging_SOLLEFTEA/knärot/A 26655-2022.png")</f>
        <v/>
      </c>
      <c r="V56">
        <f>HYPERLINK("https://klasma.github.io/Logging_SOLLEFTEA/klagomål/A 26655-2022.docx")</f>
        <v/>
      </c>
      <c r="W56">
        <f>HYPERLINK("https://klasma.github.io/Logging_SOLLEFTEA/klagomålsmail/A 26655-2022.docx")</f>
        <v/>
      </c>
      <c r="X56">
        <f>HYPERLINK("https://klasma.github.io/Logging_SOLLEFTEA/tillsyn/A 26655-2022.docx")</f>
        <v/>
      </c>
      <c r="Y56">
        <f>HYPERLINK("https://klasma.github.io/Logging_SOLLEFTEA/tillsynsmail/A 26655-2022.docx")</f>
        <v/>
      </c>
    </row>
    <row r="57" ht="15" customHeight="1">
      <c r="A57" t="inlineStr">
        <is>
          <t>A 25050-2023</t>
        </is>
      </c>
      <c r="B57" s="1" t="n">
        <v>45085</v>
      </c>
      <c r="C57" s="1" t="n">
        <v>45175</v>
      </c>
      <c r="D57" t="inlineStr">
        <is>
          <t>VÄSTERNORRLANDS LÄN</t>
        </is>
      </c>
      <c r="E57" t="inlineStr">
        <is>
          <t>SOLLEFTEÅ</t>
        </is>
      </c>
      <c r="F57" t="inlineStr">
        <is>
          <t>SCA</t>
        </is>
      </c>
      <c r="G57" t="n">
        <v>2.1</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25050-2023.xlsx")</f>
        <v/>
      </c>
      <c r="T57">
        <f>HYPERLINK("https://klasma.github.io/Logging_SOLLEFTEA/kartor/A 25050-2023.png")</f>
        <v/>
      </c>
      <c r="U57">
        <f>HYPERLINK("https://klasma.github.io/Logging_SOLLEFTEA/knärot/A 25050-2023.png")</f>
        <v/>
      </c>
      <c r="V57">
        <f>HYPERLINK("https://klasma.github.io/Logging_SOLLEFTEA/klagomål/A 25050-2023.docx")</f>
        <v/>
      </c>
      <c r="W57">
        <f>HYPERLINK("https://klasma.github.io/Logging_SOLLEFTEA/klagomålsmail/A 25050-2023.docx")</f>
        <v/>
      </c>
      <c r="X57">
        <f>HYPERLINK("https://klasma.github.io/Logging_SOLLEFTEA/tillsyn/A 25050-2023.docx")</f>
        <v/>
      </c>
      <c r="Y57">
        <f>HYPERLINK("https://klasma.github.io/Logging_SOLLEFTEA/tillsynsmail/A 25050-2023.docx")</f>
        <v/>
      </c>
    </row>
    <row r="58" ht="15" customHeight="1">
      <c r="A58" t="inlineStr">
        <is>
          <t>A 62051-2018</t>
        </is>
      </c>
      <c r="B58" s="1" t="n">
        <v>43416</v>
      </c>
      <c r="C58" s="1" t="n">
        <v>45175</v>
      </c>
      <c r="D58" t="inlineStr">
        <is>
          <t>VÄSTERNORRLANDS LÄN</t>
        </is>
      </c>
      <c r="E58" t="inlineStr">
        <is>
          <t>SOLLEFTEÅ</t>
        </is>
      </c>
      <c r="F58" t="inlineStr">
        <is>
          <t>Kyrkan</t>
        </is>
      </c>
      <c r="G58" t="n">
        <v>16.1</v>
      </c>
      <c r="H58" t="n">
        <v>1</v>
      </c>
      <c r="I58" t="n">
        <v>1</v>
      </c>
      <c r="J58" t="n">
        <v>4</v>
      </c>
      <c r="K58" t="n">
        <v>0</v>
      </c>
      <c r="L58" t="n">
        <v>0</v>
      </c>
      <c r="M58" t="n">
        <v>0</v>
      </c>
      <c r="N58" t="n">
        <v>0</v>
      </c>
      <c r="O58" t="n">
        <v>4</v>
      </c>
      <c r="P58" t="n">
        <v>0</v>
      </c>
      <c r="Q58" t="n">
        <v>5</v>
      </c>
      <c r="R58" s="2" t="inlineStr">
        <is>
          <t>Garnlav
Lunglav
Rosenticka
Tretåig hackspett
Vanlig flatbagge</t>
        </is>
      </c>
      <c r="S58">
        <f>HYPERLINK("https://klasma.github.io/Logging_SOLLEFTEA/artfynd/A 62051-2018.xlsx")</f>
        <v/>
      </c>
      <c r="T58">
        <f>HYPERLINK("https://klasma.github.io/Logging_SOLLEFTEA/kartor/A 62051-2018.png")</f>
        <v/>
      </c>
      <c r="V58">
        <f>HYPERLINK("https://klasma.github.io/Logging_SOLLEFTEA/klagomål/A 62051-2018.docx")</f>
        <v/>
      </c>
      <c r="W58">
        <f>HYPERLINK("https://klasma.github.io/Logging_SOLLEFTEA/klagomålsmail/A 62051-2018.docx")</f>
        <v/>
      </c>
      <c r="X58">
        <f>HYPERLINK("https://klasma.github.io/Logging_SOLLEFTEA/tillsyn/A 62051-2018.docx")</f>
        <v/>
      </c>
      <c r="Y58">
        <f>HYPERLINK("https://klasma.github.io/Logging_SOLLEFTEA/tillsynsmail/A 62051-2018.docx")</f>
        <v/>
      </c>
    </row>
    <row r="59" ht="15" customHeight="1">
      <c r="A59" t="inlineStr">
        <is>
          <t>A 68033-2018</t>
        </is>
      </c>
      <c r="B59" s="1" t="n">
        <v>43437</v>
      </c>
      <c r="C59" s="1" t="n">
        <v>45175</v>
      </c>
      <c r="D59" t="inlineStr">
        <is>
          <t>VÄSTERNORRLANDS LÄN</t>
        </is>
      </c>
      <c r="E59" t="inlineStr">
        <is>
          <t>SOLLEFTEÅ</t>
        </is>
      </c>
      <c r="F59" t="inlineStr">
        <is>
          <t>Holmen skog AB</t>
        </is>
      </c>
      <c r="G59" t="n">
        <v>7.5</v>
      </c>
      <c r="H59" t="n">
        <v>0</v>
      </c>
      <c r="I59" t="n">
        <v>1</v>
      </c>
      <c r="J59" t="n">
        <v>2</v>
      </c>
      <c r="K59" t="n">
        <v>1</v>
      </c>
      <c r="L59" t="n">
        <v>1</v>
      </c>
      <c r="M59" t="n">
        <v>0</v>
      </c>
      <c r="N59" t="n">
        <v>0</v>
      </c>
      <c r="O59" t="n">
        <v>4</v>
      </c>
      <c r="P59" t="n">
        <v>2</v>
      </c>
      <c r="Q59" t="n">
        <v>5</v>
      </c>
      <c r="R59" s="2" t="inlineStr">
        <is>
          <t>Isabellporing
Lappticka
Nordtagging
Tofsnålskinn
Vedticka</t>
        </is>
      </c>
      <c r="S59">
        <f>HYPERLINK("https://klasma.github.io/Logging_SOLLEFTEA/artfynd/A 68033-2018.xlsx")</f>
        <v/>
      </c>
      <c r="T59">
        <f>HYPERLINK("https://klasma.github.io/Logging_SOLLEFTEA/kartor/A 68033-2018.png")</f>
        <v/>
      </c>
      <c r="V59">
        <f>HYPERLINK("https://klasma.github.io/Logging_SOLLEFTEA/klagomål/A 68033-2018.docx")</f>
        <v/>
      </c>
      <c r="W59">
        <f>HYPERLINK("https://klasma.github.io/Logging_SOLLEFTEA/klagomålsmail/A 68033-2018.docx")</f>
        <v/>
      </c>
      <c r="X59">
        <f>HYPERLINK("https://klasma.github.io/Logging_SOLLEFTEA/tillsyn/A 68033-2018.docx")</f>
        <v/>
      </c>
      <c r="Y59">
        <f>HYPERLINK("https://klasma.github.io/Logging_SOLLEFTEA/tillsynsmail/A 68033-2018.docx")</f>
        <v/>
      </c>
    </row>
    <row r="60" ht="15" customHeight="1">
      <c r="A60" t="inlineStr">
        <is>
          <t>A 26633-2019</t>
        </is>
      </c>
      <c r="B60" s="1" t="n">
        <v>43612</v>
      </c>
      <c r="C60" s="1" t="n">
        <v>45175</v>
      </c>
      <c r="D60" t="inlineStr">
        <is>
          <t>VÄSTERNORRLANDS LÄN</t>
        </is>
      </c>
      <c r="E60" t="inlineStr">
        <is>
          <t>SOLLEFTEÅ</t>
        </is>
      </c>
      <c r="F60" t="inlineStr">
        <is>
          <t>SCA</t>
        </is>
      </c>
      <c r="G60" t="n">
        <v>20.5</v>
      </c>
      <c r="H60" t="n">
        <v>1</v>
      </c>
      <c r="I60" t="n">
        <v>1</v>
      </c>
      <c r="J60" t="n">
        <v>4</v>
      </c>
      <c r="K60" t="n">
        <v>0</v>
      </c>
      <c r="L60" t="n">
        <v>0</v>
      </c>
      <c r="M60" t="n">
        <v>0</v>
      </c>
      <c r="N60" t="n">
        <v>0</v>
      </c>
      <c r="O60" t="n">
        <v>4</v>
      </c>
      <c r="P60" t="n">
        <v>0</v>
      </c>
      <c r="Q60" t="n">
        <v>5</v>
      </c>
      <c r="R60" s="2" t="inlineStr">
        <is>
          <t>Grantaggsvamp
Knölgrynna
Tallriska
Tretåig hackspett
Dropptaggsvamp</t>
        </is>
      </c>
      <c r="S60">
        <f>HYPERLINK("https://klasma.github.io/Logging_SOLLEFTEA/artfynd/A 26633-2019.xlsx")</f>
        <v/>
      </c>
      <c r="T60">
        <f>HYPERLINK("https://klasma.github.io/Logging_SOLLEFTEA/kartor/A 26633-2019.png")</f>
        <v/>
      </c>
      <c r="V60">
        <f>HYPERLINK("https://klasma.github.io/Logging_SOLLEFTEA/klagomål/A 26633-2019.docx")</f>
        <v/>
      </c>
      <c r="W60">
        <f>HYPERLINK("https://klasma.github.io/Logging_SOLLEFTEA/klagomålsmail/A 26633-2019.docx")</f>
        <v/>
      </c>
      <c r="X60">
        <f>HYPERLINK("https://klasma.github.io/Logging_SOLLEFTEA/tillsyn/A 26633-2019.docx")</f>
        <v/>
      </c>
      <c r="Y60">
        <f>HYPERLINK("https://klasma.github.io/Logging_SOLLEFTEA/tillsynsmail/A 26633-2019.docx")</f>
        <v/>
      </c>
    </row>
    <row r="61" ht="15" customHeight="1">
      <c r="A61" t="inlineStr">
        <is>
          <t>A 41785-2019</t>
        </is>
      </c>
      <c r="B61" s="1" t="n">
        <v>43699</v>
      </c>
      <c r="C61" s="1" t="n">
        <v>45175</v>
      </c>
      <c r="D61" t="inlineStr">
        <is>
          <t>VÄSTERNORRLANDS LÄN</t>
        </is>
      </c>
      <c r="E61" t="inlineStr">
        <is>
          <t>SOLLEFTEÅ</t>
        </is>
      </c>
      <c r="F61" t="inlineStr">
        <is>
          <t>SCA</t>
        </is>
      </c>
      <c r="G61" t="n">
        <v>3.1</v>
      </c>
      <c r="H61" t="n">
        <v>0</v>
      </c>
      <c r="I61" t="n">
        <v>1</v>
      </c>
      <c r="J61" t="n">
        <v>3</v>
      </c>
      <c r="K61" t="n">
        <v>1</v>
      </c>
      <c r="L61" t="n">
        <v>0</v>
      </c>
      <c r="M61" t="n">
        <v>0</v>
      </c>
      <c r="N61" t="n">
        <v>0</v>
      </c>
      <c r="O61" t="n">
        <v>4</v>
      </c>
      <c r="P61" t="n">
        <v>1</v>
      </c>
      <c r="Q61" t="n">
        <v>5</v>
      </c>
      <c r="R61" s="2" t="inlineStr">
        <is>
          <t>Rynkskinn
Rosenticka
Ullticka
Violmussling
Stor aspticka</t>
        </is>
      </c>
      <c r="S61">
        <f>HYPERLINK("https://klasma.github.io/Logging_SOLLEFTEA/artfynd/A 41785-2019.xlsx")</f>
        <v/>
      </c>
      <c r="T61">
        <f>HYPERLINK("https://klasma.github.io/Logging_SOLLEFTEA/kartor/A 41785-2019.png")</f>
        <v/>
      </c>
      <c r="V61">
        <f>HYPERLINK("https://klasma.github.io/Logging_SOLLEFTEA/klagomål/A 41785-2019.docx")</f>
        <v/>
      </c>
      <c r="W61">
        <f>HYPERLINK("https://klasma.github.io/Logging_SOLLEFTEA/klagomålsmail/A 41785-2019.docx")</f>
        <v/>
      </c>
      <c r="X61">
        <f>HYPERLINK("https://klasma.github.io/Logging_SOLLEFTEA/tillsyn/A 41785-2019.docx")</f>
        <v/>
      </c>
      <c r="Y61">
        <f>HYPERLINK("https://klasma.github.io/Logging_SOLLEFTEA/tillsynsmail/A 41785-2019.docx")</f>
        <v/>
      </c>
    </row>
    <row r="62" ht="15" customHeight="1">
      <c r="A62" t="inlineStr">
        <is>
          <t>A 57076-2020</t>
        </is>
      </c>
      <c r="B62" s="1" t="n">
        <v>44138</v>
      </c>
      <c r="C62" s="1" t="n">
        <v>45175</v>
      </c>
      <c r="D62" t="inlineStr">
        <is>
          <t>VÄSTERNORRLANDS LÄN</t>
        </is>
      </c>
      <c r="E62" t="inlineStr">
        <is>
          <t>SOLLEFTEÅ</t>
        </is>
      </c>
      <c r="G62" t="n">
        <v>3.8</v>
      </c>
      <c r="H62" t="n">
        <v>3</v>
      </c>
      <c r="I62" t="n">
        <v>1</v>
      </c>
      <c r="J62" t="n">
        <v>3</v>
      </c>
      <c r="K62" t="n">
        <v>0</v>
      </c>
      <c r="L62" t="n">
        <v>0</v>
      </c>
      <c r="M62" t="n">
        <v>0</v>
      </c>
      <c r="N62" t="n">
        <v>0</v>
      </c>
      <c r="O62" t="n">
        <v>3</v>
      </c>
      <c r="P62" t="n">
        <v>0</v>
      </c>
      <c r="Q62" t="n">
        <v>5</v>
      </c>
      <c r="R62" s="2" t="inlineStr">
        <is>
          <t>Kråka
Nipsippa
Rosenticka
Strutbräken
Revlummer</t>
        </is>
      </c>
      <c r="S62">
        <f>HYPERLINK("https://klasma.github.io/Logging_SOLLEFTEA/artfynd/A 57076-2020.xlsx")</f>
        <v/>
      </c>
      <c r="T62">
        <f>HYPERLINK("https://klasma.github.io/Logging_SOLLEFTEA/kartor/A 57076-2020.png")</f>
        <v/>
      </c>
      <c r="V62">
        <f>HYPERLINK("https://klasma.github.io/Logging_SOLLEFTEA/klagomål/A 57076-2020.docx")</f>
        <v/>
      </c>
      <c r="W62">
        <f>HYPERLINK("https://klasma.github.io/Logging_SOLLEFTEA/klagomålsmail/A 57076-2020.docx")</f>
        <v/>
      </c>
      <c r="X62">
        <f>HYPERLINK("https://klasma.github.io/Logging_SOLLEFTEA/tillsyn/A 57076-2020.docx")</f>
        <v/>
      </c>
      <c r="Y62">
        <f>HYPERLINK("https://klasma.github.io/Logging_SOLLEFTEA/tillsynsmail/A 57076-2020.docx")</f>
        <v/>
      </c>
    </row>
    <row r="63" ht="15" customHeight="1">
      <c r="A63" t="inlineStr">
        <is>
          <t>A 10400-2022</t>
        </is>
      </c>
      <c r="B63" s="1" t="n">
        <v>44623</v>
      </c>
      <c r="C63" s="1" t="n">
        <v>45175</v>
      </c>
      <c r="D63" t="inlineStr">
        <is>
          <t>VÄSTERNORRLANDS LÄN</t>
        </is>
      </c>
      <c r="E63" t="inlineStr">
        <is>
          <t>SOLLEFTEÅ</t>
        </is>
      </c>
      <c r="G63" t="n">
        <v>25.8</v>
      </c>
      <c r="H63" t="n">
        <v>2</v>
      </c>
      <c r="I63" t="n">
        <v>1</v>
      </c>
      <c r="J63" t="n">
        <v>4</v>
      </c>
      <c r="K63" t="n">
        <v>0</v>
      </c>
      <c r="L63" t="n">
        <v>0</v>
      </c>
      <c r="M63" t="n">
        <v>0</v>
      </c>
      <c r="N63" t="n">
        <v>0</v>
      </c>
      <c r="O63" t="n">
        <v>4</v>
      </c>
      <c r="P63" t="n">
        <v>0</v>
      </c>
      <c r="Q63" t="n">
        <v>5</v>
      </c>
      <c r="R63" s="2" t="inlineStr">
        <is>
          <t>Lunglav
Spillkråka
Tretåig hackspett
Ullticka
Korallblylav</t>
        </is>
      </c>
      <c r="S63">
        <f>HYPERLINK("https://klasma.github.io/Logging_SOLLEFTEA/artfynd/A 10400-2022.xlsx")</f>
        <v/>
      </c>
      <c r="T63">
        <f>HYPERLINK("https://klasma.github.io/Logging_SOLLEFTEA/kartor/A 10400-2022.png")</f>
        <v/>
      </c>
      <c r="V63">
        <f>HYPERLINK("https://klasma.github.io/Logging_SOLLEFTEA/klagomål/A 10400-2022.docx")</f>
        <v/>
      </c>
      <c r="W63">
        <f>HYPERLINK("https://klasma.github.io/Logging_SOLLEFTEA/klagomålsmail/A 10400-2022.docx")</f>
        <v/>
      </c>
      <c r="X63">
        <f>HYPERLINK("https://klasma.github.io/Logging_SOLLEFTEA/tillsyn/A 10400-2022.docx")</f>
        <v/>
      </c>
      <c r="Y63">
        <f>HYPERLINK("https://klasma.github.io/Logging_SOLLEFTEA/tillsynsmail/A 10400-2022.docx")</f>
        <v/>
      </c>
    </row>
    <row r="64" ht="15" customHeight="1">
      <c r="A64" t="inlineStr">
        <is>
          <t>A 26657-2022</t>
        </is>
      </c>
      <c r="B64" s="1" t="n">
        <v>44739</v>
      </c>
      <c r="C64" s="1" t="n">
        <v>45175</v>
      </c>
      <c r="D64" t="inlineStr">
        <is>
          <t>VÄSTERNORRLANDS LÄN</t>
        </is>
      </c>
      <c r="E64" t="inlineStr">
        <is>
          <t>SOLLEFTEÅ</t>
        </is>
      </c>
      <c r="F64" t="inlineStr">
        <is>
          <t>Holmen skog AB</t>
        </is>
      </c>
      <c r="G64" t="n">
        <v>4.6</v>
      </c>
      <c r="H64" t="n">
        <v>2</v>
      </c>
      <c r="I64" t="n">
        <v>3</v>
      </c>
      <c r="J64" t="n">
        <v>1</v>
      </c>
      <c r="K64" t="n">
        <v>0</v>
      </c>
      <c r="L64" t="n">
        <v>0</v>
      </c>
      <c r="M64" t="n">
        <v>0</v>
      </c>
      <c r="N64" t="n">
        <v>0</v>
      </c>
      <c r="O64" t="n">
        <v>1</v>
      </c>
      <c r="P64" t="n">
        <v>0</v>
      </c>
      <c r="Q64" t="n">
        <v>5</v>
      </c>
      <c r="R64" s="2" t="inlineStr">
        <is>
          <t>Garnlav
Bollvitmossa
Spindelblomster
Vedticka
Fläcknycklar</t>
        </is>
      </c>
      <c r="S64">
        <f>HYPERLINK("https://klasma.github.io/Logging_SOLLEFTEA/artfynd/A 26657-2022.xlsx")</f>
        <v/>
      </c>
      <c r="T64">
        <f>HYPERLINK("https://klasma.github.io/Logging_SOLLEFTEA/kartor/A 26657-2022.png")</f>
        <v/>
      </c>
      <c r="U64">
        <f>HYPERLINK("https://klasma.github.io/Logging_SOLLEFTEA/knärot/A 26657-2022.png")</f>
        <v/>
      </c>
      <c r="V64">
        <f>HYPERLINK("https://klasma.github.io/Logging_SOLLEFTEA/klagomål/A 26657-2022.docx")</f>
        <v/>
      </c>
      <c r="W64">
        <f>HYPERLINK("https://klasma.github.io/Logging_SOLLEFTEA/klagomålsmail/A 26657-2022.docx")</f>
        <v/>
      </c>
      <c r="X64">
        <f>HYPERLINK("https://klasma.github.io/Logging_SOLLEFTEA/tillsyn/A 26657-2022.docx")</f>
        <v/>
      </c>
      <c r="Y64">
        <f>HYPERLINK("https://klasma.github.io/Logging_SOLLEFTEA/tillsynsmail/A 26657-2022.docx")</f>
        <v/>
      </c>
    </row>
    <row r="65" ht="15" customHeight="1">
      <c r="A65" t="inlineStr">
        <is>
          <t>A 41169-2022</t>
        </is>
      </c>
      <c r="B65" s="1" t="n">
        <v>44825</v>
      </c>
      <c r="C65" s="1" t="n">
        <v>45175</v>
      </c>
      <c r="D65" t="inlineStr">
        <is>
          <t>VÄSTERNORRLANDS LÄN</t>
        </is>
      </c>
      <c r="E65" t="inlineStr">
        <is>
          <t>SOLLEFTEÅ</t>
        </is>
      </c>
      <c r="F65" t="inlineStr">
        <is>
          <t>SCA</t>
        </is>
      </c>
      <c r="G65" t="n">
        <v>1.8</v>
      </c>
      <c r="H65" t="n">
        <v>2</v>
      </c>
      <c r="I65" t="n">
        <v>1</v>
      </c>
      <c r="J65" t="n">
        <v>4</v>
      </c>
      <c r="K65" t="n">
        <v>0</v>
      </c>
      <c r="L65" t="n">
        <v>0</v>
      </c>
      <c r="M65" t="n">
        <v>0</v>
      </c>
      <c r="N65" t="n">
        <v>0</v>
      </c>
      <c r="O65" t="n">
        <v>4</v>
      </c>
      <c r="P65" t="n">
        <v>0</v>
      </c>
      <c r="Q65" t="n">
        <v>5</v>
      </c>
      <c r="R65" s="2" t="inlineStr">
        <is>
          <t>Spillkråka
Tretåig hackspett
Ullticka
Vedskivlav
Vedticka</t>
        </is>
      </c>
      <c r="S65">
        <f>HYPERLINK("https://klasma.github.io/Logging_SOLLEFTEA/artfynd/A 41169-2022.xlsx")</f>
        <v/>
      </c>
      <c r="T65">
        <f>HYPERLINK("https://klasma.github.io/Logging_SOLLEFTEA/kartor/A 41169-2022.png")</f>
        <v/>
      </c>
      <c r="V65">
        <f>HYPERLINK("https://klasma.github.io/Logging_SOLLEFTEA/klagomål/A 41169-2022.docx")</f>
        <v/>
      </c>
      <c r="W65">
        <f>HYPERLINK("https://klasma.github.io/Logging_SOLLEFTEA/klagomålsmail/A 41169-2022.docx")</f>
        <v/>
      </c>
      <c r="X65">
        <f>HYPERLINK("https://klasma.github.io/Logging_SOLLEFTEA/tillsyn/A 41169-2022.docx")</f>
        <v/>
      </c>
      <c r="Y65">
        <f>HYPERLINK("https://klasma.github.io/Logging_SOLLEFTEA/tillsynsmail/A 41169-2022.docx")</f>
        <v/>
      </c>
    </row>
    <row r="66" ht="15" customHeight="1">
      <c r="A66" t="inlineStr">
        <is>
          <t>A 81-2023</t>
        </is>
      </c>
      <c r="B66" s="1" t="n">
        <v>44920</v>
      </c>
      <c r="C66" s="1" t="n">
        <v>45175</v>
      </c>
      <c r="D66" t="inlineStr">
        <is>
          <t>VÄSTERNORRLANDS LÄN</t>
        </is>
      </c>
      <c r="E66" t="inlineStr">
        <is>
          <t>SOLLEFTEÅ</t>
        </is>
      </c>
      <c r="G66" t="n">
        <v>20</v>
      </c>
      <c r="H66" t="n">
        <v>2</v>
      </c>
      <c r="I66" t="n">
        <v>1</v>
      </c>
      <c r="J66" t="n">
        <v>3</v>
      </c>
      <c r="K66" t="n">
        <v>1</v>
      </c>
      <c r="L66" t="n">
        <v>0</v>
      </c>
      <c r="M66" t="n">
        <v>0</v>
      </c>
      <c r="N66" t="n">
        <v>0</v>
      </c>
      <c r="O66" t="n">
        <v>4</v>
      </c>
      <c r="P66" t="n">
        <v>1</v>
      </c>
      <c r="Q66" t="n">
        <v>5</v>
      </c>
      <c r="R66" s="2" t="inlineStr">
        <is>
          <t>Knärot
Garnlav
Lunglav
Talltita
Luddlav</t>
        </is>
      </c>
      <c r="S66">
        <f>HYPERLINK("https://klasma.github.io/Logging_SOLLEFTEA/artfynd/A 81-2023.xlsx")</f>
        <v/>
      </c>
      <c r="T66">
        <f>HYPERLINK("https://klasma.github.io/Logging_SOLLEFTEA/kartor/A 81-2023.png")</f>
        <v/>
      </c>
      <c r="U66">
        <f>HYPERLINK("https://klasma.github.io/Logging_SOLLEFTEA/knärot/A 81-2023.png")</f>
        <v/>
      </c>
      <c r="V66">
        <f>HYPERLINK("https://klasma.github.io/Logging_SOLLEFTEA/klagomål/A 81-2023.docx")</f>
        <v/>
      </c>
      <c r="W66">
        <f>HYPERLINK("https://klasma.github.io/Logging_SOLLEFTEA/klagomålsmail/A 81-2023.docx")</f>
        <v/>
      </c>
      <c r="X66">
        <f>HYPERLINK("https://klasma.github.io/Logging_SOLLEFTEA/tillsyn/A 81-2023.docx")</f>
        <v/>
      </c>
      <c r="Y66">
        <f>HYPERLINK("https://klasma.github.io/Logging_SOLLEFTEA/tillsynsmail/A 81-2023.docx")</f>
        <v/>
      </c>
    </row>
    <row r="67" ht="15" customHeight="1">
      <c r="A67" t="inlineStr">
        <is>
          <t>A 14079-2023</t>
        </is>
      </c>
      <c r="B67" s="1" t="n">
        <v>45009</v>
      </c>
      <c r="C67" s="1" t="n">
        <v>45175</v>
      </c>
      <c r="D67" t="inlineStr">
        <is>
          <t>VÄSTERNORRLANDS LÄN</t>
        </is>
      </c>
      <c r="E67" t="inlineStr">
        <is>
          <t>SOLLEFTEÅ</t>
        </is>
      </c>
      <c r="F67" t="inlineStr">
        <is>
          <t>SCA</t>
        </is>
      </c>
      <c r="G67" t="n">
        <v>9</v>
      </c>
      <c r="H67" t="n">
        <v>0</v>
      </c>
      <c r="I67" t="n">
        <v>0</v>
      </c>
      <c r="J67" t="n">
        <v>5</v>
      </c>
      <c r="K67" t="n">
        <v>0</v>
      </c>
      <c r="L67" t="n">
        <v>0</v>
      </c>
      <c r="M67" t="n">
        <v>0</v>
      </c>
      <c r="N67" t="n">
        <v>0</v>
      </c>
      <c r="O67" t="n">
        <v>5</v>
      </c>
      <c r="P67" t="n">
        <v>0</v>
      </c>
      <c r="Q67" t="n">
        <v>5</v>
      </c>
      <c r="R67" s="2" t="inlineStr">
        <is>
          <t>Gammelgransskål
Garnlav
Ullticka
Vedskivlav
Vedtrappmossa</t>
        </is>
      </c>
      <c r="S67">
        <f>HYPERLINK("https://klasma.github.io/Logging_SOLLEFTEA/artfynd/A 14079-2023.xlsx")</f>
        <v/>
      </c>
      <c r="T67">
        <f>HYPERLINK("https://klasma.github.io/Logging_SOLLEFTEA/kartor/A 14079-2023.png")</f>
        <v/>
      </c>
      <c r="V67">
        <f>HYPERLINK("https://klasma.github.io/Logging_SOLLEFTEA/klagomål/A 14079-2023.docx")</f>
        <v/>
      </c>
      <c r="W67">
        <f>HYPERLINK("https://klasma.github.io/Logging_SOLLEFTEA/klagomålsmail/A 14079-2023.docx")</f>
        <v/>
      </c>
      <c r="X67">
        <f>HYPERLINK("https://klasma.github.io/Logging_SOLLEFTEA/tillsyn/A 14079-2023.docx")</f>
        <v/>
      </c>
      <c r="Y67">
        <f>HYPERLINK("https://klasma.github.io/Logging_SOLLEFTEA/tillsynsmail/A 14079-2023.docx")</f>
        <v/>
      </c>
    </row>
    <row r="68" ht="15" customHeight="1">
      <c r="A68" t="inlineStr">
        <is>
          <t>A 18163-2023</t>
        </is>
      </c>
      <c r="B68" s="1" t="n">
        <v>45040</v>
      </c>
      <c r="C68" s="1" t="n">
        <v>45175</v>
      </c>
      <c r="D68" t="inlineStr">
        <is>
          <t>VÄSTERNORRLANDS LÄN</t>
        </is>
      </c>
      <c r="E68" t="inlineStr">
        <is>
          <t>SOLLEFTEÅ</t>
        </is>
      </c>
      <c r="F68" t="inlineStr">
        <is>
          <t>SCA</t>
        </is>
      </c>
      <c r="G68" t="n">
        <v>5.2</v>
      </c>
      <c r="H68" t="n">
        <v>1</v>
      </c>
      <c r="I68" t="n">
        <v>0</v>
      </c>
      <c r="J68" t="n">
        <v>5</v>
      </c>
      <c r="K68" t="n">
        <v>0</v>
      </c>
      <c r="L68" t="n">
        <v>0</v>
      </c>
      <c r="M68" t="n">
        <v>0</v>
      </c>
      <c r="N68" t="n">
        <v>0</v>
      </c>
      <c r="O68" t="n">
        <v>5</v>
      </c>
      <c r="P68" t="n">
        <v>0</v>
      </c>
      <c r="Q68" t="n">
        <v>5</v>
      </c>
      <c r="R68" s="2" t="inlineStr">
        <is>
          <t>Garnlav
Granticka
Kolflarnlav
Spillkråka
Ullticka</t>
        </is>
      </c>
      <c r="S68">
        <f>HYPERLINK("https://klasma.github.io/Logging_SOLLEFTEA/artfynd/A 18163-2023.xlsx")</f>
        <v/>
      </c>
      <c r="T68">
        <f>HYPERLINK("https://klasma.github.io/Logging_SOLLEFTEA/kartor/A 18163-2023.png")</f>
        <v/>
      </c>
      <c r="V68">
        <f>HYPERLINK("https://klasma.github.io/Logging_SOLLEFTEA/klagomål/A 18163-2023.docx")</f>
        <v/>
      </c>
      <c r="W68">
        <f>HYPERLINK("https://klasma.github.io/Logging_SOLLEFTEA/klagomålsmail/A 18163-2023.docx")</f>
        <v/>
      </c>
      <c r="X68">
        <f>HYPERLINK("https://klasma.github.io/Logging_SOLLEFTEA/tillsyn/A 18163-2023.docx")</f>
        <v/>
      </c>
      <c r="Y68">
        <f>HYPERLINK("https://klasma.github.io/Logging_SOLLEFTEA/tillsynsmail/A 18163-2023.docx")</f>
        <v/>
      </c>
    </row>
    <row r="69" ht="15" customHeight="1">
      <c r="A69" t="inlineStr">
        <is>
          <t>A 27675-2023</t>
        </is>
      </c>
      <c r="B69" s="1" t="n">
        <v>45097</v>
      </c>
      <c r="C69" s="1" t="n">
        <v>45175</v>
      </c>
      <c r="D69" t="inlineStr">
        <is>
          <t>VÄSTERNORRLANDS LÄN</t>
        </is>
      </c>
      <c r="E69" t="inlineStr">
        <is>
          <t>SOLLEFTEÅ</t>
        </is>
      </c>
      <c r="G69" t="n">
        <v>4.7</v>
      </c>
      <c r="H69" t="n">
        <v>1</v>
      </c>
      <c r="I69" t="n">
        <v>1</v>
      </c>
      <c r="J69" t="n">
        <v>3</v>
      </c>
      <c r="K69" t="n">
        <v>1</v>
      </c>
      <c r="L69" t="n">
        <v>0</v>
      </c>
      <c r="M69" t="n">
        <v>0</v>
      </c>
      <c r="N69" t="n">
        <v>0</v>
      </c>
      <c r="O69" t="n">
        <v>4</v>
      </c>
      <c r="P69" t="n">
        <v>1</v>
      </c>
      <c r="Q69" t="n">
        <v>5</v>
      </c>
      <c r="R69" s="2" t="inlineStr">
        <is>
          <t>Knärot
Garnlav
Lunglav
Ullticka
Stuplav</t>
        </is>
      </c>
      <c r="S69">
        <f>HYPERLINK("https://klasma.github.io/Logging_SOLLEFTEA/artfynd/A 27675-2023.xlsx")</f>
        <v/>
      </c>
      <c r="T69">
        <f>HYPERLINK("https://klasma.github.io/Logging_SOLLEFTEA/kartor/A 27675-2023.png")</f>
        <v/>
      </c>
      <c r="U69">
        <f>HYPERLINK("https://klasma.github.io/Logging_SOLLEFTEA/knärot/A 27675-2023.png")</f>
        <v/>
      </c>
      <c r="V69">
        <f>HYPERLINK("https://klasma.github.io/Logging_SOLLEFTEA/klagomål/A 27675-2023.docx")</f>
        <v/>
      </c>
      <c r="W69">
        <f>HYPERLINK("https://klasma.github.io/Logging_SOLLEFTEA/klagomålsmail/A 27675-2023.docx")</f>
        <v/>
      </c>
      <c r="X69">
        <f>HYPERLINK("https://klasma.github.io/Logging_SOLLEFTEA/tillsyn/A 27675-2023.docx")</f>
        <v/>
      </c>
      <c r="Y69">
        <f>HYPERLINK("https://klasma.github.io/Logging_SOLLEFTEA/tillsynsmail/A 27675-2023.docx")</f>
        <v/>
      </c>
    </row>
    <row r="70" ht="15" customHeight="1">
      <c r="A70" t="inlineStr">
        <is>
          <t>A 8475-2019</t>
        </is>
      </c>
      <c r="B70" s="1" t="n">
        <v>43497</v>
      </c>
      <c r="C70" s="1" t="n">
        <v>45175</v>
      </c>
      <c r="D70" t="inlineStr">
        <is>
          <t>VÄSTERNORRLANDS LÄN</t>
        </is>
      </c>
      <c r="E70" t="inlineStr">
        <is>
          <t>SOLLEFTEÅ</t>
        </is>
      </c>
      <c r="G70" t="n">
        <v>2.6</v>
      </c>
      <c r="H70" t="n">
        <v>1</v>
      </c>
      <c r="I70" t="n">
        <v>0</v>
      </c>
      <c r="J70" t="n">
        <v>3</v>
      </c>
      <c r="K70" t="n">
        <v>0</v>
      </c>
      <c r="L70" t="n">
        <v>0</v>
      </c>
      <c r="M70" t="n">
        <v>0</v>
      </c>
      <c r="N70" t="n">
        <v>0</v>
      </c>
      <c r="O70" t="n">
        <v>3</v>
      </c>
      <c r="P70" t="n">
        <v>0</v>
      </c>
      <c r="Q70" t="n">
        <v>4</v>
      </c>
      <c r="R70" s="2" t="inlineStr">
        <is>
          <t>Garnlav
Ullticka
Vitgrynig nållav
Revlummer</t>
        </is>
      </c>
      <c r="S70">
        <f>HYPERLINK("https://klasma.github.io/Logging_SOLLEFTEA/artfynd/A 8475-2019.xlsx")</f>
        <v/>
      </c>
      <c r="T70">
        <f>HYPERLINK("https://klasma.github.io/Logging_SOLLEFTEA/kartor/A 8475-2019.png")</f>
        <v/>
      </c>
      <c r="V70">
        <f>HYPERLINK("https://klasma.github.io/Logging_SOLLEFTEA/klagomål/A 8475-2019.docx")</f>
        <v/>
      </c>
      <c r="W70">
        <f>HYPERLINK("https://klasma.github.io/Logging_SOLLEFTEA/klagomålsmail/A 8475-2019.docx")</f>
        <v/>
      </c>
      <c r="X70">
        <f>HYPERLINK("https://klasma.github.io/Logging_SOLLEFTEA/tillsyn/A 8475-2019.docx")</f>
        <v/>
      </c>
      <c r="Y70">
        <f>HYPERLINK("https://klasma.github.io/Logging_SOLLEFTEA/tillsynsmail/A 8475-2019.docx")</f>
        <v/>
      </c>
    </row>
    <row r="71" ht="15" customHeight="1">
      <c r="A71" t="inlineStr">
        <is>
          <t>A 23860-2020</t>
        </is>
      </c>
      <c r="B71" s="1" t="n">
        <v>43971</v>
      </c>
      <c r="C71" s="1" t="n">
        <v>45175</v>
      </c>
      <c r="D71" t="inlineStr">
        <is>
          <t>VÄSTERNORRLANDS LÄN</t>
        </is>
      </c>
      <c r="E71" t="inlineStr">
        <is>
          <t>SOLLEFTEÅ</t>
        </is>
      </c>
      <c r="G71" t="n">
        <v>22.3</v>
      </c>
      <c r="H71" t="n">
        <v>0</v>
      </c>
      <c r="I71" t="n">
        <v>1</v>
      </c>
      <c r="J71" t="n">
        <v>2</v>
      </c>
      <c r="K71" t="n">
        <v>1</v>
      </c>
      <c r="L71" t="n">
        <v>0</v>
      </c>
      <c r="M71" t="n">
        <v>0</v>
      </c>
      <c r="N71" t="n">
        <v>0</v>
      </c>
      <c r="O71" t="n">
        <v>3</v>
      </c>
      <c r="P71" t="n">
        <v>1</v>
      </c>
      <c r="Q71" t="n">
        <v>4</v>
      </c>
      <c r="R71" s="2" t="inlineStr">
        <is>
          <t>Aspgelélav
Lunglav
Vedskivlav
Dropptaggsvamp</t>
        </is>
      </c>
      <c r="S71">
        <f>HYPERLINK("https://klasma.github.io/Logging_SOLLEFTEA/artfynd/A 23860-2020.xlsx")</f>
        <v/>
      </c>
      <c r="T71">
        <f>HYPERLINK("https://klasma.github.io/Logging_SOLLEFTEA/kartor/A 23860-2020.png")</f>
        <v/>
      </c>
      <c r="U71">
        <f>HYPERLINK("https://klasma.github.io/Logging_SOLLEFTEA/knärot/A 23860-2020.png")</f>
        <v/>
      </c>
      <c r="V71">
        <f>HYPERLINK("https://klasma.github.io/Logging_SOLLEFTEA/klagomål/A 23860-2020.docx")</f>
        <v/>
      </c>
      <c r="W71">
        <f>HYPERLINK("https://klasma.github.io/Logging_SOLLEFTEA/klagomålsmail/A 23860-2020.docx")</f>
        <v/>
      </c>
      <c r="X71">
        <f>HYPERLINK("https://klasma.github.io/Logging_SOLLEFTEA/tillsyn/A 23860-2020.docx")</f>
        <v/>
      </c>
      <c r="Y71">
        <f>HYPERLINK("https://klasma.github.io/Logging_SOLLEFTEA/tillsynsmail/A 23860-2020.docx")</f>
        <v/>
      </c>
    </row>
    <row r="72" ht="15" customHeight="1">
      <c r="A72" t="inlineStr">
        <is>
          <t>A 64943-2021</t>
        </is>
      </c>
      <c r="B72" s="1" t="n">
        <v>44512</v>
      </c>
      <c r="C72" s="1" t="n">
        <v>45175</v>
      </c>
      <c r="D72" t="inlineStr">
        <is>
          <t>VÄSTERNORRLANDS LÄN</t>
        </is>
      </c>
      <c r="E72" t="inlineStr">
        <is>
          <t>SOLLEFTEÅ</t>
        </is>
      </c>
      <c r="F72" t="inlineStr">
        <is>
          <t>SCA</t>
        </is>
      </c>
      <c r="G72" t="n">
        <v>8.1</v>
      </c>
      <c r="H72" t="n">
        <v>0</v>
      </c>
      <c r="I72" t="n">
        <v>1</v>
      </c>
      <c r="J72" t="n">
        <v>3</v>
      </c>
      <c r="K72" t="n">
        <v>0</v>
      </c>
      <c r="L72" t="n">
        <v>0</v>
      </c>
      <c r="M72" t="n">
        <v>0</v>
      </c>
      <c r="N72" t="n">
        <v>0</v>
      </c>
      <c r="O72" t="n">
        <v>3</v>
      </c>
      <c r="P72" t="n">
        <v>0</v>
      </c>
      <c r="Q72" t="n">
        <v>4</v>
      </c>
      <c r="R72" s="2" t="inlineStr">
        <is>
          <t>Garnlav
Lunglav
Ullticka
Vedticka</t>
        </is>
      </c>
      <c r="S72">
        <f>HYPERLINK("https://klasma.github.io/Logging_SOLLEFTEA/artfynd/A 64943-2021.xlsx")</f>
        <v/>
      </c>
      <c r="T72">
        <f>HYPERLINK("https://klasma.github.io/Logging_SOLLEFTEA/kartor/A 64943-2021.png")</f>
        <v/>
      </c>
      <c r="V72">
        <f>HYPERLINK("https://klasma.github.io/Logging_SOLLEFTEA/klagomål/A 64943-2021.docx")</f>
        <v/>
      </c>
      <c r="W72">
        <f>HYPERLINK("https://klasma.github.io/Logging_SOLLEFTEA/klagomålsmail/A 64943-2021.docx")</f>
        <v/>
      </c>
      <c r="X72">
        <f>HYPERLINK("https://klasma.github.io/Logging_SOLLEFTEA/tillsyn/A 64943-2021.docx")</f>
        <v/>
      </c>
      <c r="Y72">
        <f>HYPERLINK("https://klasma.github.io/Logging_SOLLEFTEA/tillsynsmail/A 64943-2021.docx")</f>
        <v/>
      </c>
    </row>
    <row r="73" ht="15" customHeight="1">
      <c r="A73" t="inlineStr">
        <is>
          <t>A 18025-2022</t>
        </is>
      </c>
      <c r="B73" s="1" t="n">
        <v>44683</v>
      </c>
      <c r="C73" s="1" t="n">
        <v>45175</v>
      </c>
      <c r="D73" t="inlineStr">
        <is>
          <t>VÄSTERNORRLANDS LÄN</t>
        </is>
      </c>
      <c r="E73" t="inlineStr">
        <is>
          <t>SOLLEFTEÅ</t>
        </is>
      </c>
      <c r="F73" t="inlineStr">
        <is>
          <t>SCA</t>
        </is>
      </c>
      <c r="G73" t="n">
        <v>5.2</v>
      </c>
      <c r="H73" t="n">
        <v>1</v>
      </c>
      <c r="I73" t="n">
        <v>1</v>
      </c>
      <c r="J73" t="n">
        <v>2</v>
      </c>
      <c r="K73" t="n">
        <v>0</v>
      </c>
      <c r="L73" t="n">
        <v>0</v>
      </c>
      <c r="M73" t="n">
        <v>0</v>
      </c>
      <c r="N73" t="n">
        <v>0</v>
      </c>
      <c r="O73" t="n">
        <v>2</v>
      </c>
      <c r="P73" t="n">
        <v>0</v>
      </c>
      <c r="Q73" t="n">
        <v>4</v>
      </c>
      <c r="R73" s="2" t="inlineStr">
        <is>
          <t>Garnlav
Lunglav
Bronshjon
Fläcknycklar</t>
        </is>
      </c>
      <c r="S73">
        <f>HYPERLINK("https://klasma.github.io/Logging_SOLLEFTEA/artfynd/A 18025-2022.xlsx")</f>
        <v/>
      </c>
      <c r="T73">
        <f>HYPERLINK("https://klasma.github.io/Logging_SOLLEFTEA/kartor/A 18025-2022.png")</f>
        <v/>
      </c>
      <c r="V73">
        <f>HYPERLINK("https://klasma.github.io/Logging_SOLLEFTEA/klagomål/A 18025-2022.docx")</f>
        <v/>
      </c>
      <c r="W73">
        <f>HYPERLINK("https://klasma.github.io/Logging_SOLLEFTEA/klagomålsmail/A 18025-2022.docx")</f>
        <v/>
      </c>
      <c r="X73">
        <f>HYPERLINK("https://klasma.github.io/Logging_SOLLEFTEA/tillsyn/A 18025-2022.docx")</f>
        <v/>
      </c>
      <c r="Y73">
        <f>HYPERLINK("https://klasma.github.io/Logging_SOLLEFTEA/tillsynsmail/A 18025-2022.docx")</f>
        <v/>
      </c>
    </row>
    <row r="74" ht="15" customHeight="1">
      <c r="A74" t="inlineStr">
        <is>
          <t>A 18009-2022</t>
        </is>
      </c>
      <c r="B74" s="1" t="n">
        <v>44683</v>
      </c>
      <c r="C74" s="1" t="n">
        <v>45175</v>
      </c>
      <c r="D74" t="inlineStr">
        <is>
          <t>VÄSTERNORRLANDS LÄN</t>
        </is>
      </c>
      <c r="E74" t="inlineStr">
        <is>
          <t>SOLLEFTEÅ</t>
        </is>
      </c>
      <c r="F74" t="inlineStr">
        <is>
          <t>SCA</t>
        </is>
      </c>
      <c r="G74" t="n">
        <v>3.6</v>
      </c>
      <c r="H74" t="n">
        <v>3</v>
      </c>
      <c r="I74" t="n">
        <v>0</v>
      </c>
      <c r="J74" t="n">
        <v>3</v>
      </c>
      <c r="K74" t="n">
        <v>1</v>
      </c>
      <c r="L74" t="n">
        <v>0</v>
      </c>
      <c r="M74" t="n">
        <v>0</v>
      </c>
      <c r="N74" t="n">
        <v>0</v>
      </c>
      <c r="O74" t="n">
        <v>4</v>
      </c>
      <c r="P74" t="n">
        <v>1</v>
      </c>
      <c r="Q74" t="n">
        <v>4</v>
      </c>
      <c r="R74" s="2" t="inlineStr">
        <is>
          <t>Knärot
Garnlav
Järpe
Tretåig hackspett</t>
        </is>
      </c>
      <c r="S74">
        <f>HYPERLINK("https://klasma.github.io/Logging_SOLLEFTEA/artfynd/A 18009-2022.xlsx")</f>
        <v/>
      </c>
      <c r="T74">
        <f>HYPERLINK("https://klasma.github.io/Logging_SOLLEFTEA/kartor/A 18009-2022.png")</f>
        <v/>
      </c>
      <c r="U74">
        <f>HYPERLINK("https://klasma.github.io/Logging_SOLLEFTEA/knärot/A 18009-2022.png")</f>
        <v/>
      </c>
      <c r="V74">
        <f>HYPERLINK("https://klasma.github.io/Logging_SOLLEFTEA/klagomål/A 18009-2022.docx")</f>
        <v/>
      </c>
      <c r="W74">
        <f>HYPERLINK("https://klasma.github.io/Logging_SOLLEFTEA/klagomålsmail/A 18009-2022.docx")</f>
        <v/>
      </c>
      <c r="X74">
        <f>HYPERLINK("https://klasma.github.io/Logging_SOLLEFTEA/tillsyn/A 18009-2022.docx")</f>
        <v/>
      </c>
      <c r="Y74">
        <f>HYPERLINK("https://klasma.github.io/Logging_SOLLEFTEA/tillsynsmail/A 18009-2022.docx")</f>
        <v/>
      </c>
    </row>
    <row r="75" ht="15" customHeight="1">
      <c r="A75" t="inlineStr">
        <is>
          <t>A 24887-2022</t>
        </is>
      </c>
      <c r="B75" s="1" t="n">
        <v>44728</v>
      </c>
      <c r="C75" s="1" t="n">
        <v>45175</v>
      </c>
      <c r="D75" t="inlineStr">
        <is>
          <t>VÄSTERNORRLANDS LÄN</t>
        </is>
      </c>
      <c r="E75" t="inlineStr">
        <is>
          <t>SOLLEFTEÅ</t>
        </is>
      </c>
      <c r="G75" t="n">
        <v>11.4</v>
      </c>
      <c r="H75" t="n">
        <v>0</v>
      </c>
      <c r="I75" t="n">
        <v>0</v>
      </c>
      <c r="J75" t="n">
        <v>4</v>
      </c>
      <c r="K75" t="n">
        <v>0</v>
      </c>
      <c r="L75" t="n">
        <v>0</v>
      </c>
      <c r="M75" t="n">
        <v>0</v>
      </c>
      <c r="N75" t="n">
        <v>0</v>
      </c>
      <c r="O75" t="n">
        <v>4</v>
      </c>
      <c r="P75" t="n">
        <v>0</v>
      </c>
      <c r="Q75" t="n">
        <v>4</v>
      </c>
      <c r="R75" s="2" t="inlineStr">
        <is>
          <t>Garnlav
Gränsticka
Rosenticka
Ullticka</t>
        </is>
      </c>
      <c r="S75">
        <f>HYPERLINK("https://klasma.github.io/Logging_SOLLEFTEA/artfynd/A 24887-2022.xlsx")</f>
        <v/>
      </c>
      <c r="T75">
        <f>HYPERLINK("https://klasma.github.io/Logging_SOLLEFTEA/kartor/A 24887-2022.png")</f>
        <v/>
      </c>
      <c r="V75">
        <f>HYPERLINK("https://klasma.github.io/Logging_SOLLEFTEA/klagomål/A 24887-2022.docx")</f>
        <v/>
      </c>
      <c r="W75">
        <f>HYPERLINK("https://klasma.github.io/Logging_SOLLEFTEA/klagomålsmail/A 24887-2022.docx")</f>
        <v/>
      </c>
      <c r="X75">
        <f>HYPERLINK("https://klasma.github.io/Logging_SOLLEFTEA/tillsyn/A 24887-2022.docx")</f>
        <v/>
      </c>
      <c r="Y75">
        <f>HYPERLINK("https://klasma.github.io/Logging_SOLLEFTEA/tillsynsmail/A 24887-2022.docx")</f>
        <v/>
      </c>
    </row>
    <row r="76" ht="15" customHeight="1">
      <c r="A76" t="inlineStr">
        <is>
          <t>A 27071-2022</t>
        </is>
      </c>
      <c r="B76" s="1" t="n">
        <v>44741</v>
      </c>
      <c r="C76" s="1" t="n">
        <v>45175</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45175</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45175</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45175</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45175</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45175</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45175</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45175</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45175</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45175</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45175</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45175</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45175</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45175</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45175</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45175</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45175</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45175</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45175</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45175</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45175</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45175</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45175</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45175</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45175</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45175</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45175</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45175</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45175</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45175</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45175</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45175</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45175</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45175</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45175</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45175</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45175</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45175</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45175</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45175</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45175</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45175</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45175</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45175</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45175</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45175</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45175</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45175</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45175</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45175</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45175</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45175</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45175</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45175</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45175</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45175</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45175</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45175</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45175</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45175</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45175</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45175</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45175</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45175</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45175</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45175</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45175</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45175</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45175</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45175</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45175</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45175</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45175</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45175</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45175</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45175</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45175</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45175</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45175</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45175</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45175</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45175</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45175</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45175</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45175</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45175</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45175</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45175</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45175</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45175</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45175</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45175</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45175</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45175</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45175</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45175</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45175</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45175</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45175</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45175</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45175</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45175</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45175</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45175</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45175</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45175</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45175</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45175</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45175</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45175</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45175</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45175</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45175</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45175</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45175</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45175</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45175</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45175</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45175</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45175</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45175</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45175</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45175</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45175</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45175</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45175</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45175</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45175</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45175</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45175</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45175</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45175</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45175</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45175</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45175</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45175</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45175</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45175</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45175</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45175</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45175</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45175</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45175</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45175</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45175</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45175</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45175</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45175</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45175</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45175</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45175</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45175</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45175</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45175</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45175</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45175</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45175</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45175</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45175</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45175</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45175</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45175</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45175</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45175</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45175</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45175</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45175</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45175</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45175</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45175</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45175</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45175</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45175</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45175</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45175</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45175</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45175</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45175</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45175</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45175</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45175</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45175</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45175</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45175</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45175</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45175</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45175</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45175</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45175</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45175</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45175</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45175</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45175</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45175</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45175</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45175</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45175</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45175</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45175</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45175</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45175</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45175</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45175</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45175</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45175</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45175</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45175</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45175</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45175</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45175</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45175</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45175</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45175</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45175</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45175</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45175</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45175</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45175</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45175</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45175</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45175</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45175</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45175</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45175</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45175</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45175</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45175</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45175</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45175</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45175</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45175</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45175</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45175</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45175</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45175</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45175</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45175</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45175</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45175</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45175</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45175</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45175</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45175</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45175</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45175</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45175</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45175</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45175</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45175</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45175</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45175</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45175</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45175</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45175</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45175</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45175</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45175</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45175</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45175</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45175</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45175</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45175</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45175</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45175</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45175</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45175</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45175</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45175</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45175</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45175</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45175</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45175</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45175</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45175</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45175</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45175</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45175</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45175</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45175</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45175</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45175</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45175</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45175</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45175</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45175</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45175</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45175</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45175</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45175</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45175</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45175</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45175</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45175</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45175</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45175</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45175</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45175</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45175</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45175</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45175</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45175</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45175</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45175</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45175</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45175</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45175</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45175</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45175</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45175</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45175</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45175</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45175</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45175</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45175</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45175</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45175</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45175</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45175</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45175</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45175</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45175</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45175</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45175</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45175</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45175</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45175</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45175</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45175</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45175</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45175</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45175</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45175</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45175</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45175</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45175</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45175</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45175</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45175</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45175</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45175</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45175</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45175</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45175</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45175</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45175</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45175</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45175</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45175</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45175</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45175</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45175</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45175</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45175</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45175</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45175</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45175</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45175</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45175</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45175</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45175</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45175</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45175</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45175</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45175</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45175</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45175</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45175</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45175</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45175</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45175</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45175</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45175</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45175</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45175</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45175</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45175</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45175</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45175</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45175</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45175</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45175</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45175</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45175</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45175</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45175</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45175</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45175</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45175</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45175</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45175</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45175</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45175</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45175</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45175</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45175</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45175</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45175</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45175</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45175</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45175</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45175</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45175</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45175</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45175</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45175</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45175</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45175</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45175</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45175</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45175</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45175</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45175</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45175</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45175</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45175</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45175</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45175</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45175</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45175</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45175</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45175</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45175</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45175</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45175</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45175</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45175</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45175</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45175</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45175</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45175</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45175</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45175</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45175</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45175</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45175</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45175</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45175</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45175</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45175</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45175</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45175</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45175</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45175</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45175</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45175</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45175</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45175</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45175</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45175</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45175</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45175</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45175</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45175</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45175</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45175</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45175</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45175</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45175</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45175</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45175</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45175</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45175</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45175</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45175</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45175</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45175</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45175</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45175</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45175</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45175</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45175</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45175</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45175</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45175</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45175</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45175</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45175</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45175</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45175</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45175</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45175</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45175</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45175</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45175</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45175</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45175</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45175</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45175</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45175</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45175</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45175</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45175</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45175</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45175</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45175</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45175</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45175</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45175</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45175</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45175</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45175</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45175</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45175</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45175</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45175</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45175</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45175</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45175</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45175</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45175</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45175</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45175</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45175</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45175</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45175</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45175</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45175</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45175</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45175</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45175</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45175</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45175</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45175</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45175</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45175</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45175</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45175</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45175</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45175</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45175</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45175</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45175</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45175</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45175</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45175</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45175</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45175</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45175</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45175</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45175</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45175</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45175</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45175</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45175</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45175</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45175</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45175</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45175</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45175</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45175</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45175</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45175</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45175</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45175</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45175</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45175</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45175</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45175</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45175</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45175</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45175</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45175</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45175</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45175</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45175</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45175</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45175</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45175</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45175</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45175</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45175</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45175</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45175</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45175</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45175</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45175</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45175</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45175</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45175</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45175</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45175</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45175</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45175</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45175</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45175</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45175</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45175</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45175</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45175</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45175</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45175</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45175</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45175</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45175</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45175</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45175</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45175</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45175</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45175</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45175</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45175</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45175</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45175</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45175</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45175</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45175</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45175</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45175</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45175</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45175</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45175</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45175</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45175</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45175</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45175</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45175</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45175</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45175</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45175</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45175</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45175</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45175</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45175</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45175</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45175</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45175</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45175</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45175</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45175</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45175</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45175</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45175</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45175</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45175</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45175</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45175</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45175</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45175</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45175</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45175</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45175</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45175</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45175</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45175</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45175</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45175</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45175</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45175</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45175</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45175</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45175</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45175</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45175</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45175</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45175</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45175</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45175</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45175</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45175</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45175</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45175</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45175</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45175</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45175</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45175</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45175</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45175</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45175</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45175</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45175</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45175</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45175</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45175</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45175</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45175</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45175</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45175</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45175</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45175</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45175</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45175</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45175</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45175</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45175</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45175</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45175</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45175</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45175</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45175</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45175</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45175</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45175</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45175</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45175</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45175</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45175</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45175</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45175</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45175</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45175</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45175</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45175</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45175</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45175</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45175</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45175</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45175</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45175</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45175</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45175</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45175</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45175</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45175</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45175</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45175</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45175</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45175</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45175</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45175</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45175</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45175</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45175</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45175</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45175</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45175</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45175</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45175</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45175</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45175</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45175</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45175</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45175</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45175</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45175</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45175</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45175</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45175</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45175</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45175</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45175</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45175</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45175</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45175</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45175</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45175</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45175</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45175</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45175</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45175</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45175</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45175</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45175</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45175</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45175</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45175</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45175</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45175</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45175</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45175</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45175</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45175</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45175</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45175</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45175</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45175</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45175</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45175</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45175</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45175</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45175</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45175</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45175</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45175</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45175</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45175</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45175</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45175</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45175</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45175</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45175</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45175</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45175</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45175</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45175</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45175</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45175</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45175</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45175</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45175</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45175</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45175</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45175</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45175</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45175</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45175</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45175</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45175</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45175</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45175</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45175</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45175</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45175</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45175</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45175</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45175</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45175</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45175</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45175</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45175</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45175</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45175</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45175</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45175</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45175</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45175</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45175</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45175</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45175</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45175</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45175</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45175</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45175</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45175</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45175</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45175</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45175</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45175</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45175</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45175</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45175</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45175</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45175</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45175</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45175</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45175</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45175</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45175</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45175</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45175</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45175</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45175</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45175</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45175</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45175</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45175</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45175</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45175</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45175</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45175</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45175</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45175</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45175</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45175</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45175</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45175</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45175</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45175</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45175</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45175</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45175</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45175</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45175</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45175</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45175</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45175</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45175</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45175</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45175</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45175</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45175</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45175</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45175</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45175</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45175</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45175</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45175</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45175</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45175</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45175</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45175</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45175</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45175</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45175</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45175</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45175</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45175</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45175</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45175</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45175</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45175</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45175</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45175</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45175</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45175</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45175</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45175</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45175</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45175</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45175</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45175</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45175</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45175</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45175</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45175</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45175</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45175</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45175</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45175</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45175</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45175</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45175</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45175</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45175</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45175</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45175</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45175</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45175</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45175</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45175</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45175</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45175</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45175</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45175</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45175</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45175</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45175</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45175</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45175</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45175</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45175</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45175</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45175</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45175</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45175</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45175</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45175</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45175</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45175</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45175</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45175</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45175</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45175</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45175</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45175</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45175</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45175</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45175</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45175</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45175</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45175</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45175</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45175</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45175</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45175</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45175</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45175</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45175</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45175</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45175</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45175</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45175</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45175</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45175</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45175</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45175</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45175</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45175</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45175</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45175</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45175</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45175</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45175</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45175</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45175</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45175</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45175</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45175</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45175</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45175</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45175</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45175</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45175</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45175</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45175</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45175</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45175</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45175</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45175</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45175</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45175</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45175</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45175</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45175</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45175</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45175</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45175</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45175</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45175</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45175</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45175</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45175</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45175</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45175</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45175</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45175</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45175</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45175</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45175</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45175</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45175</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45175</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45175</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45175</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45175</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45175</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45175</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45175</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45175</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45175</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45175</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45175</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45175</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45175</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45175</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45175</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45175</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45175</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45175</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45175</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45175</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45175</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45175</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45175</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45175</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45175</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45175</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45175</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45175</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45175</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45175</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45175</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45175</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45175</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45175</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45175</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45175</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45175</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45175</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45175</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45175</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45175</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45175</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45175</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45175</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45175</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45175</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45175</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45175</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45175</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45175</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45175</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45175</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45175</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45175</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45175</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45175</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45175</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45175</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45175</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45175</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45175</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45175</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45175</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45175</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45175</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45175</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45175</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45175</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45175</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45175</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45175</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45175</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45175</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45175</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45175</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45175</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45175</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45175</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45175</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45175</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45175</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45175</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45175</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45175</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45175</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45175</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45175</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45175</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45175</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45175</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45175</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45175</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45175</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45175</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45175</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45175</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45175</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45175</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45175</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45175</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45175</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45175</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45175</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45175</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45175</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45175</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45175</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45175</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45175</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45175</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45175</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45175</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45175</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45175</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45175</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45175</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45175</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45175</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45175</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45175</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45175</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45175</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45175</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45175</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45175</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45175</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45175</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45175</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45175</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45175</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45175</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45175</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45175</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45175</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45175</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45175</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45175</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45175</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45175</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45175</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45175</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45175</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45175</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45175</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45175</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45175</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45175</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45175</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45175</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45175</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45175</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45175</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45175</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45175</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45175</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45175</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45175</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45175</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45175</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45175</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45175</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45175</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45175</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45175</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45175</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45175</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45175</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45175</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45175</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45175</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45175</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45175</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45175</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45175</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45175</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45175</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45175</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45175</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45175</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45175</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45175</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45175</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45175</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45175</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45175</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45175</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45175</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45175</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45175</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45175</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45175</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45175</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45175</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45175</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45175</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45175</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45175</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45175</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45175</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45175</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45175</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45175</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45175</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45175</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45175</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45175</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45175</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45175</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45175</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45175</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45175</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45175</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45175</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45175</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45175</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45175</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45175</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45175</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45175</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45175</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45175</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45175</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45175</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45175</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45175</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45175</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45175</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45175</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45175</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45175</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45175</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45175</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45175</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45175</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45175</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45175</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45175</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45175</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45175</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45175</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45175</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45175</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45175</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45175</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45175</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45175</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45175</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45175</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45175</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45175</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45175</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45175</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45175</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45175</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45175</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45175</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45175</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45175</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45175</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45175</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45175</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45175</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45175</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45175</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45175</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45175</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45175</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45175</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45175</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45175</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45175</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45175</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45175</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45175</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45175</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45175</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45175</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45175</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45175</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45175</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45175</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45175</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45175</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45175</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45175</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45175</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45175</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45175</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45175</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45175</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45175</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45175</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45175</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45175</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45175</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45175</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45175</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45175</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45175</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45175</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45175</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45175</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45175</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45175</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45175</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45175</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45175</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45175</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45175</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45175</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45175</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45175</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45175</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45175</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45175</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45175</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45175</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45175</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45175</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45175</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45175</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45175</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45175</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45175</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45175</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45175</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45175</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45175</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45175</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45175</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45175</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45175</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45175</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45175</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45175</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45175</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45175</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45175</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45175</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45175</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45175</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45175</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45175</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2023-09-06T04:38:03Z</dcterms:created>
  <dcterms:modified xmlns:dcterms="http://purl.org/dc/terms/" xmlns:xsi="http://www.w3.org/2001/XMLSchema-instance" xsi:type="dcterms:W3CDTF">2023-09-06T04:38:04Z</dcterms:modified>
</cp:coreProperties>
</file>