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45186</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45186</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45186</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45186</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45186</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45186</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45186</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45186</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45186</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45186</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45186</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45186</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66380-2021</t>
        </is>
      </c>
      <c r="B15" s="1" t="n">
        <v>44518</v>
      </c>
      <c r="C15" s="1" t="n">
        <v>45186</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 "A 66380-2021")</f>
        <v/>
      </c>
      <c r="T15">
        <f>HYPERLINK("https://klasma.github.io/Logging_HANINGE/kartor/A 66380-2021.png", "A 66380-2021")</f>
        <v/>
      </c>
      <c r="U15">
        <f>HYPERLINK("https://klasma.github.io/Logging_HANINGE/knärot/A 66380-2021.png", "A 66380-2021")</f>
        <v/>
      </c>
      <c r="V15">
        <f>HYPERLINK("https://klasma.github.io/Logging_HANINGE/klagomål/A 66380-2021.docx", "A 66380-2021")</f>
        <v/>
      </c>
      <c r="W15">
        <f>HYPERLINK("https://klasma.github.io/Logging_HANINGE/klagomålsmail/A 66380-2021.docx", "A 66380-2021")</f>
        <v/>
      </c>
      <c r="X15">
        <f>HYPERLINK("https://klasma.github.io/Logging_HANINGE/tillsyn/A 66380-2021.docx", "A 66380-2021")</f>
        <v/>
      </c>
      <c r="Y15">
        <f>HYPERLINK("https://klasma.github.io/Logging_HANINGE/tillsynsmail/A 66380-2021.docx", "A 66380-2021")</f>
        <v/>
      </c>
    </row>
    <row r="16" ht="15" customHeight="1">
      <c r="A16" t="inlineStr">
        <is>
          <t>A 21853-2022</t>
        </is>
      </c>
      <c r="B16" s="1" t="n">
        <v>44709</v>
      </c>
      <c r="C16" s="1" t="n">
        <v>45186</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 "A 21853-2022")</f>
        <v/>
      </c>
      <c r="T16">
        <f>HYPERLINK("https://klasma.github.io/Logging_NACKA/kartor/A 21853-2022.png", "A 21853-2022")</f>
        <v/>
      </c>
      <c r="V16">
        <f>HYPERLINK("https://klasma.github.io/Logging_NACKA/klagomål/A 21853-2022.docx", "A 21853-2022")</f>
        <v/>
      </c>
      <c r="W16">
        <f>HYPERLINK("https://klasma.github.io/Logging_NACKA/klagomålsmail/A 21853-2022.docx", "A 21853-2022")</f>
        <v/>
      </c>
      <c r="X16">
        <f>HYPERLINK("https://klasma.github.io/Logging_NACKA/tillsyn/A 21853-2022.docx", "A 21853-2022")</f>
        <v/>
      </c>
      <c r="Y16">
        <f>HYPERLINK("https://klasma.github.io/Logging_NACKA/tillsynsmail/A 21853-2022.docx", "A 21853-2022")</f>
        <v/>
      </c>
    </row>
    <row r="17" ht="15" customHeight="1">
      <c r="A17" t="inlineStr">
        <is>
          <t>A 33062-2023</t>
        </is>
      </c>
      <c r="B17" s="1" t="n">
        <v>45113</v>
      </c>
      <c r="C17" s="1" t="n">
        <v>45186</v>
      </c>
      <c r="D17" t="inlineStr">
        <is>
          <t>STOCKHOLMS LÄN</t>
        </is>
      </c>
      <c r="E17" t="inlineStr">
        <is>
          <t>UPPLANDS VÄSBY</t>
        </is>
      </c>
      <c r="G17" t="n">
        <v>3.9</v>
      </c>
      <c r="H17" t="n">
        <v>2</v>
      </c>
      <c r="I17" t="n">
        <v>5</v>
      </c>
      <c r="J17" t="n">
        <v>9</v>
      </c>
      <c r="K17" t="n">
        <v>2</v>
      </c>
      <c r="L17" t="n">
        <v>0</v>
      </c>
      <c r="M17" t="n">
        <v>0</v>
      </c>
      <c r="N17" t="n">
        <v>0</v>
      </c>
      <c r="O17" t="n">
        <v>11</v>
      </c>
      <c r="P17" t="n">
        <v>2</v>
      </c>
      <c r="Q17" t="n">
        <v>17</v>
      </c>
      <c r="R17"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7">
        <f>HYPERLINK("https://klasma.github.io/Logging_UPPLANDS_VASBY/artfynd/A 33062-2023.xlsx", "A 33062-2023")</f>
        <v/>
      </c>
      <c r="T17">
        <f>HYPERLINK("https://klasma.github.io/Logging_UPPLANDS_VASBY/kartor/A 33062-2023.png", "A 33062-2023")</f>
        <v/>
      </c>
      <c r="V17">
        <f>HYPERLINK("https://klasma.github.io/Logging_UPPLANDS_VASBY/klagomål/A 33062-2023.docx", "A 33062-2023")</f>
        <v/>
      </c>
      <c r="W17">
        <f>HYPERLINK("https://klasma.github.io/Logging_UPPLANDS_VASBY/klagomålsmail/A 33062-2023.docx", "A 33062-2023")</f>
        <v/>
      </c>
      <c r="X17">
        <f>HYPERLINK("https://klasma.github.io/Logging_UPPLANDS_VASBY/tillsyn/A 33062-2023.docx", "A 33062-2023")</f>
        <v/>
      </c>
      <c r="Y17">
        <f>HYPERLINK("https://klasma.github.io/Logging_UPPLANDS_VASBY/tillsynsmail/A 33062-2023.docx", "A 33062-2023")</f>
        <v/>
      </c>
    </row>
    <row r="18" ht="15" customHeight="1">
      <c r="A18" t="inlineStr">
        <is>
          <t>A 34417-2023</t>
        </is>
      </c>
      <c r="B18" s="1" t="n">
        <v>45139</v>
      </c>
      <c r="C18" s="1" t="n">
        <v>45186</v>
      </c>
      <c r="D18" t="inlineStr">
        <is>
          <t>STOCKHOLMS LÄN</t>
        </is>
      </c>
      <c r="E18" t="inlineStr">
        <is>
          <t>HANINGE</t>
        </is>
      </c>
      <c r="G18" t="n">
        <v>3.8</v>
      </c>
      <c r="H18" t="n">
        <v>4</v>
      </c>
      <c r="I18" t="n">
        <v>11</v>
      </c>
      <c r="J18" t="n">
        <v>4</v>
      </c>
      <c r="K18" t="n">
        <v>0</v>
      </c>
      <c r="L18" t="n">
        <v>0</v>
      </c>
      <c r="M18" t="n">
        <v>0</v>
      </c>
      <c r="N18" t="n">
        <v>0</v>
      </c>
      <c r="O18" t="n">
        <v>4</v>
      </c>
      <c r="P18" t="n">
        <v>0</v>
      </c>
      <c r="Q18" t="n">
        <v>17</v>
      </c>
      <c r="R18" s="2" t="inlineStr">
        <is>
          <t>Barrviolspindling
Leptoporus erubescens
Spillkråka
Vedtrappmossa
Bronshjon
Dropptaggsvamp
Fällmossa
Grön sköldmossa
Guldlockmossa
Kornknutmossa
Rödgul trumpetsvamp
Stubbspretmossa
Svavelriska
Sårläka
Vågbandad barkbock
Blåsippa
Revlummer</t>
        </is>
      </c>
      <c r="S18">
        <f>HYPERLINK("https://klasma.github.io/Logging_HANINGE/artfynd/A 34417-2023.xlsx", "A 34417-2023")</f>
        <v/>
      </c>
      <c r="T18">
        <f>HYPERLINK("https://klasma.github.io/Logging_HANINGE/kartor/A 34417-2023.png", "A 34417-2023")</f>
        <v/>
      </c>
      <c r="V18">
        <f>HYPERLINK("https://klasma.github.io/Logging_HANINGE/klagomål/A 34417-2023.docx", "A 34417-2023")</f>
        <v/>
      </c>
      <c r="W18">
        <f>HYPERLINK("https://klasma.github.io/Logging_HANINGE/klagomålsmail/A 34417-2023.docx", "A 34417-2023")</f>
        <v/>
      </c>
      <c r="X18">
        <f>HYPERLINK("https://klasma.github.io/Logging_HANINGE/tillsyn/A 34417-2023.docx", "A 34417-2023")</f>
        <v/>
      </c>
      <c r="Y18">
        <f>HYPERLINK("https://klasma.github.io/Logging_HANINGE/tillsynsmail/A 34417-2023.docx", "A 34417-2023")</f>
        <v/>
      </c>
    </row>
    <row r="19" ht="15" customHeight="1">
      <c r="A19" t="inlineStr">
        <is>
          <t>A 10099-2019</t>
        </is>
      </c>
      <c r="B19" s="1" t="n">
        <v>43509</v>
      </c>
      <c r="C19" s="1" t="n">
        <v>45186</v>
      </c>
      <c r="D19" t="inlineStr">
        <is>
          <t>STOCKHOLMS LÄN</t>
        </is>
      </c>
      <c r="E19" t="inlineStr">
        <is>
          <t>NORRTÄLJE</t>
        </is>
      </c>
      <c r="G19" t="n">
        <v>6</v>
      </c>
      <c r="H19" t="n">
        <v>0</v>
      </c>
      <c r="I19" t="n">
        <v>6</v>
      </c>
      <c r="J19" t="n">
        <v>7</v>
      </c>
      <c r="K19" t="n">
        <v>2</v>
      </c>
      <c r="L19" t="n">
        <v>1</v>
      </c>
      <c r="M19" t="n">
        <v>0</v>
      </c>
      <c r="N19" t="n">
        <v>0</v>
      </c>
      <c r="O19" t="n">
        <v>10</v>
      </c>
      <c r="P19" t="n">
        <v>3</v>
      </c>
      <c r="Q19" t="n">
        <v>16</v>
      </c>
      <c r="R19" s="2" t="inlineStr">
        <is>
          <t>Raggtaggsvamp
Grangråticka
Koppartaggsvamp
Barrviolspindling
Blek fingersvamp
Granticka
Gul taggsvamp
Motaggsvamp
Odörspindling
Orange taggsvamp
Anisspindling
Bronshjon
Dropptaggsvamp
Fjällig taggsvamp s.str.
Grönpyrola
Skarp dropptaggsvamp</t>
        </is>
      </c>
      <c r="S19">
        <f>HYPERLINK("https://klasma.github.io/Logging_NORRTALJE/artfynd/A 10099-2019.xlsx", "A 10099-2019")</f>
        <v/>
      </c>
      <c r="T19">
        <f>HYPERLINK("https://klasma.github.io/Logging_NORRTALJE/kartor/A 10099-2019.png", "A 10099-2019")</f>
        <v/>
      </c>
      <c r="V19">
        <f>HYPERLINK("https://klasma.github.io/Logging_NORRTALJE/klagomål/A 10099-2019.docx", "A 10099-2019")</f>
        <v/>
      </c>
      <c r="W19">
        <f>HYPERLINK("https://klasma.github.io/Logging_NORRTALJE/klagomålsmail/A 10099-2019.docx", "A 10099-2019")</f>
        <v/>
      </c>
      <c r="X19">
        <f>HYPERLINK("https://klasma.github.io/Logging_NORRTALJE/tillsyn/A 10099-2019.docx", "A 10099-2019")</f>
        <v/>
      </c>
      <c r="Y19">
        <f>HYPERLINK("https://klasma.github.io/Logging_NORRTALJE/tillsynsmail/A 10099-2019.docx", "A 10099-2019")</f>
        <v/>
      </c>
    </row>
    <row r="20" ht="15" customHeight="1">
      <c r="A20" t="inlineStr">
        <is>
          <t>A 34890-2018</t>
        </is>
      </c>
      <c r="B20" s="1" t="n">
        <v>43321</v>
      </c>
      <c r="C20" s="1" t="n">
        <v>45186</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 "A 34890-2018")</f>
        <v/>
      </c>
      <c r="T20">
        <f>HYPERLINK("https://klasma.github.io/Logging_UPPLANDS-BRO/kartor/A 34890-2018.png", "A 34890-2018")</f>
        <v/>
      </c>
      <c r="V20">
        <f>HYPERLINK("https://klasma.github.io/Logging_UPPLANDS-BRO/klagomål/A 34890-2018.docx", "A 34890-2018")</f>
        <v/>
      </c>
      <c r="W20">
        <f>HYPERLINK("https://klasma.github.io/Logging_UPPLANDS-BRO/klagomålsmail/A 34890-2018.docx", "A 34890-2018")</f>
        <v/>
      </c>
      <c r="X20">
        <f>HYPERLINK("https://klasma.github.io/Logging_UPPLANDS-BRO/tillsyn/A 34890-2018.docx", "A 34890-2018")</f>
        <v/>
      </c>
      <c r="Y20">
        <f>HYPERLINK("https://klasma.github.io/Logging_UPPLANDS-BRO/tillsynsmail/A 34890-2018.docx", "A 34890-2018")</f>
        <v/>
      </c>
    </row>
    <row r="21" ht="15" customHeight="1">
      <c r="A21" t="inlineStr">
        <is>
          <t>A 5738-2020</t>
        </is>
      </c>
      <c r="B21" s="1" t="n">
        <v>43863</v>
      </c>
      <c r="C21" s="1" t="n">
        <v>45186</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 "A 5738-2020")</f>
        <v/>
      </c>
      <c r="T21">
        <f>HYPERLINK("https://klasma.github.io/Logging_NORRTALJE/kartor/A 5738-2020.png", "A 5738-2020")</f>
        <v/>
      </c>
      <c r="V21">
        <f>HYPERLINK("https://klasma.github.io/Logging_NORRTALJE/klagomål/A 5738-2020.docx", "A 5738-2020")</f>
        <v/>
      </c>
      <c r="W21">
        <f>HYPERLINK("https://klasma.github.io/Logging_NORRTALJE/klagomålsmail/A 5738-2020.docx", "A 5738-2020")</f>
        <v/>
      </c>
      <c r="X21">
        <f>HYPERLINK("https://klasma.github.io/Logging_NORRTALJE/tillsyn/A 5738-2020.docx", "A 5738-2020")</f>
        <v/>
      </c>
      <c r="Y21">
        <f>HYPERLINK("https://klasma.github.io/Logging_NORRTALJE/tillsynsmail/A 5738-2020.docx", "A 5738-2020")</f>
        <v/>
      </c>
    </row>
    <row r="22" ht="15" customHeight="1">
      <c r="A22" t="inlineStr">
        <is>
          <t>A 20601-2022</t>
        </is>
      </c>
      <c r="B22" s="1" t="n">
        <v>44700</v>
      </c>
      <c r="C22" s="1" t="n">
        <v>45186</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 "A 20601-2022")</f>
        <v/>
      </c>
      <c r="T22">
        <f>HYPERLINK("https://klasma.github.io/Logging_UPPLANDS-BRO/kartor/A 20601-2022.png", "A 20601-2022")</f>
        <v/>
      </c>
      <c r="V22">
        <f>HYPERLINK("https://klasma.github.io/Logging_UPPLANDS-BRO/klagomål/A 20601-2022.docx", "A 20601-2022")</f>
        <v/>
      </c>
      <c r="W22">
        <f>HYPERLINK("https://klasma.github.io/Logging_UPPLANDS-BRO/klagomålsmail/A 20601-2022.docx", "A 20601-2022")</f>
        <v/>
      </c>
      <c r="X22">
        <f>HYPERLINK("https://klasma.github.io/Logging_UPPLANDS-BRO/tillsyn/A 20601-2022.docx", "A 20601-2022")</f>
        <v/>
      </c>
      <c r="Y22">
        <f>HYPERLINK("https://klasma.github.io/Logging_UPPLANDS-BRO/tillsynsmail/A 20601-2022.docx", "A 20601-2022")</f>
        <v/>
      </c>
    </row>
    <row r="23" ht="15" customHeight="1">
      <c r="A23" t="inlineStr">
        <is>
          <t>A 2276-2019</t>
        </is>
      </c>
      <c r="B23" s="1" t="n">
        <v>43475</v>
      </c>
      <c r="C23" s="1" t="n">
        <v>45186</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 "A 2276-2019")</f>
        <v/>
      </c>
      <c r="T23">
        <f>HYPERLINK("https://klasma.github.io/Logging_NORRTALJE/kartor/A 2276-2019.png", "A 2276-2019")</f>
        <v/>
      </c>
      <c r="V23">
        <f>HYPERLINK("https://klasma.github.io/Logging_NORRTALJE/klagomål/A 2276-2019.docx", "A 2276-2019")</f>
        <v/>
      </c>
      <c r="W23">
        <f>HYPERLINK("https://klasma.github.io/Logging_NORRTALJE/klagomålsmail/A 2276-2019.docx", "A 2276-2019")</f>
        <v/>
      </c>
      <c r="X23">
        <f>HYPERLINK("https://klasma.github.io/Logging_NORRTALJE/tillsyn/A 2276-2019.docx", "A 2276-2019")</f>
        <v/>
      </c>
      <c r="Y23">
        <f>HYPERLINK("https://klasma.github.io/Logging_NORRTALJE/tillsynsmail/A 2276-2019.docx", "A 2276-2019")</f>
        <v/>
      </c>
    </row>
    <row r="24" ht="15" customHeight="1">
      <c r="A24" t="inlineStr">
        <is>
          <t>A 28411-2019</t>
        </is>
      </c>
      <c r="B24" s="1" t="n">
        <v>43626</v>
      </c>
      <c r="C24" s="1" t="n">
        <v>45186</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 "A 28411-2019")</f>
        <v/>
      </c>
      <c r="T24">
        <f>HYPERLINK("https://klasma.github.io/Logging_NORRTALJE/kartor/A 28411-2019.png", "A 28411-2019")</f>
        <v/>
      </c>
      <c r="V24">
        <f>HYPERLINK("https://klasma.github.io/Logging_NORRTALJE/klagomål/A 28411-2019.docx", "A 28411-2019")</f>
        <v/>
      </c>
      <c r="W24">
        <f>HYPERLINK("https://klasma.github.io/Logging_NORRTALJE/klagomålsmail/A 28411-2019.docx", "A 28411-2019")</f>
        <v/>
      </c>
      <c r="X24">
        <f>HYPERLINK("https://klasma.github.io/Logging_NORRTALJE/tillsyn/A 28411-2019.docx", "A 28411-2019")</f>
        <v/>
      </c>
      <c r="Y24">
        <f>HYPERLINK("https://klasma.github.io/Logging_NORRTALJE/tillsynsmail/A 28411-2019.docx", "A 28411-2019")</f>
        <v/>
      </c>
    </row>
    <row r="25" ht="15" customHeight="1">
      <c r="A25" t="inlineStr">
        <is>
          <t>A 63484-2019</t>
        </is>
      </c>
      <c r="B25" s="1" t="n">
        <v>43794</v>
      </c>
      <c r="C25" s="1" t="n">
        <v>45186</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 "A 63484-2019")</f>
        <v/>
      </c>
      <c r="T25">
        <f>HYPERLINK("https://klasma.github.io/Logging_NORRTALJE/kartor/A 63484-2019.png", "A 63484-2019")</f>
        <v/>
      </c>
      <c r="V25">
        <f>HYPERLINK("https://klasma.github.io/Logging_NORRTALJE/klagomål/A 63484-2019.docx", "A 63484-2019")</f>
        <v/>
      </c>
      <c r="W25">
        <f>HYPERLINK("https://klasma.github.io/Logging_NORRTALJE/klagomålsmail/A 63484-2019.docx", "A 63484-2019")</f>
        <v/>
      </c>
      <c r="X25">
        <f>HYPERLINK("https://klasma.github.io/Logging_NORRTALJE/tillsyn/A 63484-2019.docx", "A 63484-2019")</f>
        <v/>
      </c>
      <c r="Y25">
        <f>HYPERLINK("https://klasma.github.io/Logging_NORRTALJE/tillsynsmail/A 63484-2019.docx", "A 63484-2019")</f>
        <v/>
      </c>
    </row>
    <row r="26" ht="15" customHeight="1">
      <c r="A26" t="inlineStr">
        <is>
          <t>A 51334-2022</t>
        </is>
      </c>
      <c r="B26" s="1" t="n">
        <v>44869</v>
      </c>
      <c r="C26" s="1" t="n">
        <v>45186</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 "A 51334-2022")</f>
        <v/>
      </c>
      <c r="T26">
        <f>HYPERLINK("https://klasma.github.io/Logging_NORRTALJE/kartor/A 51334-2022.png", "A 51334-2022")</f>
        <v/>
      </c>
      <c r="V26">
        <f>HYPERLINK("https://klasma.github.io/Logging_NORRTALJE/klagomål/A 51334-2022.docx", "A 51334-2022")</f>
        <v/>
      </c>
      <c r="W26">
        <f>HYPERLINK("https://klasma.github.io/Logging_NORRTALJE/klagomålsmail/A 51334-2022.docx", "A 51334-2022")</f>
        <v/>
      </c>
      <c r="X26">
        <f>HYPERLINK("https://klasma.github.io/Logging_NORRTALJE/tillsyn/A 51334-2022.docx", "A 51334-2022")</f>
        <v/>
      </c>
      <c r="Y26">
        <f>HYPERLINK("https://klasma.github.io/Logging_NORRTALJE/tillsynsmail/A 51334-2022.docx", "A 51334-2022")</f>
        <v/>
      </c>
    </row>
    <row r="27" ht="15" customHeight="1">
      <c r="A27" t="inlineStr">
        <is>
          <t>A 59863-2022</t>
        </is>
      </c>
      <c r="B27" s="1" t="n">
        <v>44901</v>
      </c>
      <c r="C27" s="1" t="n">
        <v>45186</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 "A 59863-2022")</f>
        <v/>
      </c>
      <c r="T27">
        <f>HYPERLINK("https://klasma.github.io/Logging_SODERTALJE/kartor/A 59863-2022.png", "A 59863-2022")</f>
        <v/>
      </c>
      <c r="V27">
        <f>HYPERLINK("https://klasma.github.io/Logging_SODERTALJE/klagomål/A 59863-2022.docx", "A 59863-2022")</f>
        <v/>
      </c>
      <c r="W27">
        <f>HYPERLINK("https://klasma.github.io/Logging_SODERTALJE/klagomålsmail/A 59863-2022.docx", "A 59863-2022")</f>
        <v/>
      </c>
      <c r="X27">
        <f>HYPERLINK("https://klasma.github.io/Logging_SODERTALJE/tillsyn/A 59863-2022.docx", "A 59863-2022")</f>
        <v/>
      </c>
      <c r="Y27">
        <f>HYPERLINK("https://klasma.github.io/Logging_SODERTALJE/tillsynsmail/A 59863-2022.docx", "A 59863-2022")</f>
        <v/>
      </c>
    </row>
    <row r="28" ht="15" customHeight="1">
      <c r="A28" t="inlineStr">
        <is>
          <t>A 25567-2023</t>
        </is>
      </c>
      <c r="B28" s="1" t="n">
        <v>45089</v>
      </c>
      <c r="C28" s="1" t="n">
        <v>45186</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 "A 25567-2023")</f>
        <v/>
      </c>
      <c r="T28">
        <f>HYPERLINK("https://klasma.github.io/Logging_HANINGE/kartor/A 25567-2023.png", "A 25567-2023")</f>
        <v/>
      </c>
      <c r="V28">
        <f>HYPERLINK("https://klasma.github.io/Logging_HANINGE/klagomål/A 25567-2023.docx", "A 25567-2023")</f>
        <v/>
      </c>
      <c r="W28">
        <f>HYPERLINK("https://klasma.github.io/Logging_HANINGE/klagomålsmail/A 25567-2023.docx", "A 25567-2023")</f>
        <v/>
      </c>
      <c r="X28">
        <f>HYPERLINK("https://klasma.github.io/Logging_HANINGE/tillsyn/A 25567-2023.docx", "A 25567-2023")</f>
        <v/>
      </c>
      <c r="Y28">
        <f>HYPERLINK("https://klasma.github.io/Logging_HANINGE/tillsynsmail/A 25567-2023.docx", "A 25567-2023")</f>
        <v/>
      </c>
    </row>
    <row r="29" ht="15" customHeight="1">
      <c r="A29" t="inlineStr">
        <is>
          <t>A 26273-2019</t>
        </is>
      </c>
      <c r="B29" s="1" t="n">
        <v>43611</v>
      </c>
      <c r="C29" s="1" t="n">
        <v>45186</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 "A 26273-2019")</f>
        <v/>
      </c>
      <c r="T29">
        <f>HYPERLINK("https://klasma.github.io/Logging_NORRTALJE/kartor/A 26273-2019.png", "A 26273-2019")</f>
        <v/>
      </c>
      <c r="U29">
        <f>HYPERLINK("https://klasma.github.io/Logging_NORRTALJE/knärot/A 26273-2019.png", "A 26273-2019")</f>
        <v/>
      </c>
      <c r="V29">
        <f>HYPERLINK("https://klasma.github.io/Logging_NORRTALJE/klagomål/A 26273-2019.docx", "A 26273-2019")</f>
        <v/>
      </c>
      <c r="W29">
        <f>HYPERLINK("https://klasma.github.io/Logging_NORRTALJE/klagomålsmail/A 26273-2019.docx", "A 26273-2019")</f>
        <v/>
      </c>
      <c r="X29">
        <f>HYPERLINK("https://klasma.github.io/Logging_NORRTALJE/tillsyn/A 26273-2019.docx", "A 26273-2019")</f>
        <v/>
      </c>
      <c r="Y29">
        <f>HYPERLINK("https://klasma.github.io/Logging_NORRTALJE/tillsynsmail/A 26273-2019.docx", "A 26273-2019")</f>
        <v/>
      </c>
    </row>
    <row r="30" ht="15" customHeight="1">
      <c r="A30" t="inlineStr">
        <is>
          <t>A 5736-2020</t>
        </is>
      </c>
      <c r="B30" s="1" t="n">
        <v>43863</v>
      </c>
      <c r="C30" s="1" t="n">
        <v>45186</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 "A 5736-2020")</f>
        <v/>
      </c>
      <c r="T30">
        <f>HYPERLINK("https://klasma.github.io/Logging_NORRTALJE/kartor/A 5736-2020.png", "A 5736-2020")</f>
        <v/>
      </c>
      <c r="V30">
        <f>HYPERLINK("https://klasma.github.io/Logging_NORRTALJE/klagomål/A 5736-2020.docx", "A 5736-2020")</f>
        <v/>
      </c>
      <c r="W30">
        <f>HYPERLINK("https://klasma.github.io/Logging_NORRTALJE/klagomålsmail/A 5736-2020.docx", "A 5736-2020")</f>
        <v/>
      </c>
      <c r="X30">
        <f>HYPERLINK("https://klasma.github.io/Logging_NORRTALJE/tillsyn/A 5736-2020.docx", "A 5736-2020")</f>
        <v/>
      </c>
      <c r="Y30">
        <f>HYPERLINK("https://klasma.github.io/Logging_NORRTALJE/tillsynsmail/A 5736-2020.docx", "A 5736-2020")</f>
        <v/>
      </c>
    </row>
    <row r="31" ht="15" customHeight="1">
      <c r="A31" t="inlineStr">
        <is>
          <t>A 67868-2021</t>
        </is>
      </c>
      <c r="B31" s="1" t="n">
        <v>44525</v>
      </c>
      <c r="C31" s="1" t="n">
        <v>45186</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 "A 67868-2021")</f>
        <v/>
      </c>
      <c r="T31">
        <f>HYPERLINK("https://klasma.github.io/Logging_HANINGE/kartor/A 67868-2021.png", "A 67868-2021")</f>
        <v/>
      </c>
      <c r="V31">
        <f>HYPERLINK("https://klasma.github.io/Logging_HANINGE/klagomål/A 67868-2021.docx", "A 67868-2021")</f>
        <v/>
      </c>
      <c r="W31">
        <f>HYPERLINK("https://klasma.github.io/Logging_HANINGE/klagomålsmail/A 67868-2021.docx", "A 67868-2021")</f>
        <v/>
      </c>
      <c r="X31">
        <f>HYPERLINK("https://klasma.github.io/Logging_HANINGE/tillsyn/A 67868-2021.docx", "A 67868-2021")</f>
        <v/>
      </c>
      <c r="Y31">
        <f>HYPERLINK("https://klasma.github.io/Logging_HANINGE/tillsynsmail/A 67868-2021.docx", "A 67868-2021")</f>
        <v/>
      </c>
    </row>
    <row r="32" ht="15" customHeight="1">
      <c r="A32" t="inlineStr">
        <is>
          <t>A 11053-2022</t>
        </is>
      </c>
      <c r="B32" s="1" t="n">
        <v>44628</v>
      </c>
      <c r="C32" s="1" t="n">
        <v>45186</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 "A 11053-2022")</f>
        <v/>
      </c>
      <c r="T32">
        <f>HYPERLINK("https://klasma.github.io/Logging_NYKVARN/kartor/A 11053-2022.png", "A 11053-2022")</f>
        <v/>
      </c>
      <c r="V32">
        <f>HYPERLINK("https://klasma.github.io/Logging_NYKVARN/klagomål/A 11053-2022.docx", "A 11053-2022")</f>
        <v/>
      </c>
      <c r="W32">
        <f>HYPERLINK("https://klasma.github.io/Logging_NYKVARN/klagomålsmail/A 11053-2022.docx", "A 11053-2022")</f>
        <v/>
      </c>
      <c r="X32">
        <f>HYPERLINK("https://klasma.github.io/Logging_NYKVARN/tillsyn/A 11053-2022.docx", "A 11053-2022")</f>
        <v/>
      </c>
      <c r="Y32">
        <f>HYPERLINK("https://klasma.github.io/Logging_NYKVARN/tillsynsmail/A 11053-2022.docx", "A 11053-2022")</f>
        <v/>
      </c>
    </row>
    <row r="33" ht="15" customHeight="1">
      <c r="A33" t="inlineStr">
        <is>
          <t>A 68153-2019</t>
        </is>
      </c>
      <c r="B33" s="1" t="n">
        <v>43817</v>
      </c>
      <c r="C33" s="1" t="n">
        <v>45186</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 "A 68153-2019")</f>
        <v/>
      </c>
      <c r="T33">
        <f>HYPERLINK("https://klasma.github.io/Logging_VALLENTUNA/kartor/A 68153-2019.png", "A 68153-2019")</f>
        <v/>
      </c>
      <c r="V33">
        <f>HYPERLINK("https://klasma.github.io/Logging_VALLENTUNA/klagomål/A 68153-2019.docx", "A 68153-2019")</f>
        <v/>
      </c>
      <c r="W33">
        <f>HYPERLINK("https://klasma.github.io/Logging_VALLENTUNA/klagomålsmail/A 68153-2019.docx", "A 68153-2019")</f>
        <v/>
      </c>
      <c r="X33">
        <f>HYPERLINK("https://klasma.github.io/Logging_VALLENTUNA/tillsyn/A 68153-2019.docx", "A 68153-2019")</f>
        <v/>
      </c>
      <c r="Y33">
        <f>HYPERLINK("https://klasma.github.io/Logging_VALLENTUNA/tillsynsmail/A 68153-2019.docx", "A 68153-2019")</f>
        <v/>
      </c>
    </row>
    <row r="34" ht="15" customHeight="1">
      <c r="A34" t="inlineStr">
        <is>
          <t>A 40859-2022</t>
        </is>
      </c>
      <c r="B34" s="1" t="n">
        <v>44825</v>
      </c>
      <c r="C34" s="1" t="n">
        <v>45186</v>
      </c>
      <c r="D34" t="inlineStr">
        <is>
          <t>STOCKHOLMS LÄN</t>
        </is>
      </c>
      <c r="E34" t="inlineStr">
        <is>
          <t>HANINGE</t>
        </is>
      </c>
      <c r="G34" t="n">
        <v>7.8</v>
      </c>
      <c r="H34" t="n">
        <v>3</v>
      </c>
      <c r="I34" t="n">
        <v>8</v>
      </c>
      <c r="J34" t="n">
        <v>4</v>
      </c>
      <c r="K34" t="n">
        <v>0</v>
      </c>
      <c r="L34" t="n">
        <v>0</v>
      </c>
      <c r="M34" t="n">
        <v>0</v>
      </c>
      <c r="N34" t="n">
        <v>0</v>
      </c>
      <c r="O34" t="n">
        <v>4</v>
      </c>
      <c r="P34" t="n">
        <v>0</v>
      </c>
      <c r="Q34" t="n">
        <v>12</v>
      </c>
      <c r="R34" s="2" t="inlineStr">
        <is>
          <t>Granticka
Spillkråka
Talltita
Ullticka
Bronshjon
Fjällig taggsvamp s.str.
Granbarkgnagare
Grön sköldmossa
Mörk husmossa
Rödgul trumpetsvamp
Svavelriska
Thomsons trägnagare</t>
        </is>
      </c>
      <c r="S34">
        <f>HYPERLINK("https://klasma.github.io/Logging_HANINGE/artfynd/A 40859-2022.xlsx", "A 40859-2022")</f>
        <v/>
      </c>
      <c r="T34">
        <f>HYPERLINK("https://klasma.github.io/Logging_HANINGE/kartor/A 40859-2022.png", "A 40859-2022")</f>
        <v/>
      </c>
      <c r="V34">
        <f>HYPERLINK("https://klasma.github.io/Logging_HANINGE/klagomål/A 40859-2022.docx", "A 40859-2022")</f>
        <v/>
      </c>
      <c r="W34">
        <f>HYPERLINK("https://klasma.github.io/Logging_HANINGE/klagomålsmail/A 40859-2022.docx", "A 40859-2022")</f>
        <v/>
      </c>
      <c r="X34">
        <f>HYPERLINK("https://klasma.github.io/Logging_HANINGE/tillsyn/A 40859-2022.docx", "A 40859-2022")</f>
        <v/>
      </c>
      <c r="Y34">
        <f>HYPERLINK("https://klasma.github.io/Logging_HANINGE/tillsynsmail/A 40859-2022.docx", "A 40859-2022")</f>
        <v/>
      </c>
    </row>
    <row r="35" ht="15" customHeight="1">
      <c r="A35" t="inlineStr">
        <is>
          <t>A 60543-2022</t>
        </is>
      </c>
      <c r="B35" s="1" t="n">
        <v>44911</v>
      </c>
      <c r="C35" s="1" t="n">
        <v>45186</v>
      </c>
      <c r="D35" t="inlineStr">
        <is>
          <t>STOCKHOLMS LÄN</t>
        </is>
      </c>
      <c r="E35" t="inlineStr">
        <is>
          <t>NORRTÄLJE</t>
        </is>
      </c>
      <c r="G35" t="n">
        <v>4.3</v>
      </c>
      <c r="H35" t="n">
        <v>2</v>
      </c>
      <c r="I35" t="n">
        <v>5</v>
      </c>
      <c r="J35" t="n">
        <v>5</v>
      </c>
      <c r="K35" t="n">
        <v>1</v>
      </c>
      <c r="L35" t="n">
        <v>0</v>
      </c>
      <c r="M35" t="n">
        <v>0</v>
      </c>
      <c r="N35" t="n">
        <v>0</v>
      </c>
      <c r="O35" t="n">
        <v>6</v>
      </c>
      <c r="P35" t="n">
        <v>1</v>
      </c>
      <c r="Q35" t="n">
        <v>12</v>
      </c>
      <c r="R35" s="2" t="inlineStr">
        <is>
          <t>Läderlappslav
Granticka
Grönhjon
Rosenticka
Tretåig hackspett
Ullticka
Bronshjon
Grönpyrola
Gulnål
Kornig nållav
Vågbandad barkbock
Blåsippa</t>
        </is>
      </c>
      <c r="S35">
        <f>HYPERLINK("https://klasma.github.io/Logging_NORRTALJE/artfynd/A 60543-2022.xlsx", "A 60543-2022")</f>
        <v/>
      </c>
      <c r="T35">
        <f>HYPERLINK("https://klasma.github.io/Logging_NORRTALJE/kartor/A 60543-2022.png", "A 60543-2022")</f>
        <v/>
      </c>
      <c r="V35">
        <f>HYPERLINK("https://klasma.github.io/Logging_NORRTALJE/klagomål/A 60543-2022.docx", "A 60543-2022")</f>
        <v/>
      </c>
      <c r="W35">
        <f>HYPERLINK("https://klasma.github.io/Logging_NORRTALJE/klagomålsmail/A 60543-2022.docx", "A 60543-2022")</f>
        <v/>
      </c>
      <c r="X35">
        <f>HYPERLINK("https://klasma.github.io/Logging_NORRTALJE/tillsyn/A 60543-2022.docx", "A 60543-2022")</f>
        <v/>
      </c>
      <c r="Y35">
        <f>HYPERLINK("https://klasma.github.io/Logging_NORRTALJE/tillsynsmail/A 60543-2022.docx", "A 60543-2022")</f>
        <v/>
      </c>
    </row>
    <row r="36" ht="15" customHeight="1">
      <c r="A36" t="inlineStr">
        <is>
          <t>A 7987-2019</t>
        </is>
      </c>
      <c r="B36" s="1" t="n">
        <v>43493</v>
      </c>
      <c r="C36" s="1" t="n">
        <v>45186</v>
      </c>
      <c r="D36" t="inlineStr">
        <is>
          <t>STOCKHOLMS LÄN</t>
        </is>
      </c>
      <c r="E36" t="inlineStr">
        <is>
          <t>NORRTÄLJE</t>
        </is>
      </c>
      <c r="G36" t="n">
        <v>4.3</v>
      </c>
      <c r="H36" t="n">
        <v>1</v>
      </c>
      <c r="I36" t="n">
        <v>8</v>
      </c>
      <c r="J36" t="n">
        <v>2</v>
      </c>
      <c r="K36" t="n">
        <v>0</v>
      </c>
      <c r="L36" t="n">
        <v>1</v>
      </c>
      <c r="M36" t="n">
        <v>0</v>
      </c>
      <c r="N36" t="n">
        <v>0</v>
      </c>
      <c r="O36" t="n">
        <v>3</v>
      </c>
      <c r="P36" t="n">
        <v>1</v>
      </c>
      <c r="Q36" t="n">
        <v>11</v>
      </c>
      <c r="R36" s="2" t="inlineStr">
        <is>
          <t>Ask
Granticka
Tallticka
Fjällig taggsvamp s.str.
Granbarkgnagare
Grön sköldmossa
Hasselticka
Lönnlav
Mörk husmossa
Svavelriska
Thomsons trägnagare</t>
        </is>
      </c>
      <c r="S36">
        <f>HYPERLINK("https://klasma.github.io/Logging_NORRTALJE/artfynd/A 7987-2019.xlsx", "A 7987-2019")</f>
        <v/>
      </c>
      <c r="T36">
        <f>HYPERLINK("https://klasma.github.io/Logging_NORRTALJE/kartor/A 7987-2019.png", "A 7987-2019")</f>
        <v/>
      </c>
      <c r="V36">
        <f>HYPERLINK("https://klasma.github.io/Logging_NORRTALJE/klagomål/A 7987-2019.docx", "A 7987-2019")</f>
        <v/>
      </c>
      <c r="W36">
        <f>HYPERLINK("https://klasma.github.io/Logging_NORRTALJE/klagomålsmail/A 7987-2019.docx", "A 7987-2019")</f>
        <v/>
      </c>
      <c r="X36">
        <f>HYPERLINK("https://klasma.github.io/Logging_NORRTALJE/tillsyn/A 7987-2019.docx", "A 7987-2019")</f>
        <v/>
      </c>
      <c r="Y36">
        <f>HYPERLINK("https://klasma.github.io/Logging_NORRTALJE/tillsynsmail/A 7987-2019.docx", "A 7987-2019")</f>
        <v/>
      </c>
    </row>
    <row r="37" ht="15" customHeight="1">
      <c r="A37" t="inlineStr">
        <is>
          <t>A 66797-2021</t>
        </is>
      </c>
      <c r="B37" s="1" t="n">
        <v>44519</v>
      </c>
      <c r="C37" s="1" t="n">
        <v>45186</v>
      </c>
      <c r="D37" t="inlineStr">
        <is>
          <t>STOCKHOLMS LÄN</t>
        </is>
      </c>
      <c r="E37" t="inlineStr">
        <is>
          <t>HANINGE</t>
        </is>
      </c>
      <c r="G37" t="n">
        <v>3</v>
      </c>
      <c r="H37" t="n">
        <v>0</v>
      </c>
      <c r="I37" t="n">
        <v>2</v>
      </c>
      <c r="J37" t="n">
        <v>6</v>
      </c>
      <c r="K37" t="n">
        <v>3</v>
      </c>
      <c r="L37" t="n">
        <v>0</v>
      </c>
      <c r="M37" t="n">
        <v>0</v>
      </c>
      <c r="N37" t="n">
        <v>0</v>
      </c>
      <c r="O37" t="n">
        <v>9</v>
      </c>
      <c r="P37" t="n">
        <v>3</v>
      </c>
      <c r="Q37" t="n">
        <v>11</v>
      </c>
      <c r="R37" s="2" t="inlineStr">
        <is>
          <t>Gulbrunt nejlikfly
Korkmusslingsmal
Tajgafältmätare
Hedjordfly
Mindre aspvårvecklare
Snedstreckad fältmätare
Spybollsmal
Större aspvårvecklare
Svartfläckig högstjärt
Jättesvampmal
Större aspvedbock</t>
        </is>
      </c>
      <c r="S37">
        <f>HYPERLINK("https://klasma.github.io/Logging_HANINGE/artfynd/A 66797-2021.xlsx", "A 66797-2021")</f>
        <v/>
      </c>
      <c r="T37">
        <f>HYPERLINK("https://klasma.github.io/Logging_HANINGE/kartor/A 66797-2021.png", "A 66797-2021")</f>
        <v/>
      </c>
      <c r="V37">
        <f>HYPERLINK("https://klasma.github.io/Logging_HANINGE/klagomål/A 66797-2021.docx", "A 66797-2021")</f>
        <v/>
      </c>
      <c r="W37">
        <f>HYPERLINK("https://klasma.github.io/Logging_HANINGE/klagomålsmail/A 66797-2021.docx", "A 66797-2021")</f>
        <v/>
      </c>
      <c r="X37">
        <f>HYPERLINK("https://klasma.github.io/Logging_HANINGE/tillsyn/A 66797-2021.docx", "A 66797-2021")</f>
        <v/>
      </c>
      <c r="Y37">
        <f>HYPERLINK("https://klasma.github.io/Logging_HANINGE/tillsynsmail/A 66797-2021.docx", "A 66797-2021")</f>
        <v/>
      </c>
    </row>
    <row r="38" ht="15" customHeight="1">
      <c r="A38" t="inlineStr">
        <is>
          <t>A 22060-2022</t>
        </is>
      </c>
      <c r="B38" s="1" t="n">
        <v>44711</v>
      </c>
      <c r="C38" s="1" t="n">
        <v>45186</v>
      </c>
      <c r="D38" t="inlineStr">
        <is>
          <t>STOCKHOLMS LÄN</t>
        </is>
      </c>
      <c r="E38" t="inlineStr">
        <is>
          <t>VALLENTUNA</t>
        </is>
      </c>
      <c r="G38" t="n">
        <v>5.4</v>
      </c>
      <c r="H38" t="n">
        <v>3</v>
      </c>
      <c r="I38" t="n">
        <v>7</v>
      </c>
      <c r="J38" t="n">
        <v>2</v>
      </c>
      <c r="K38" t="n">
        <v>0</v>
      </c>
      <c r="L38" t="n">
        <v>0</v>
      </c>
      <c r="M38" t="n">
        <v>0</v>
      </c>
      <c r="N38" t="n">
        <v>0</v>
      </c>
      <c r="O38" t="n">
        <v>2</v>
      </c>
      <c r="P38" t="n">
        <v>0</v>
      </c>
      <c r="Q38" t="n">
        <v>11</v>
      </c>
      <c r="R38" s="2" t="inlineStr">
        <is>
          <t>Grönhjon
Ullticka
Bronshjon
Granbarkgnagare
Grönpyrola
Korallrot
Stubbspretmossa
Vågbandad barkbock
Ögonpyrola
Fläcknycklar
Blåsippa</t>
        </is>
      </c>
      <c r="S38">
        <f>HYPERLINK("https://klasma.github.io/Logging_VALLENTUNA/artfynd/A 22060-2022.xlsx", "A 22060-2022")</f>
        <v/>
      </c>
      <c r="T38">
        <f>HYPERLINK("https://klasma.github.io/Logging_VALLENTUNA/kartor/A 22060-2022.png", "A 22060-2022")</f>
        <v/>
      </c>
      <c r="V38">
        <f>HYPERLINK("https://klasma.github.io/Logging_VALLENTUNA/klagomål/A 22060-2022.docx", "A 22060-2022")</f>
        <v/>
      </c>
      <c r="W38">
        <f>HYPERLINK("https://klasma.github.io/Logging_VALLENTUNA/klagomålsmail/A 22060-2022.docx", "A 22060-2022")</f>
        <v/>
      </c>
      <c r="X38">
        <f>HYPERLINK("https://klasma.github.io/Logging_VALLENTUNA/tillsyn/A 22060-2022.docx", "A 22060-2022")</f>
        <v/>
      </c>
      <c r="Y38">
        <f>HYPERLINK("https://klasma.github.io/Logging_VALLENTUNA/tillsynsmail/A 22060-2022.docx", "A 22060-2022")</f>
        <v/>
      </c>
    </row>
    <row r="39" ht="15" customHeight="1">
      <c r="A39" t="inlineStr">
        <is>
          <t>A 61724-2022</t>
        </is>
      </c>
      <c r="B39" s="1" t="n">
        <v>44917</v>
      </c>
      <c r="C39" s="1" t="n">
        <v>45186</v>
      </c>
      <c r="D39" t="inlineStr">
        <is>
          <t>STOCKHOLMS LÄN</t>
        </is>
      </c>
      <c r="E39" t="inlineStr">
        <is>
          <t>ÖSTERÅKER</t>
        </is>
      </c>
      <c r="G39" t="n">
        <v>3.5</v>
      </c>
      <c r="H39" t="n">
        <v>2</v>
      </c>
      <c r="I39" t="n">
        <v>9</v>
      </c>
      <c r="J39" t="n">
        <v>1</v>
      </c>
      <c r="K39" t="n">
        <v>0</v>
      </c>
      <c r="L39" t="n">
        <v>0</v>
      </c>
      <c r="M39" t="n">
        <v>0</v>
      </c>
      <c r="N39" t="n">
        <v>0</v>
      </c>
      <c r="O39" t="n">
        <v>1</v>
      </c>
      <c r="P39" t="n">
        <v>0</v>
      </c>
      <c r="Q39" t="n">
        <v>11</v>
      </c>
      <c r="R39" s="2" t="inlineStr">
        <is>
          <t>Spillkråka
Bronshjon
Granbarkgnagare
Mörk husmossa
Skogshakmossa
Stubbspretmossa
Tibast
Västlig hakmossa
Vätteros
Vårärt
Blåsippa</t>
        </is>
      </c>
      <c r="S39">
        <f>HYPERLINK("https://klasma.github.io/Logging_OSTERAKER/artfynd/A 61724-2022.xlsx", "A 61724-2022")</f>
        <v/>
      </c>
      <c r="T39">
        <f>HYPERLINK("https://klasma.github.io/Logging_OSTERAKER/kartor/A 61724-2022.png", "A 61724-2022")</f>
        <v/>
      </c>
      <c r="V39">
        <f>HYPERLINK("https://klasma.github.io/Logging_OSTERAKER/klagomål/A 61724-2022.docx", "A 61724-2022")</f>
        <v/>
      </c>
      <c r="W39">
        <f>HYPERLINK("https://klasma.github.io/Logging_OSTERAKER/klagomålsmail/A 61724-2022.docx", "A 61724-2022")</f>
        <v/>
      </c>
      <c r="X39">
        <f>HYPERLINK("https://klasma.github.io/Logging_OSTERAKER/tillsyn/A 61724-2022.docx", "A 61724-2022")</f>
        <v/>
      </c>
      <c r="Y39">
        <f>HYPERLINK("https://klasma.github.io/Logging_OSTERAKER/tillsynsmail/A 61724-2022.docx", "A 61724-2022")</f>
        <v/>
      </c>
    </row>
    <row r="40" ht="15" customHeight="1">
      <c r="A40" t="inlineStr">
        <is>
          <t>A 16743-2023</t>
        </is>
      </c>
      <c r="B40" s="1" t="n">
        <v>45030</v>
      </c>
      <c r="C40" s="1" t="n">
        <v>45186</v>
      </c>
      <c r="D40" t="inlineStr">
        <is>
          <t>STOCKHOLMS LÄN</t>
        </is>
      </c>
      <c r="E40" t="inlineStr">
        <is>
          <t>NORRTÄLJE</t>
        </is>
      </c>
      <c r="G40" t="n">
        <v>6</v>
      </c>
      <c r="H40" t="n">
        <v>3</v>
      </c>
      <c r="I40" t="n">
        <v>6</v>
      </c>
      <c r="J40" t="n">
        <v>1</v>
      </c>
      <c r="K40" t="n">
        <v>2</v>
      </c>
      <c r="L40" t="n">
        <v>0</v>
      </c>
      <c r="M40" t="n">
        <v>0</v>
      </c>
      <c r="N40" t="n">
        <v>0</v>
      </c>
      <c r="O40" t="n">
        <v>3</v>
      </c>
      <c r="P40" t="n">
        <v>2</v>
      </c>
      <c r="Q40" t="n">
        <v>11</v>
      </c>
      <c r="R40" s="2" t="inlineStr">
        <is>
          <t>Grangråticka
Koppartaggsvamp
Granticka
Fjällig taggsvamp s.str.
Grönpyrola
Jättesvampmal
Skarp dropptaggsvamp
Skogsknipprot
Zontaggsvamp
Nattviol
Blåsippa</t>
        </is>
      </c>
      <c r="S40">
        <f>HYPERLINK("https://klasma.github.io/Logging_NORRTALJE/artfynd/A 16743-2023.xlsx", "A 16743-2023")</f>
        <v/>
      </c>
      <c r="T40">
        <f>HYPERLINK("https://klasma.github.io/Logging_NORRTALJE/kartor/A 16743-2023.png", "A 16743-2023")</f>
        <v/>
      </c>
      <c r="V40">
        <f>HYPERLINK("https://klasma.github.io/Logging_NORRTALJE/klagomål/A 16743-2023.docx", "A 16743-2023")</f>
        <v/>
      </c>
      <c r="W40">
        <f>HYPERLINK("https://klasma.github.io/Logging_NORRTALJE/klagomålsmail/A 16743-2023.docx", "A 16743-2023")</f>
        <v/>
      </c>
      <c r="X40">
        <f>HYPERLINK("https://klasma.github.io/Logging_NORRTALJE/tillsyn/A 16743-2023.docx", "A 16743-2023")</f>
        <v/>
      </c>
      <c r="Y40">
        <f>HYPERLINK("https://klasma.github.io/Logging_NORRTALJE/tillsynsmail/A 16743-2023.docx", "A 16743-2023")</f>
        <v/>
      </c>
    </row>
    <row r="41" ht="15" customHeight="1">
      <c r="A41" t="inlineStr">
        <is>
          <t>A 21999-2019</t>
        </is>
      </c>
      <c r="B41" s="1" t="n">
        <v>43584</v>
      </c>
      <c r="C41" s="1" t="n">
        <v>45186</v>
      </c>
      <c r="D41" t="inlineStr">
        <is>
          <t>STOCKHOLMS LÄN</t>
        </is>
      </c>
      <c r="E41" t="inlineStr">
        <is>
          <t>NORRTÄLJE</t>
        </is>
      </c>
      <c r="G41" t="n">
        <v>6.4</v>
      </c>
      <c r="H41" t="n">
        <v>0</v>
      </c>
      <c r="I41" t="n">
        <v>7</v>
      </c>
      <c r="J41" t="n">
        <v>3</v>
      </c>
      <c r="K41" t="n">
        <v>0</v>
      </c>
      <c r="L41" t="n">
        <v>0</v>
      </c>
      <c r="M41" t="n">
        <v>0</v>
      </c>
      <c r="N41" t="n">
        <v>0</v>
      </c>
      <c r="O41" t="n">
        <v>3</v>
      </c>
      <c r="P41" t="n">
        <v>0</v>
      </c>
      <c r="Q41" t="n">
        <v>10</v>
      </c>
      <c r="R41" s="2" t="inlineStr">
        <is>
          <t>Dofttaggsvamp
Granticka
Orange taggsvamp
Fjällig taggsvamp s.str.
Granbräken
Skarp dropptaggsvamp
Sårläka
Thomsons trägnagare
Tibast
Vårärt</t>
        </is>
      </c>
      <c r="S41">
        <f>HYPERLINK("https://klasma.github.io/Logging_NORRTALJE/artfynd/A 21999-2019.xlsx", "A 21999-2019")</f>
        <v/>
      </c>
      <c r="T41">
        <f>HYPERLINK("https://klasma.github.io/Logging_NORRTALJE/kartor/A 21999-2019.png", "A 21999-2019")</f>
        <v/>
      </c>
      <c r="V41">
        <f>HYPERLINK("https://klasma.github.io/Logging_NORRTALJE/klagomål/A 21999-2019.docx", "A 21999-2019")</f>
        <v/>
      </c>
      <c r="W41">
        <f>HYPERLINK("https://klasma.github.io/Logging_NORRTALJE/klagomålsmail/A 21999-2019.docx", "A 21999-2019")</f>
        <v/>
      </c>
      <c r="X41">
        <f>HYPERLINK("https://klasma.github.io/Logging_NORRTALJE/tillsyn/A 21999-2019.docx", "A 21999-2019")</f>
        <v/>
      </c>
      <c r="Y41">
        <f>HYPERLINK("https://klasma.github.io/Logging_NORRTALJE/tillsynsmail/A 21999-2019.docx", "A 21999-2019")</f>
        <v/>
      </c>
    </row>
    <row r="42" ht="15" customHeight="1">
      <c r="A42" t="inlineStr">
        <is>
          <t>A 27195-2019</t>
        </is>
      </c>
      <c r="B42" s="1" t="n">
        <v>43614</v>
      </c>
      <c r="C42" s="1" t="n">
        <v>45186</v>
      </c>
      <c r="D42" t="inlineStr">
        <is>
          <t>STOCKHOLMS LÄN</t>
        </is>
      </c>
      <c r="E42" t="inlineStr">
        <is>
          <t>NORRTÄLJE</t>
        </is>
      </c>
      <c r="G42" t="n">
        <v>6.8</v>
      </c>
      <c r="H42" t="n">
        <v>0</v>
      </c>
      <c r="I42" t="n">
        <v>6</v>
      </c>
      <c r="J42" t="n">
        <v>3</v>
      </c>
      <c r="K42" t="n">
        <v>1</v>
      </c>
      <c r="L42" t="n">
        <v>0</v>
      </c>
      <c r="M42" t="n">
        <v>0</v>
      </c>
      <c r="N42" t="n">
        <v>0</v>
      </c>
      <c r="O42" t="n">
        <v>4</v>
      </c>
      <c r="P42" t="n">
        <v>1</v>
      </c>
      <c r="Q42" t="n">
        <v>10</v>
      </c>
      <c r="R42" s="2" t="inlineStr">
        <is>
          <t>Violgubbe
Granticka
Gropticka
Kandelabersvamp
Barkticka
Bronshjon
Dvärgtufs
Fjällig taggsvamp s.str.
Jättesvampmal
Skarp dropptaggsvamp</t>
        </is>
      </c>
      <c r="S42">
        <f>HYPERLINK("https://klasma.github.io/Logging_NORRTALJE/artfynd/A 27195-2019.xlsx", "A 27195-2019")</f>
        <v/>
      </c>
      <c r="T42">
        <f>HYPERLINK("https://klasma.github.io/Logging_NORRTALJE/kartor/A 27195-2019.png", "A 27195-2019")</f>
        <v/>
      </c>
      <c r="V42">
        <f>HYPERLINK("https://klasma.github.io/Logging_NORRTALJE/klagomål/A 27195-2019.docx", "A 27195-2019")</f>
        <v/>
      </c>
      <c r="W42">
        <f>HYPERLINK("https://klasma.github.io/Logging_NORRTALJE/klagomålsmail/A 27195-2019.docx", "A 27195-2019")</f>
        <v/>
      </c>
      <c r="X42">
        <f>HYPERLINK("https://klasma.github.io/Logging_NORRTALJE/tillsyn/A 27195-2019.docx", "A 27195-2019")</f>
        <v/>
      </c>
      <c r="Y42">
        <f>HYPERLINK("https://klasma.github.io/Logging_NORRTALJE/tillsynsmail/A 27195-2019.docx", "A 27195-2019")</f>
        <v/>
      </c>
    </row>
    <row r="43" ht="15" customHeight="1">
      <c r="A43" t="inlineStr">
        <is>
          <t>A 43913-2021</t>
        </is>
      </c>
      <c r="B43" s="1" t="n">
        <v>44434</v>
      </c>
      <c r="C43" s="1" t="n">
        <v>45186</v>
      </c>
      <c r="D43" t="inlineStr">
        <is>
          <t>STOCKHOLMS LÄN</t>
        </is>
      </c>
      <c r="E43" t="inlineStr">
        <is>
          <t>BOTKYRKA</t>
        </is>
      </c>
      <c r="F43" t="inlineStr">
        <is>
          <t>Kommuner</t>
        </is>
      </c>
      <c r="G43" t="n">
        <v>2.8</v>
      </c>
      <c r="H43" t="n">
        <v>1</v>
      </c>
      <c r="I43" t="n">
        <v>7</v>
      </c>
      <c r="J43" t="n">
        <v>3</v>
      </c>
      <c r="K43" t="n">
        <v>0</v>
      </c>
      <c r="L43" t="n">
        <v>0</v>
      </c>
      <c r="M43" t="n">
        <v>0</v>
      </c>
      <c r="N43" t="n">
        <v>0</v>
      </c>
      <c r="O43" t="n">
        <v>3</v>
      </c>
      <c r="P43" t="n">
        <v>0</v>
      </c>
      <c r="Q43" t="n">
        <v>10</v>
      </c>
      <c r="R43" s="2" t="inlineStr">
        <is>
          <t>Blek fingersvamp
Gul taggsvamp
Tallticka
Brandticka
Dropptaggsvamp
Fjällig taggsvamp s.str.
Grovticka
Grön sköldmossa
Jättesvampmal
Trådticka</t>
        </is>
      </c>
      <c r="S43">
        <f>HYPERLINK("https://klasma.github.io/Logging_BOTKYRKA/artfynd/A 43913-2021.xlsx", "A 43913-2021")</f>
        <v/>
      </c>
      <c r="T43">
        <f>HYPERLINK("https://klasma.github.io/Logging_BOTKYRKA/kartor/A 43913-2021.png", "A 43913-2021")</f>
        <v/>
      </c>
      <c r="U43">
        <f>HYPERLINK("https://klasma.github.io/Logging_BOTKYRKA/knärot/A 43913-2021.png", "A 43913-2021")</f>
        <v/>
      </c>
      <c r="V43">
        <f>HYPERLINK("https://klasma.github.io/Logging_BOTKYRKA/klagomål/A 43913-2021.docx", "A 43913-2021")</f>
        <v/>
      </c>
      <c r="W43">
        <f>HYPERLINK("https://klasma.github.io/Logging_BOTKYRKA/klagomålsmail/A 43913-2021.docx", "A 43913-2021")</f>
        <v/>
      </c>
      <c r="X43">
        <f>HYPERLINK("https://klasma.github.io/Logging_BOTKYRKA/tillsyn/A 43913-2021.docx", "A 43913-2021")</f>
        <v/>
      </c>
      <c r="Y43">
        <f>HYPERLINK("https://klasma.github.io/Logging_BOTKYRKA/tillsynsmail/A 43913-2021.docx", "A 43913-2021")</f>
        <v/>
      </c>
    </row>
    <row r="44" ht="15" customHeight="1">
      <c r="A44" t="inlineStr">
        <is>
          <t>A 67894-2021</t>
        </is>
      </c>
      <c r="B44" s="1" t="n">
        <v>44525</v>
      </c>
      <c r="C44" s="1" t="n">
        <v>45186</v>
      </c>
      <c r="D44" t="inlineStr">
        <is>
          <t>STOCKHOLMS LÄN</t>
        </is>
      </c>
      <c r="E44" t="inlineStr">
        <is>
          <t>HANINGE</t>
        </is>
      </c>
      <c r="G44" t="n">
        <v>5.1</v>
      </c>
      <c r="H44" t="n">
        <v>2</v>
      </c>
      <c r="I44" t="n">
        <v>4</v>
      </c>
      <c r="J44" t="n">
        <v>6</v>
      </c>
      <c r="K44" t="n">
        <v>0</v>
      </c>
      <c r="L44" t="n">
        <v>0</v>
      </c>
      <c r="M44" t="n">
        <v>0</v>
      </c>
      <c r="N44" t="n">
        <v>0</v>
      </c>
      <c r="O44" t="n">
        <v>6</v>
      </c>
      <c r="P44" t="n">
        <v>0</v>
      </c>
      <c r="Q44" t="n">
        <v>10</v>
      </c>
      <c r="R44" s="2" t="inlineStr">
        <is>
          <t>Grönhjon
Kortskaftad ärgspik
Reliktbock
Spillkråka
Tallticka
Ullticka
Bronshjon
Grovticka
Grön sköldmossa
Stor revmossa</t>
        </is>
      </c>
      <c r="S44">
        <f>HYPERLINK("https://klasma.github.io/Logging_HANINGE/artfynd/A 67894-2021.xlsx", "A 67894-2021")</f>
        <v/>
      </c>
      <c r="T44">
        <f>HYPERLINK("https://klasma.github.io/Logging_HANINGE/kartor/A 67894-2021.png", "A 67894-2021")</f>
        <v/>
      </c>
      <c r="V44">
        <f>HYPERLINK("https://klasma.github.io/Logging_HANINGE/klagomål/A 67894-2021.docx", "A 67894-2021")</f>
        <v/>
      </c>
      <c r="W44">
        <f>HYPERLINK("https://klasma.github.io/Logging_HANINGE/klagomålsmail/A 67894-2021.docx", "A 67894-2021")</f>
        <v/>
      </c>
      <c r="X44">
        <f>HYPERLINK("https://klasma.github.io/Logging_HANINGE/tillsyn/A 67894-2021.docx", "A 67894-2021")</f>
        <v/>
      </c>
      <c r="Y44">
        <f>HYPERLINK("https://klasma.github.io/Logging_HANINGE/tillsynsmail/A 67894-2021.docx", "A 67894-2021")</f>
        <v/>
      </c>
    </row>
    <row r="45" ht="15" customHeight="1">
      <c r="A45" t="inlineStr">
        <is>
          <t>A 4262-2023</t>
        </is>
      </c>
      <c r="B45" s="1" t="n">
        <v>44953</v>
      </c>
      <c r="C45" s="1" t="n">
        <v>45186</v>
      </c>
      <c r="D45" t="inlineStr">
        <is>
          <t>STOCKHOLMS LÄN</t>
        </is>
      </c>
      <c r="E45" t="inlineStr">
        <is>
          <t>NORRTÄLJE</t>
        </is>
      </c>
      <c r="G45" t="n">
        <v>8.699999999999999</v>
      </c>
      <c r="H45" t="n">
        <v>0</v>
      </c>
      <c r="I45" t="n">
        <v>9</v>
      </c>
      <c r="J45" t="n">
        <v>0</v>
      </c>
      <c r="K45" t="n">
        <v>1</v>
      </c>
      <c r="L45" t="n">
        <v>0</v>
      </c>
      <c r="M45" t="n">
        <v>0</v>
      </c>
      <c r="N45" t="n">
        <v>0</v>
      </c>
      <c r="O45" t="n">
        <v>1</v>
      </c>
      <c r="P45" t="n">
        <v>1</v>
      </c>
      <c r="Q45" t="n">
        <v>10</v>
      </c>
      <c r="R45" s="2" t="inlineStr">
        <is>
          <t>Grangråticka
Dofttråding
Fjällig taggsvamp s.str.
Guldkremla
Kryddspindling
Olivspindling
Rödgul trumpetsvamp
Skarp dropptaggsvamp
Strimspindling
Svavelriska</t>
        </is>
      </c>
      <c r="S45">
        <f>HYPERLINK("https://klasma.github.io/Logging_NORRTALJE/artfynd/A 4262-2023.xlsx", "A 4262-2023")</f>
        <v/>
      </c>
      <c r="T45">
        <f>HYPERLINK("https://klasma.github.io/Logging_NORRTALJE/kartor/A 4262-2023.png", "A 4262-2023")</f>
        <v/>
      </c>
      <c r="V45">
        <f>HYPERLINK("https://klasma.github.io/Logging_NORRTALJE/klagomål/A 4262-2023.docx", "A 4262-2023")</f>
        <v/>
      </c>
      <c r="W45">
        <f>HYPERLINK("https://klasma.github.io/Logging_NORRTALJE/klagomålsmail/A 4262-2023.docx", "A 4262-2023")</f>
        <v/>
      </c>
      <c r="X45">
        <f>HYPERLINK("https://klasma.github.io/Logging_NORRTALJE/tillsyn/A 4262-2023.docx", "A 4262-2023")</f>
        <v/>
      </c>
      <c r="Y45">
        <f>HYPERLINK("https://klasma.github.io/Logging_NORRTALJE/tillsynsmail/A 4262-2023.docx", "A 4262-2023")</f>
        <v/>
      </c>
    </row>
    <row r="46" ht="15" customHeight="1">
      <c r="A46" t="inlineStr">
        <is>
          <t>A 15265-2023</t>
        </is>
      </c>
      <c r="B46" s="1" t="n">
        <v>45019</v>
      </c>
      <c r="C46" s="1" t="n">
        <v>45186</v>
      </c>
      <c r="D46" t="inlineStr">
        <is>
          <t>STOCKHOLMS LÄN</t>
        </is>
      </c>
      <c r="E46" t="inlineStr">
        <is>
          <t>VALLENTUNA</t>
        </is>
      </c>
      <c r="G46" t="n">
        <v>4.2</v>
      </c>
      <c r="H46" t="n">
        <v>3</v>
      </c>
      <c r="I46" t="n">
        <v>5</v>
      </c>
      <c r="J46" t="n">
        <v>4</v>
      </c>
      <c r="K46" t="n">
        <v>0</v>
      </c>
      <c r="L46" t="n">
        <v>0</v>
      </c>
      <c r="M46" t="n">
        <v>0</v>
      </c>
      <c r="N46" t="n">
        <v>0</v>
      </c>
      <c r="O46" t="n">
        <v>4</v>
      </c>
      <c r="P46" t="n">
        <v>0</v>
      </c>
      <c r="Q46" t="n">
        <v>10</v>
      </c>
      <c r="R46" s="2" t="inlineStr">
        <is>
          <t>Asppraktbagge
Gullklöver
Mindre bastardsvärmare
Spillkråka
Ljus vedstrit
Skogsknipprot
Spindelbock
Stekelbock
Tibast
Skogsödla</t>
        </is>
      </c>
      <c r="S46">
        <f>HYPERLINK("https://klasma.github.io/Logging_VALLENTUNA/artfynd/A 15265-2023.xlsx", "A 15265-2023")</f>
        <v/>
      </c>
      <c r="T46">
        <f>HYPERLINK("https://klasma.github.io/Logging_VALLENTUNA/kartor/A 15265-2023.png", "A 15265-2023")</f>
        <v/>
      </c>
      <c r="V46">
        <f>HYPERLINK("https://klasma.github.io/Logging_VALLENTUNA/klagomål/A 15265-2023.docx", "A 15265-2023")</f>
        <v/>
      </c>
      <c r="W46">
        <f>HYPERLINK("https://klasma.github.io/Logging_VALLENTUNA/klagomålsmail/A 15265-2023.docx", "A 15265-2023")</f>
        <v/>
      </c>
      <c r="X46">
        <f>HYPERLINK("https://klasma.github.io/Logging_VALLENTUNA/tillsyn/A 15265-2023.docx", "A 15265-2023")</f>
        <v/>
      </c>
      <c r="Y46">
        <f>HYPERLINK("https://klasma.github.io/Logging_VALLENTUNA/tillsynsmail/A 15265-2023.docx", "A 15265-2023")</f>
        <v/>
      </c>
    </row>
    <row r="47" ht="15" customHeight="1">
      <c r="A47" t="inlineStr">
        <is>
          <t>A 4801-2019</t>
        </is>
      </c>
      <c r="B47" s="1" t="n">
        <v>43486</v>
      </c>
      <c r="C47" s="1" t="n">
        <v>45186</v>
      </c>
      <c r="D47" t="inlineStr">
        <is>
          <t>STOCKHOLMS LÄN</t>
        </is>
      </c>
      <c r="E47" t="inlineStr">
        <is>
          <t>SIGTUNA</t>
        </is>
      </c>
      <c r="G47" t="n">
        <v>1.4</v>
      </c>
      <c r="H47" t="n">
        <v>0</v>
      </c>
      <c r="I47" t="n">
        <v>4</v>
      </c>
      <c r="J47" t="n">
        <v>3</v>
      </c>
      <c r="K47" t="n">
        <v>2</v>
      </c>
      <c r="L47" t="n">
        <v>0</v>
      </c>
      <c r="M47" t="n">
        <v>0</v>
      </c>
      <c r="N47" t="n">
        <v>0</v>
      </c>
      <c r="O47" t="n">
        <v>5</v>
      </c>
      <c r="P47" t="n">
        <v>2</v>
      </c>
      <c r="Q47" t="n">
        <v>9</v>
      </c>
      <c r="R47" s="2" t="inlineStr">
        <is>
          <t>Gyllenfingersvamp
Läderdoftande fingersvamp
Blå taggsvamp
Gultoppig fingersvamp
Tallticka
Granriska
Kryddspindling
Stubbspretmossa
Svavelriska</t>
        </is>
      </c>
      <c r="S47">
        <f>HYPERLINK("https://klasma.github.io/Logging_SIGTUNA/artfynd/A 4801-2019.xlsx", "A 4801-2019")</f>
        <v/>
      </c>
      <c r="T47">
        <f>HYPERLINK("https://klasma.github.io/Logging_SIGTUNA/kartor/A 4801-2019.png", "A 4801-2019")</f>
        <v/>
      </c>
      <c r="V47">
        <f>HYPERLINK("https://klasma.github.io/Logging_SIGTUNA/klagomål/A 4801-2019.docx", "A 4801-2019")</f>
        <v/>
      </c>
      <c r="W47">
        <f>HYPERLINK("https://klasma.github.io/Logging_SIGTUNA/klagomålsmail/A 4801-2019.docx", "A 4801-2019")</f>
        <v/>
      </c>
      <c r="X47">
        <f>HYPERLINK("https://klasma.github.io/Logging_SIGTUNA/tillsyn/A 4801-2019.docx", "A 4801-2019")</f>
        <v/>
      </c>
      <c r="Y47">
        <f>HYPERLINK("https://klasma.github.io/Logging_SIGTUNA/tillsynsmail/A 4801-2019.docx", "A 4801-2019")</f>
        <v/>
      </c>
    </row>
    <row r="48" ht="15" customHeight="1">
      <c r="A48" t="inlineStr">
        <is>
          <t>A 20632-2019</t>
        </is>
      </c>
      <c r="B48" s="1" t="n">
        <v>43572</v>
      </c>
      <c r="C48" s="1" t="n">
        <v>45186</v>
      </c>
      <c r="D48" t="inlineStr">
        <is>
          <t>STOCKHOLMS LÄN</t>
        </is>
      </c>
      <c r="E48" t="inlineStr">
        <is>
          <t>NORRTÄLJE</t>
        </is>
      </c>
      <c r="G48" t="n">
        <v>6.2</v>
      </c>
      <c r="H48" t="n">
        <v>2</v>
      </c>
      <c r="I48" t="n">
        <v>4</v>
      </c>
      <c r="J48" t="n">
        <v>1</v>
      </c>
      <c r="K48" t="n">
        <v>0</v>
      </c>
      <c r="L48" t="n">
        <v>2</v>
      </c>
      <c r="M48" t="n">
        <v>0</v>
      </c>
      <c r="N48" t="n">
        <v>0</v>
      </c>
      <c r="O48" t="n">
        <v>3</v>
      </c>
      <c r="P48" t="n">
        <v>2</v>
      </c>
      <c r="Q48" t="n">
        <v>9</v>
      </c>
      <c r="R48" s="2" t="inlineStr">
        <is>
          <t>Ask
Fältgentiana
Slåtterfibbla
Svart trolldruva
Tibast
Underviol
Vårärt
Nattviol
Blåsippa</t>
        </is>
      </c>
      <c r="S48">
        <f>HYPERLINK("https://klasma.github.io/Logging_NORRTALJE/artfynd/A 20632-2019.xlsx", "A 20632-2019")</f>
        <v/>
      </c>
      <c r="T48">
        <f>HYPERLINK("https://klasma.github.io/Logging_NORRTALJE/kartor/A 20632-2019.png", "A 20632-2019")</f>
        <v/>
      </c>
      <c r="V48">
        <f>HYPERLINK("https://klasma.github.io/Logging_NORRTALJE/klagomål/A 20632-2019.docx", "A 20632-2019")</f>
        <v/>
      </c>
      <c r="W48">
        <f>HYPERLINK("https://klasma.github.io/Logging_NORRTALJE/klagomålsmail/A 20632-2019.docx", "A 20632-2019")</f>
        <v/>
      </c>
      <c r="X48">
        <f>HYPERLINK("https://klasma.github.io/Logging_NORRTALJE/tillsyn/A 20632-2019.docx", "A 20632-2019")</f>
        <v/>
      </c>
      <c r="Y48">
        <f>HYPERLINK("https://klasma.github.io/Logging_NORRTALJE/tillsynsmail/A 20632-2019.docx", "A 20632-2019")</f>
        <v/>
      </c>
    </row>
    <row r="49" ht="15" customHeight="1">
      <c r="A49" t="inlineStr">
        <is>
          <t>A 11231-2021</t>
        </is>
      </c>
      <c r="B49" s="1" t="n">
        <v>44263</v>
      </c>
      <c r="C49" s="1" t="n">
        <v>45186</v>
      </c>
      <c r="D49" t="inlineStr">
        <is>
          <t>STOCKHOLMS LÄN</t>
        </is>
      </c>
      <c r="E49" t="inlineStr">
        <is>
          <t>NORRTÄLJE</t>
        </is>
      </c>
      <c r="F49" t="inlineStr">
        <is>
          <t>Holmen skog AB</t>
        </is>
      </c>
      <c r="G49" t="n">
        <v>12</v>
      </c>
      <c r="H49" t="n">
        <v>5</v>
      </c>
      <c r="I49" t="n">
        <v>2</v>
      </c>
      <c r="J49" t="n">
        <v>5</v>
      </c>
      <c r="K49" t="n">
        <v>0</v>
      </c>
      <c r="L49" t="n">
        <v>2</v>
      </c>
      <c r="M49" t="n">
        <v>0</v>
      </c>
      <c r="N49" t="n">
        <v>0</v>
      </c>
      <c r="O49" t="n">
        <v>7</v>
      </c>
      <c r="P49" t="n">
        <v>2</v>
      </c>
      <c r="Q49" t="n">
        <v>9</v>
      </c>
      <c r="R49" s="2" t="inlineStr">
        <is>
          <t>Grönfink
Tornseglare
Fiskmås
Havsörn
Motaggsvamp
Talltita
Vedskivlav
Björksplintborre
Dropptaggsvamp</t>
        </is>
      </c>
      <c r="S49">
        <f>HYPERLINK("https://klasma.github.io/Logging_NORRTALJE/artfynd/A 11231-2021.xlsx", "A 11231-2021")</f>
        <v/>
      </c>
      <c r="T49">
        <f>HYPERLINK("https://klasma.github.io/Logging_NORRTALJE/kartor/A 11231-2021.png", "A 11231-2021")</f>
        <v/>
      </c>
      <c r="V49">
        <f>HYPERLINK("https://klasma.github.io/Logging_NORRTALJE/klagomål/A 11231-2021.docx", "A 11231-2021")</f>
        <v/>
      </c>
      <c r="W49">
        <f>HYPERLINK("https://klasma.github.io/Logging_NORRTALJE/klagomålsmail/A 11231-2021.docx", "A 11231-2021")</f>
        <v/>
      </c>
      <c r="X49">
        <f>HYPERLINK("https://klasma.github.io/Logging_NORRTALJE/tillsyn/A 11231-2021.docx", "A 11231-2021")</f>
        <v/>
      </c>
      <c r="Y49">
        <f>HYPERLINK("https://klasma.github.io/Logging_NORRTALJE/tillsynsmail/A 11231-2021.docx", "A 11231-2021")</f>
        <v/>
      </c>
    </row>
    <row r="50" ht="15" customHeight="1">
      <c r="A50" t="inlineStr">
        <is>
          <t>A 31366-2021</t>
        </is>
      </c>
      <c r="B50" s="1" t="n">
        <v>44368</v>
      </c>
      <c r="C50" s="1" t="n">
        <v>45186</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HYPERLINK("https://klasma.github.io/Logging_UPPLANDS-BRO/artfynd/A 31366-2021.xlsx", "A 31366-2021")</f>
        <v/>
      </c>
      <c r="T50">
        <f>HYPERLINK("https://klasma.github.io/Logging_UPPLANDS-BRO/kartor/A 31366-2021.png", "A 31366-2021")</f>
        <v/>
      </c>
      <c r="V50">
        <f>HYPERLINK("https://klasma.github.io/Logging_UPPLANDS-BRO/klagomål/A 31366-2021.docx", "A 31366-2021")</f>
        <v/>
      </c>
      <c r="W50">
        <f>HYPERLINK("https://klasma.github.io/Logging_UPPLANDS-BRO/klagomålsmail/A 31366-2021.docx", "A 31366-2021")</f>
        <v/>
      </c>
      <c r="X50">
        <f>HYPERLINK("https://klasma.github.io/Logging_UPPLANDS-BRO/tillsyn/A 31366-2021.docx", "A 31366-2021")</f>
        <v/>
      </c>
      <c r="Y50">
        <f>HYPERLINK("https://klasma.github.io/Logging_UPPLANDS-BRO/tillsynsmail/A 31366-2021.docx", "A 31366-2021")</f>
        <v/>
      </c>
    </row>
    <row r="51" ht="15" customHeight="1">
      <c r="A51" t="inlineStr">
        <is>
          <t>A 52815-2021</t>
        </is>
      </c>
      <c r="B51" s="1" t="n">
        <v>44467</v>
      </c>
      <c r="C51" s="1" t="n">
        <v>45186</v>
      </c>
      <c r="D51" t="inlineStr">
        <is>
          <t>STOCKHOLMS LÄN</t>
        </is>
      </c>
      <c r="E51" t="inlineStr">
        <is>
          <t>NORRTÄLJE</t>
        </is>
      </c>
      <c r="G51" t="n">
        <v>2.8</v>
      </c>
      <c r="H51" t="n">
        <v>0</v>
      </c>
      <c r="I51" t="n">
        <v>2</v>
      </c>
      <c r="J51" t="n">
        <v>2</v>
      </c>
      <c r="K51" t="n">
        <v>4</v>
      </c>
      <c r="L51" t="n">
        <v>1</v>
      </c>
      <c r="M51" t="n">
        <v>0</v>
      </c>
      <c r="N51" t="n">
        <v>0</v>
      </c>
      <c r="O51" t="n">
        <v>7</v>
      </c>
      <c r="P51" t="n">
        <v>5</v>
      </c>
      <c r="Q51" t="n">
        <v>9</v>
      </c>
      <c r="R51" s="2" t="inlineStr">
        <is>
          <t>Raggtaggsvamp
Gul lammticka
Koppartaggsvamp
Spricktaggsvamp
Svartfjällig musseron
Bittermusseron
Flattoppad klubbsvamp
Diskvaxskivling
Fjällig taggsvamp s.str.</t>
        </is>
      </c>
      <c r="S51">
        <f>HYPERLINK("https://klasma.github.io/Logging_NORRTALJE/artfynd/A 52815-2021.xlsx", "A 52815-2021")</f>
        <v/>
      </c>
      <c r="T51">
        <f>HYPERLINK("https://klasma.github.io/Logging_NORRTALJE/kartor/A 52815-2021.png", "A 52815-2021")</f>
        <v/>
      </c>
      <c r="V51">
        <f>HYPERLINK("https://klasma.github.io/Logging_NORRTALJE/klagomål/A 52815-2021.docx", "A 52815-2021")</f>
        <v/>
      </c>
      <c r="W51">
        <f>HYPERLINK("https://klasma.github.io/Logging_NORRTALJE/klagomålsmail/A 52815-2021.docx", "A 52815-2021")</f>
        <v/>
      </c>
      <c r="X51">
        <f>HYPERLINK("https://klasma.github.io/Logging_NORRTALJE/tillsyn/A 52815-2021.docx", "A 52815-2021")</f>
        <v/>
      </c>
      <c r="Y51">
        <f>HYPERLINK("https://klasma.github.io/Logging_NORRTALJE/tillsynsmail/A 52815-2021.docx", "A 52815-2021")</f>
        <v/>
      </c>
    </row>
    <row r="52" ht="15" customHeight="1">
      <c r="A52" t="inlineStr">
        <is>
          <t>A 4779-2019</t>
        </is>
      </c>
      <c r="B52" s="1" t="n">
        <v>43486</v>
      </c>
      <c r="C52" s="1" t="n">
        <v>45186</v>
      </c>
      <c r="D52" t="inlineStr">
        <is>
          <t>STOCKHOLMS LÄN</t>
        </is>
      </c>
      <c r="E52" t="inlineStr">
        <is>
          <t>VÄRMDÖ</t>
        </is>
      </c>
      <c r="F52" t="inlineStr">
        <is>
          <t>Övriga Aktiebolag</t>
        </is>
      </c>
      <c r="G52" t="n">
        <v>8.800000000000001</v>
      </c>
      <c r="H52" t="n">
        <v>4</v>
      </c>
      <c r="I52" t="n">
        <v>5</v>
      </c>
      <c r="J52" t="n">
        <v>2</v>
      </c>
      <c r="K52" t="n">
        <v>0</v>
      </c>
      <c r="L52" t="n">
        <v>0</v>
      </c>
      <c r="M52" t="n">
        <v>0</v>
      </c>
      <c r="N52" t="n">
        <v>0</v>
      </c>
      <c r="O52" t="n">
        <v>2</v>
      </c>
      <c r="P52" t="n">
        <v>0</v>
      </c>
      <c r="Q52" t="n">
        <v>8</v>
      </c>
      <c r="R52" s="2" t="inlineStr">
        <is>
          <t>Duvhök
Fyrflikig jordstjärna
Grovticka
Grön sköldmossa
Guldlockmossa
Skogsknipprot
Stor aspticka
Vanlig groda</t>
        </is>
      </c>
      <c r="S52">
        <f>HYPERLINK("https://klasma.github.io/Logging_VARMDO/artfynd/A 4779-2019.xlsx", "A 4779-2019")</f>
        <v/>
      </c>
      <c r="T52">
        <f>HYPERLINK("https://klasma.github.io/Logging_VARMDO/kartor/A 4779-2019.png", "A 4779-2019")</f>
        <v/>
      </c>
      <c r="V52">
        <f>HYPERLINK("https://klasma.github.io/Logging_VARMDO/klagomål/A 4779-2019.docx", "A 4779-2019")</f>
        <v/>
      </c>
      <c r="W52">
        <f>HYPERLINK("https://klasma.github.io/Logging_VARMDO/klagomålsmail/A 4779-2019.docx", "A 4779-2019")</f>
        <v/>
      </c>
      <c r="X52">
        <f>HYPERLINK("https://klasma.github.io/Logging_VARMDO/tillsyn/A 4779-2019.docx", "A 4779-2019")</f>
        <v/>
      </c>
      <c r="Y52">
        <f>HYPERLINK("https://klasma.github.io/Logging_VARMDO/tillsynsmail/A 4779-2019.docx", "A 4779-2019")</f>
        <v/>
      </c>
    </row>
    <row r="53" ht="15" customHeight="1">
      <c r="A53" t="inlineStr">
        <is>
          <t>A 9148-2020</t>
        </is>
      </c>
      <c r="B53" s="1" t="n">
        <v>43879</v>
      </c>
      <c r="C53" s="1" t="n">
        <v>45186</v>
      </c>
      <c r="D53" t="inlineStr">
        <is>
          <t>STOCKHOLMS LÄN</t>
        </is>
      </c>
      <c r="E53" t="inlineStr">
        <is>
          <t>SALEM</t>
        </is>
      </c>
      <c r="F53" t="inlineStr">
        <is>
          <t>Kommuner</t>
        </is>
      </c>
      <c r="G53" t="n">
        <v>2.1</v>
      </c>
      <c r="H53" t="n">
        <v>1</v>
      </c>
      <c r="I53" t="n">
        <v>6</v>
      </c>
      <c r="J53" t="n">
        <v>2</v>
      </c>
      <c r="K53" t="n">
        <v>0</v>
      </c>
      <c r="L53" t="n">
        <v>0</v>
      </c>
      <c r="M53" t="n">
        <v>0</v>
      </c>
      <c r="N53" t="n">
        <v>0</v>
      </c>
      <c r="O53" t="n">
        <v>2</v>
      </c>
      <c r="P53" t="n">
        <v>0</v>
      </c>
      <c r="Q53" t="n">
        <v>8</v>
      </c>
      <c r="R53" s="2" t="inlineStr">
        <is>
          <t>Granticka
Kandelabersvamp
Bronshjon
Fjällig taggsvamp s.str.
Grovticka
Grön sköldmossa
Hasselticka
Skarp dropptaggsvamp</t>
        </is>
      </c>
      <c r="S53">
        <f>HYPERLINK("https://klasma.github.io/Logging_SALEM/artfynd/A 9148-2020.xlsx", "A 9148-2020")</f>
        <v/>
      </c>
      <c r="T53">
        <f>HYPERLINK("https://klasma.github.io/Logging_SALEM/kartor/A 9148-2020.png", "A 9148-2020")</f>
        <v/>
      </c>
      <c r="V53">
        <f>HYPERLINK("https://klasma.github.io/Logging_SALEM/klagomål/A 9148-2020.docx", "A 9148-2020")</f>
        <v/>
      </c>
      <c r="W53">
        <f>HYPERLINK("https://klasma.github.io/Logging_SALEM/klagomålsmail/A 9148-2020.docx", "A 9148-2020")</f>
        <v/>
      </c>
      <c r="X53">
        <f>HYPERLINK("https://klasma.github.io/Logging_SALEM/tillsyn/A 9148-2020.docx", "A 9148-2020")</f>
        <v/>
      </c>
      <c r="Y53">
        <f>HYPERLINK("https://klasma.github.io/Logging_SALEM/tillsynsmail/A 9148-2020.docx", "A 9148-2020")</f>
        <v/>
      </c>
    </row>
    <row r="54" ht="15" customHeight="1">
      <c r="A54" t="inlineStr">
        <is>
          <t>A 27838-2021</t>
        </is>
      </c>
      <c r="B54" s="1" t="n">
        <v>44354</v>
      </c>
      <c r="C54" s="1" t="n">
        <v>45186</v>
      </c>
      <c r="D54" t="inlineStr">
        <is>
          <t>STOCKHOLMS LÄN</t>
        </is>
      </c>
      <c r="E54" t="inlineStr">
        <is>
          <t>SÖDERTÄLJE</t>
        </is>
      </c>
      <c r="F54" t="inlineStr">
        <is>
          <t>Sveaskog</t>
        </is>
      </c>
      <c r="G54" t="n">
        <v>3.8</v>
      </c>
      <c r="H54" t="n">
        <v>1</v>
      </c>
      <c r="I54" t="n">
        <v>5</v>
      </c>
      <c r="J54" t="n">
        <v>3</v>
      </c>
      <c r="K54" t="n">
        <v>0</v>
      </c>
      <c r="L54" t="n">
        <v>0</v>
      </c>
      <c r="M54" t="n">
        <v>0</v>
      </c>
      <c r="N54" t="n">
        <v>0</v>
      </c>
      <c r="O54" t="n">
        <v>3</v>
      </c>
      <c r="P54" t="n">
        <v>0</v>
      </c>
      <c r="Q54" t="n">
        <v>8</v>
      </c>
      <c r="R54" s="2" t="inlineStr">
        <is>
          <t>Ekticka
Kortskaftad ärgspik
Rödbrun blekspik
Grön sköldmossa
Guldlockmossa
Kornig nållav
Rostfläck
Vätteros</t>
        </is>
      </c>
      <c r="S54">
        <f>HYPERLINK("https://klasma.github.io/Logging_SODERTALJE/artfynd/A 27838-2021.xlsx", "A 27838-2021")</f>
        <v/>
      </c>
      <c r="T54">
        <f>HYPERLINK("https://klasma.github.io/Logging_SODERTALJE/kartor/A 27838-2021.png", "A 27838-2021")</f>
        <v/>
      </c>
      <c r="V54">
        <f>HYPERLINK("https://klasma.github.io/Logging_SODERTALJE/klagomål/A 27838-2021.docx", "A 27838-2021")</f>
        <v/>
      </c>
      <c r="W54">
        <f>HYPERLINK("https://klasma.github.io/Logging_SODERTALJE/klagomålsmail/A 27838-2021.docx", "A 27838-2021")</f>
        <v/>
      </c>
      <c r="X54">
        <f>HYPERLINK("https://klasma.github.io/Logging_SODERTALJE/tillsyn/A 27838-2021.docx", "A 27838-2021")</f>
        <v/>
      </c>
      <c r="Y54">
        <f>HYPERLINK("https://klasma.github.io/Logging_SODERTALJE/tillsynsmail/A 27838-2021.docx", "A 27838-2021")</f>
        <v/>
      </c>
    </row>
    <row r="55" ht="15" customHeight="1">
      <c r="A55" t="inlineStr">
        <is>
          <t>A 29817-2021</t>
        </is>
      </c>
      <c r="B55" s="1" t="n">
        <v>44362</v>
      </c>
      <c r="C55" s="1" t="n">
        <v>45186</v>
      </c>
      <c r="D55" t="inlineStr">
        <is>
          <t>STOCKHOLMS LÄN</t>
        </is>
      </c>
      <c r="E55" t="inlineStr">
        <is>
          <t>VÄRMDÖ</t>
        </is>
      </c>
      <c r="F55" t="inlineStr">
        <is>
          <t>Övriga Aktiebolag</t>
        </is>
      </c>
      <c r="G55" t="n">
        <v>5</v>
      </c>
      <c r="H55" t="n">
        <v>2</v>
      </c>
      <c r="I55" t="n">
        <v>4</v>
      </c>
      <c r="J55" t="n">
        <v>2</v>
      </c>
      <c r="K55" t="n">
        <v>0</v>
      </c>
      <c r="L55" t="n">
        <v>1</v>
      </c>
      <c r="M55" t="n">
        <v>0</v>
      </c>
      <c r="N55" t="n">
        <v>0</v>
      </c>
      <c r="O55" t="n">
        <v>3</v>
      </c>
      <c r="P55" t="n">
        <v>1</v>
      </c>
      <c r="Q55" t="n">
        <v>8</v>
      </c>
      <c r="R55" s="2" t="inlineStr">
        <is>
          <t>Ryl
Svartvit flugsnappare
Tallticka
Granbarkgnagare
Grovticka
Myskbock
Stubbspretmossa
Blåsippa</t>
        </is>
      </c>
      <c r="S55">
        <f>HYPERLINK("https://klasma.github.io/Logging_VARMDO/artfynd/A 29817-2021.xlsx", "A 29817-2021")</f>
        <v/>
      </c>
      <c r="T55">
        <f>HYPERLINK("https://klasma.github.io/Logging_VARMDO/kartor/A 29817-2021.png", "A 29817-2021")</f>
        <v/>
      </c>
      <c r="V55">
        <f>HYPERLINK("https://klasma.github.io/Logging_VARMDO/klagomål/A 29817-2021.docx", "A 29817-2021")</f>
        <v/>
      </c>
      <c r="W55">
        <f>HYPERLINK("https://klasma.github.io/Logging_VARMDO/klagomålsmail/A 29817-2021.docx", "A 29817-2021")</f>
        <v/>
      </c>
      <c r="X55">
        <f>HYPERLINK("https://klasma.github.io/Logging_VARMDO/tillsyn/A 29817-2021.docx", "A 29817-2021")</f>
        <v/>
      </c>
      <c r="Y55">
        <f>HYPERLINK("https://klasma.github.io/Logging_VARMDO/tillsynsmail/A 29817-2021.docx", "A 29817-2021")</f>
        <v/>
      </c>
    </row>
    <row r="56" ht="15" customHeight="1">
      <c r="A56" t="inlineStr">
        <is>
          <t>A 25512-2022</t>
        </is>
      </c>
      <c r="B56" s="1" t="n">
        <v>44732</v>
      </c>
      <c r="C56" s="1" t="n">
        <v>45186</v>
      </c>
      <c r="D56" t="inlineStr">
        <is>
          <t>STOCKHOLMS LÄN</t>
        </is>
      </c>
      <c r="E56" t="inlineStr">
        <is>
          <t>VALLENTUNA</t>
        </is>
      </c>
      <c r="G56" t="n">
        <v>13.8</v>
      </c>
      <c r="H56" t="n">
        <v>0</v>
      </c>
      <c r="I56" t="n">
        <v>5</v>
      </c>
      <c r="J56" t="n">
        <v>3</v>
      </c>
      <c r="K56" t="n">
        <v>0</v>
      </c>
      <c r="L56" t="n">
        <v>0</v>
      </c>
      <c r="M56" t="n">
        <v>0</v>
      </c>
      <c r="N56" t="n">
        <v>0</v>
      </c>
      <c r="O56" t="n">
        <v>3</v>
      </c>
      <c r="P56" t="n">
        <v>0</v>
      </c>
      <c r="Q56" t="n">
        <v>8</v>
      </c>
      <c r="R56" s="2" t="inlineStr">
        <is>
          <t>Granticka
Gränsticka
Orange taggsvamp
Fjällig taggsvamp s.str.
Gullgröppa
Rödgul trumpetsvamp
Skarp dropptaggsvamp
Vedticka</t>
        </is>
      </c>
      <c r="S56">
        <f>HYPERLINK("https://klasma.github.io/Logging_VALLENTUNA/artfynd/A 25512-2022.xlsx", "A 25512-2022")</f>
        <v/>
      </c>
      <c r="T56">
        <f>HYPERLINK("https://klasma.github.io/Logging_VALLENTUNA/kartor/A 25512-2022.png", "A 25512-2022")</f>
        <v/>
      </c>
      <c r="V56">
        <f>HYPERLINK("https://klasma.github.io/Logging_VALLENTUNA/klagomål/A 25512-2022.docx", "A 25512-2022")</f>
        <v/>
      </c>
      <c r="W56">
        <f>HYPERLINK("https://klasma.github.io/Logging_VALLENTUNA/klagomålsmail/A 25512-2022.docx", "A 25512-2022")</f>
        <v/>
      </c>
      <c r="X56">
        <f>HYPERLINK("https://klasma.github.io/Logging_VALLENTUNA/tillsyn/A 25512-2022.docx", "A 25512-2022")</f>
        <v/>
      </c>
      <c r="Y56">
        <f>HYPERLINK("https://klasma.github.io/Logging_VALLENTUNA/tillsynsmail/A 25512-2022.docx", "A 25512-2022")</f>
        <v/>
      </c>
    </row>
    <row r="57" ht="15" customHeight="1">
      <c r="A57" t="inlineStr">
        <is>
          <t>A 48658-2022</t>
        </is>
      </c>
      <c r="B57" s="1" t="n">
        <v>44859</v>
      </c>
      <c r="C57" s="1" t="n">
        <v>45186</v>
      </c>
      <c r="D57" t="inlineStr">
        <is>
          <t>STOCKHOLMS LÄN</t>
        </is>
      </c>
      <c r="E57" t="inlineStr">
        <is>
          <t>VÄRMDÖ</t>
        </is>
      </c>
      <c r="G57" t="n">
        <v>8.1</v>
      </c>
      <c r="H57" t="n">
        <v>0</v>
      </c>
      <c r="I57" t="n">
        <v>5</v>
      </c>
      <c r="J57" t="n">
        <v>3</v>
      </c>
      <c r="K57" t="n">
        <v>0</v>
      </c>
      <c r="L57" t="n">
        <v>0</v>
      </c>
      <c r="M57" t="n">
        <v>0</v>
      </c>
      <c r="N57" t="n">
        <v>0</v>
      </c>
      <c r="O57" t="n">
        <v>3</v>
      </c>
      <c r="P57" t="n">
        <v>0</v>
      </c>
      <c r="Q57" t="n">
        <v>8</v>
      </c>
      <c r="R57" s="2" t="inlineStr">
        <is>
          <t>Rosenticka
Tallticka
Ullticka
Blåmossa
Bronshjon
Flagellkvastmossa
Kattfotslav
Rödgul trumpetsvamp</t>
        </is>
      </c>
      <c r="S57">
        <f>HYPERLINK("https://klasma.github.io/Logging_VARMDO/artfynd/A 48658-2022.xlsx", "A 48658-2022")</f>
        <v/>
      </c>
      <c r="T57">
        <f>HYPERLINK("https://klasma.github.io/Logging_VARMDO/kartor/A 48658-2022.png", "A 48658-2022")</f>
        <v/>
      </c>
      <c r="V57">
        <f>HYPERLINK("https://klasma.github.io/Logging_VARMDO/klagomål/A 48658-2022.docx", "A 48658-2022")</f>
        <v/>
      </c>
      <c r="W57">
        <f>HYPERLINK("https://klasma.github.io/Logging_VARMDO/klagomålsmail/A 48658-2022.docx", "A 48658-2022")</f>
        <v/>
      </c>
      <c r="X57">
        <f>HYPERLINK("https://klasma.github.io/Logging_VARMDO/tillsyn/A 48658-2022.docx", "A 48658-2022")</f>
        <v/>
      </c>
      <c r="Y57">
        <f>HYPERLINK("https://klasma.github.io/Logging_VARMDO/tillsynsmail/A 48658-2022.docx", "A 48658-2022")</f>
        <v/>
      </c>
    </row>
    <row r="58" ht="15" customHeight="1">
      <c r="A58" t="inlineStr">
        <is>
          <t>A 3472-2023</t>
        </is>
      </c>
      <c r="B58" s="1" t="n">
        <v>44949</v>
      </c>
      <c r="C58" s="1" t="n">
        <v>45186</v>
      </c>
      <c r="D58" t="inlineStr">
        <is>
          <t>STOCKHOLMS LÄN</t>
        </is>
      </c>
      <c r="E58" t="inlineStr">
        <is>
          <t>NORRTÄLJE</t>
        </is>
      </c>
      <c r="G58" t="n">
        <v>26.3</v>
      </c>
      <c r="H58" t="n">
        <v>1</v>
      </c>
      <c r="I58" t="n">
        <v>4</v>
      </c>
      <c r="J58" t="n">
        <v>2</v>
      </c>
      <c r="K58" t="n">
        <v>1</v>
      </c>
      <c r="L58" t="n">
        <v>0</v>
      </c>
      <c r="M58" t="n">
        <v>0</v>
      </c>
      <c r="N58" t="n">
        <v>0</v>
      </c>
      <c r="O58" t="n">
        <v>3</v>
      </c>
      <c r="P58" t="n">
        <v>1</v>
      </c>
      <c r="Q58" t="n">
        <v>8</v>
      </c>
      <c r="R58" s="2" t="inlineStr">
        <is>
          <t>Blackticka
Tallticka
Ullticka
Aspvedgnagare
Platt fjädermossa
Rävticka
Stor aspticka
Blåsippa</t>
        </is>
      </c>
      <c r="S58">
        <f>HYPERLINK("https://klasma.github.io/Logging_NORRTALJE/artfynd/A 3472-2023.xlsx", "A 3472-2023")</f>
        <v/>
      </c>
      <c r="T58">
        <f>HYPERLINK("https://klasma.github.io/Logging_NORRTALJE/kartor/A 3472-2023.png", "A 3472-2023")</f>
        <v/>
      </c>
      <c r="V58">
        <f>HYPERLINK("https://klasma.github.io/Logging_NORRTALJE/klagomål/A 3472-2023.docx", "A 3472-2023")</f>
        <v/>
      </c>
      <c r="W58">
        <f>HYPERLINK("https://klasma.github.io/Logging_NORRTALJE/klagomålsmail/A 3472-2023.docx", "A 3472-2023")</f>
        <v/>
      </c>
      <c r="X58">
        <f>HYPERLINK("https://klasma.github.io/Logging_NORRTALJE/tillsyn/A 3472-2023.docx", "A 3472-2023")</f>
        <v/>
      </c>
      <c r="Y58">
        <f>HYPERLINK("https://klasma.github.io/Logging_NORRTALJE/tillsynsmail/A 3472-2023.docx", "A 3472-2023")</f>
        <v/>
      </c>
    </row>
    <row r="59" ht="15" customHeight="1">
      <c r="A59" t="inlineStr">
        <is>
          <t>A 4794-2019</t>
        </is>
      </c>
      <c r="B59" s="1" t="n">
        <v>43486</v>
      </c>
      <c r="C59" s="1" t="n">
        <v>45186</v>
      </c>
      <c r="D59" t="inlineStr">
        <is>
          <t>STOCKHOLMS LÄN</t>
        </is>
      </c>
      <c r="E59" t="inlineStr">
        <is>
          <t>SIGTUNA</t>
        </is>
      </c>
      <c r="G59" t="n">
        <v>1.3</v>
      </c>
      <c r="H59" t="n">
        <v>0</v>
      </c>
      <c r="I59" t="n">
        <v>3</v>
      </c>
      <c r="J59" t="n">
        <v>3</v>
      </c>
      <c r="K59" t="n">
        <v>1</v>
      </c>
      <c r="L59" t="n">
        <v>0</v>
      </c>
      <c r="M59" t="n">
        <v>0</v>
      </c>
      <c r="N59" t="n">
        <v>0</v>
      </c>
      <c r="O59" t="n">
        <v>4</v>
      </c>
      <c r="P59" t="n">
        <v>1</v>
      </c>
      <c r="Q59" t="n">
        <v>7</v>
      </c>
      <c r="R59" s="2" t="inlineStr">
        <is>
          <t>Läderdoftande fingersvamp
Motaggsvamp
Svart taggsvamp
Tallticka
Blomkålssvamp
Grovticka
Skarp dropptaggsvamp</t>
        </is>
      </c>
      <c r="S59">
        <f>HYPERLINK("https://klasma.github.io/Logging_SIGTUNA/artfynd/A 4794-2019.xlsx", "A 4794-2019")</f>
        <v/>
      </c>
      <c r="T59">
        <f>HYPERLINK("https://klasma.github.io/Logging_SIGTUNA/kartor/A 4794-2019.png", "A 4794-2019")</f>
        <v/>
      </c>
      <c r="V59">
        <f>HYPERLINK("https://klasma.github.io/Logging_SIGTUNA/klagomål/A 4794-2019.docx", "A 4794-2019")</f>
        <v/>
      </c>
      <c r="W59">
        <f>HYPERLINK("https://klasma.github.io/Logging_SIGTUNA/klagomålsmail/A 4794-2019.docx", "A 4794-2019")</f>
        <v/>
      </c>
      <c r="X59">
        <f>HYPERLINK("https://klasma.github.io/Logging_SIGTUNA/tillsyn/A 4794-2019.docx", "A 4794-2019")</f>
        <v/>
      </c>
      <c r="Y59">
        <f>HYPERLINK("https://klasma.github.io/Logging_SIGTUNA/tillsynsmail/A 4794-2019.docx", "A 4794-2019")</f>
        <v/>
      </c>
    </row>
    <row r="60" ht="15" customHeight="1">
      <c r="A60" t="inlineStr">
        <is>
          <t>A 6703-2020</t>
        </is>
      </c>
      <c r="B60" s="1" t="n">
        <v>43865</v>
      </c>
      <c r="C60" s="1" t="n">
        <v>45186</v>
      </c>
      <c r="D60" t="inlineStr">
        <is>
          <t>STOCKHOLMS LÄN</t>
        </is>
      </c>
      <c r="E60" t="inlineStr">
        <is>
          <t>HANINGE</t>
        </is>
      </c>
      <c r="G60" t="n">
        <v>2.3</v>
      </c>
      <c r="H60" t="n">
        <v>4</v>
      </c>
      <c r="I60" t="n">
        <v>2</v>
      </c>
      <c r="J60" t="n">
        <v>3</v>
      </c>
      <c r="K60" t="n">
        <v>0</v>
      </c>
      <c r="L60" t="n">
        <v>1</v>
      </c>
      <c r="M60" t="n">
        <v>0</v>
      </c>
      <c r="N60" t="n">
        <v>0</v>
      </c>
      <c r="O60" t="n">
        <v>4</v>
      </c>
      <c r="P60" t="n">
        <v>1</v>
      </c>
      <c r="Q60" t="n">
        <v>7</v>
      </c>
      <c r="R60" s="2" t="inlineStr">
        <is>
          <t>Ask
Gulsparv
Spillkråka
Tallticka
Grön sköldmossa
Scharlakansvårskål agg.
Blåsippa</t>
        </is>
      </c>
      <c r="S60">
        <f>HYPERLINK("https://klasma.github.io/Logging_HANINGE/artfynd/A 6703-2020.xlsx", "A 6703-2020")</f>
        <v/>
      </c>
      <c r="T60">
        <f>HYPERLINK("https://klasma.github.io/Logging_HANINGE/kartor/A 6703-2020.png", "A 6703-2020")</f>
        <v/>
      </c>
      <c r="V60">
        <f>HYPERLINK("https://klasma.github.io/Logging_HANINGE/klagomål/A 6703-2020.docx", "A 6703-2020")</f>
        <v/>
      </c>
      <c r="W60">
        <f>HYPERLINK("https://klasma.github.io/Logging_HANINGE/klagomålsmail/A 6703-2020.docx", "A 6703-2020")</f>
        <v/>
      </c>
      <c r="X60">
        <f>HYPERLINK("https://klasma.github.io/Logging_HANINGE/tillsyn/A 6703-2020.docx", "A 6703-2020")</f>
        <v/>
      </c>
      <c r="Y60">
        <f>HYPERLINK("https://klasma.github.io/Logging_HANINGE/tillsynsmail/A 6703-2020.docx", "A 6703-2020")</f>
        <v/>
      </c>
    </row>
    <row r="61" ht="15" customHeight="1">
      <c r="A61" t="inlineStr">
        <is>
          <t>A 7430-2020</t>
        </is>
      </c>
      <c r="B61" s="1" t="n">
        <v>43871</v>
      </c>
      <c r="C61" s="1" t="n">
        <v>45186</v>
      </c>
      <c r="D61" t="inlineStr">
        <is>
          <t>STOCKHOLMS LÄN</t>
        </is>
      </c>
      <c r="E61" t="inlineStr">
        <is>
          <t>NYNÄSHAMN</t>
        </is>
      </c>
      <c r="F61" t="inlineStr">
        <is>
          <t>Kommuner</t>
        </is>
      </c>
      <c r="G61" t="n">
        <v>1.5</v>
      </c>
      <c r="H61" t="n">
        <v>6</v>
      </c>
      <c r="I61" t="n">
        <v>1</v>
      </c>
      <c r="J61" t="n">
        <v>2</v>
      </c>
      <c r="K61" t="n">
        <v>0</v>
      </c>
      <c r="L61" t="n">
        <v>0</v>
      </c>
      <c r="M61" t="n">
        <v>0</v>
      </c>
      <c r="N61" t="n">
        <v>0</v>
      </c>
      <c r="O61" t="n">
        <v>2</v>
      </c>
      <c r="P61" t="n">
        <v>0</v>
      </c>
      <c r="Q61" t="n">
        <v>7</v>
      </c>
      <c r="R61" s="2" t="inlineStr">
        <is>
          <t>Nordfladdermus
Sydfladdermus
Vågbandad barkbock
Dvärgpipistrell
Gråskimlig fladdermus
Större brunfladdermus
Vattenfladdermus</t>
        </is>
      </c>
      <c r="S61">
        <f>HYPERLINK("https://klasma.github.io/Logging_NYNASHAMN/artfynd/A 7430-2020.xlsx", "A 7430-2020")</f>
        <v/>
      </c>
      <c r="T61">
        <f>HYPERLINK("https://klasma.github.io/Logging_NYNASHAMN/kartor/A 7430-2020.png", "A 7430-2020")</f>
        <v/>
      </c>
      <c r="V61">
        <f>HYPERLINK("https://klasma.github.io/Logging_NYNASHAMN/klagomål/A 7430-2020.docx", "A 7430-2020")</f>
        <v/>
      </c>
      <c r="W61">
        <f>HYPERLINK("https://klasma.github.io/Logging_NYNASHAMN/klagomålsmail/A 7430-2020.docx", "A 7430-2020")</f>
        <v/>
      </c>
      <c r="X61">
        <f>HYPERLINK("https://klasma.github.io/Logging_NYNASHAMN/tillsyn/A 7430-2020.docx", "A 7430-2020")</f>
        <v/>
      </c>
      <c r="Y61">
        <f>HYPERLINK("https://klasma.github.io/Logging_NYNASHAMN/tillsynsmail/A 7430-2020.docx", "A 7430-2020")</f>
        <v/>
      </c>
    </row>
    <row r="62" ht="15" customHeight="1">
      <c r="A62" t="inlineStr">
        <is>
          <t>A 12772-2021</t>
        </is>
      </c>
      <c r="B62" s="1" t="n">
        <v>44270</v>
      </c>
      <c r="C62" s="1" t="n">
        <v>45186</v>
      </c>
      <c r="D62" t="inlineStr">
        <is>
          <t>STOCKHOLMS LÄN</t>
        </is>
      </c>
      <c r="E62" t="inlineStr">
        <is>
          <t>SÖDERTÄLJE</t>
        </is>
      </c>
      <c r="G62" t="n">
        <v>31.5</v>
      </c>
      <c r="H62" t="n">
        <v>0</v>
      </c>
      <c r="I62" t="n">
        <v>6</v>
      </c>
      <c r="J62" t="n">
        <v>1</v>
      </c>
      <c r="K62" t="n">
        <v>0</v>
      </c>
      <c r="L62" t="n">
        <v>0</v>
      </c>
      <c r="M62" t="n">
        <v>0</v>
      </c>
      <c r="N62" t="n">
        <v>0</v>
      </c>
      <c r="O62" t="n">
        <v>1</v>
      </c>
      <c r="P62" t="n">
        <v>0</v>
      </c>
      <c r="Q62" t="n">
        <v>7</v>
      </c>
      <c r="R62" s="2" t="inlineStr">
        <is>
          <t>Skogshare
Gul vaxskivling
Mönjevaxskivling
Spröd vaxskivling
Toppvaxskivling
Vit vaxskivling
Ängsvaxskivling</t>
        </is>
      </c>
      <c r="S62">
        <f>HYPERLINK("https://klasma.github.io/Logging_SODERTALJE/artfynd/A 12772-2021.xlsx", "A 12772-2021")</f>
        <v/>
      </c>
      <c r="T62">
        <f>HYPERLINK("https://klasma.github.io/Logging_SODERTALJE/kartor/A 12772-2021.png", "A 12772-2021")</f>
        <v/>
      </c>
      <c r="V62">
        <f>HYPERLINK("https://klasma.github.io/Logging_SODERTALJE/klagomål/A 12772-2021.docx", "A 12772-2021")</f>
        <v/>
      </c>
      <c r="W62">
        <f>HYPERLINK("https://klasma.github.io/Logging_SODERTALJE/klagomålsmail/A 12772-2021.docx", "A 12772-2021")</f>
        <v/>
      </c>
      <c r="X62">
        <f>HYPERLINK("https://klasma.github.io/Logging_SODERTALJE/tillsyn/A 12772-2021.docx", "A 12772-2021")</f>
        <v/>
      </c>
      <c r="Y62">
        <f>HYPERLINK("https://klasma.github.io/Logging_SODERTALJE/tillsynsmail/A 12772-2021.docx", "A 12772-2021")</f>
        <v/>
      </c>
    </row>
    <row r="63" ht="15" customHeight="1">
      <c r="A63" t="inlineStr">
        <is>
          <t>A 47346-2021</t>
        </is>
      </c>
      <c r="B63" s="1" t="n">
        <v>44447</v>
      </c>
      <c r="C63" s="1" t="n">
        <v>45186</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 "A 47346-2021")</f>
        <v/>
      </c>
      <c r="T63">
        <f>HYPERLINK("https://klasma.github.io/Logging_NORRTALJE/kartor/A 47346-2021.png", "A 47346-2021")</f>
        <v/>
      </c>
      <c r="V63">
        <f>HYPERLINK("https://klasma.github.io/Logging_NORRTALJE/klagomål/A 47346-2021.docx", "A 47346-2021")</f>
        <v/>
      </c>
      <c r="W63">
        <f>HYPERLINK("https://klasma.github.io/Logging_NORRTALJE/klagomålsmail/A 47346-2021.docx", "A 47346-2021")</f>
        <v/>
      </c>
      <c r="X63">
        <f>HYPERLINK("https://klasma.github.io/Logging_NORRTALJE/tillsyn/A 47346-2021.docx", "A 47346-2021")</f>
        <v/>
      </c>
      <c r="Y63">
        <f>HYPERLINK("https://klasma.github.io/Logging_NORRTALJE/tillsynsmail/A 47346-2021.docx", "A 47346-2021")</f>
        <v/>
      </c>
    </row>
    <row r="64" ht="15" customHeight="1">
      <c r="A64" t="inlineStr">
        <is>
          <t>A 13933-2022</t>
        </is>
      </c>
      <c r="B64" s="1" t="n">
        <v>44650</v>
      </c>
      <c r="C64" s="1" t="n">
        <v>45186</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 "A 13933-2022")</f>
        <v/>
      </c>
      <c r="T64">
        <f>HYPERLINK("https://klasma.github.io/Logging_NORRTALJE/kartor/A 13933-2022.png", "A 13933-2022")</f>
        <v/>
      </c>
      <c r="V64">
        <f>HYPERLINK("https://klasma.github.io/Logging_NORRTALJE/klagomål/A 13933-2022.docx", "A 13933-2022")</f>
        <v/>
      </c>
      <c r="W64">
        <f>HYPERLINK("https://klasma.github.io/Logging_NORRTALJE/klagomålsmail/A 13933-2022.docx", "A 13933-2022")</f>
        <v/>
      </c>
      <c r="X64">
        <f>HYPERLINK("https://klasma.github.io/Logging_NORRTALJE/tillsyn/A 13933-2022.docx", "A 13933-2022")</f>
        <v/>
      </c>
      <c r="Y64">
        <f>HYPERLINK("https://klasma.github.io/Logging_NORRTALJE/tillsynsmail/A 13933-2022.docx", "A 13933-2022")</f>
        <v/>
      </c>
    </row>
    <row r="65" ht="15" customHeight="1">
      <c r="A65" t="inlineStr">
        <is>
          <t>A 22064-2022</t>
        </is>
      </c>
      <c r="B65" s="1" t="n">
        <v>44711</v>
      </c>
      <c r="C65" s="1" t="n">
        <v>45186</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 "A 22064-2022")</f>
        <v/>
      </c>
      <c r="T65">
        <f>HYPERLINK("https://klasma.github.io/Logging_VALLENTUNA/kartor/A 22064-2022.png", "A 22064-2022")</f>
        <v/>
      </c>
      <c r="V65">
        <f>HYPERLINK("https://klasma.github.io/Logging_VALLENTUNA/klagomål/A 22064-2022.docx", "A 22064-2022")</f>
        <v/>
      </c>
      <c r="W65">
        <f>HYPERLINK("https://klasma.github.io/Logging_VALLENTUNA/klagomålsmail/A 22064-2022.docx", "A 22064-2022")</f>
        <v/>
      </c>
      <c r="X65">
        <f>HYPERLINK("https://klasma.github.io/Logging_VALLENTUNA/tillsyn/A 22064-2022.docx", "A 22064-2022")</f>
        <v/>
      </c>
      <c r="Y65">
        <f>HYPERLINK("https://klasma.github.io/Logging_VALLENTUNA/tillsynsmail/A 22064-2022.docx", "A 22064-2022")</f>
        <v/>
      </c>
    </row>
    <row r="66" ht="15" customHeight="1">
      <c r="A66" t="inlineStr">
        <is>
          <t>A 24150-2022</t>
        </is>
      </c>
      <c r="B66" s="1" t="n">
        <v>44725</v>
      </c>
      <c r="C66" s="1" t="n">
        <v>45186</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 "A 24150-2022")</f>
        <v/>
      </c>
      <c r="T66">
        <f>HYPERLINK("https://klasma.github.io/Logging_NORRTALJE/kartor/A 24150-2022.png", "A 24150-2022")</f>
        <v/>
      </c>
      <c r="V66">
        <f>HYPERLINK("https://klasma.github.io/Logging_NORRTALJE/klagomål/A 24150-2022.docx", "A 24150-2022")</f>
        <v/>
      </c>
      <c r="W66">
        <f>HYPERLINK("https://klasma.github.io/Logging_NORRTALJE/klagomålsmail/A 24150-2022.docx", "A 24150-2022")</f>
        <v/>
      </c>
      <c r="X66">
        <f>HYPERLINK("https://klasma.github.io/Logging_NORRTALJE/tillsyn/A 24150-2022.docx", "A 24150-2022")</f>
        <v/>
      </c>
      <c r="Y66">
        <f>HYPERLINK("https://klasma.github.io/Logging_NORRTALJE/tillsynsmail/A 24150-2022.docx", "A 24150-2022")</f>
        <v/>
      </c>
    </row>
    <row r="67" ht="15" customHeight="1">
      <c r="A67" t="inlineStr">
        <is>
          <t>A 45811-2022</t>
        </is>
      </c>
      <c r="B67" s="1" t="n">
        <v>44846</v>
      </c>
      <c r="C67" s="1" t="n">
        <v>45186</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 "A 45811-2022")</f>
        <v/>
      </c>
      <c r="T67">
        <f>HYPERLINK("https://klasma.github.io/Logging_NORRTALJE/kartor/A 45811-2022.png", "A 45811-2022")</f>
        <v/>
      </c>
      <c r="V67">
        <f>HYPERLINK("https://klasma.github.io/Logging_NORRTALJE/klagomål/A 45811-2022.docx", "A 45811-2022")</f>
        <v/>
      </c>
      <c r="W67">
        <f>HYPERLINK("https://klasma.github.io/Logging_NORRTALJE/klagomålsmail/A 45811-2022.docx", "A 45811-2022")</f>
        <v/>
      </c>
      <c r="X67">
        <f>HYPERLINK("https://klasma.github.io/Logging_NORRTALJE/tillsyn/A 45811-2022.docx", "A 45811-2022")</f>
        <v/>
      </c>
      <c r="Y67">
        <f>HYPERLINK("https://klasma.github.io/Logging_NORRTALJE/tillsynsmail/A 45811-2022.docx", "A 45811-2022")</f>
        <v/>
      </c>
    </row>
    <row r="68" ht="15" customHeight="1">
      <c r="A68" t="inlineStr">
        <is>
          <t>A 5527-2023</t>
        </is>
      </c>
      <c r="B68" s="1" t="n">
        <v>44960</v>
      </c>
      <c r="C68" s="1" t="n">
        <v>45186</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 "A 5527-2023")</f>
        <v/>
      </c>
      <c r="T68">
        <f>HYPERLINK("https://klasma.github.io/Logging_NYNASHAMN/kartor/A 5527-2023.png", "A 5527-2023")</f>
        <v/>
      </c>
      <c r="V68">
        <f>HYPERLINK("https://klasma.github.io/Logging_NYNASHAMN/klagomål/A 5527-2023.docx", "A 5527-2023")</f>
        <v/>
      </c>
      <c r="W68">
        <f>HYPERLINK("https://klasma.github.io/Logging_NYNASHAMN/klagomålsmail/A 5527-2023.docx", "A 5527-2023")</f>
        <v/>
      </c>
      <c r="X68">
        <f>HYPERLINK("https://klasma.github.io/Logging_NYNASHAMN/tillsyn/A 5527-2023.docx", "A 5527-2023")</f>
        <v/>
      </c>
      <c r="Y68">
        <f>HYPERLINK("https://klasma.github.io/Logging_NYNASHAMN/tillsynsmail/A 5527-2023.docx", "A 5527-2023")</f>
        <v/>
      </c>
    </row>
    <row r="69" ht="15" customHeight="1">
      <c r="A69" t="inlineStr">
        <is>
          <t>A 14020-2023</t>
        </is>
      </c>
      <c r="B69" s="1" t="n">
        <v>45008</v>
      </c>
      <c r="C69" s="1" t="n">
        <v>45186</v>
      </c>
      <c r="D69" t="inlineStr">
        <is>
          <t>STOCKHOLMS LÄN</t>
        </is>
      </c>
      <c r="E69" t="inlineStr">
        <is>
          <t>EKERÖ</t>
        </is>
      </c>
      <c r="G69" t="n">
        <v>9.300000000000001</v>
      </c>
      <c r="H69" t="n">
        <v>2</v>
      </c>
      <c r="I69" t="n">
        <v>2</v>
      </c>
      <c r="J69" t="n">
        <v>3</v>
      </c>
      <c r="K69" t="n">
        <v>0</v>
      </c>
      <c r="L69" t="n">
        <v>1</v>
      </c>
      <c r="M69" t="n">
        <v>0</v>
      </c>
      <c r="N69" t="n">
        <v>0</v>
      </c>
      <c r="O69" t="n">
        <v>4</v>
      </c>
      <c r="P69" t="n">
        <v>1</v>
      </c>
      <c r="Q69" t="n">
        <v>7</v>
      </c>
      <c r="R69" s="2" t="inlineStr">
        <is>
          <t>Ryl
Backtimjan
Orange taggsvamp
Spillkråka
Dropptaggsvamp
Grönpyrola
Kopparödla</t>
        </is>
      </c>
      <c r="S69">
        <f>HYPERLINK("https://klasma.github.io/Logging_EKERO/artfynd/A 14020-2023.xlsx", "A 14020-2023")</f>
        <v/>
      </c>
      <c r="T69">
        <f>HYPERLINK("https://klasma.github.io/Logging_EKERO/kartor/A 14020-2023.png", "A 14020-2023")</f>
        <v/>
      </c>
      <c r="V69">
        <f>HYPERLINK("https://klasma.github.io/Logging_EKERO/klagomål/A 14020-2023.docx", "A 14020-2023")</f>
        <v/>
      </c>
      <c r="W69">
        <f>HYPERLINK("https://klasma.github.io/Logging_EKERO/klagomålsmail/A 14020-2023.docx", "A 14020-2023")</f>
        <v/>
      </c>
      <c r="X69">
        <f>HYPERLINK("https://klasma.github.io/Logging_EKERO/tillsyn/A 14020-2023.docx", "A 14020-2023")</f>
        <v/>
      </c>
      <c r="Y69">
        <f>HYPERLINK("https://klasma.github.io/Logging_EKERO/tillsynsmail/A 14020-2023.docx", "A 14020-2023")</f>
        <v/>
      </c>
    </row>
    <row r="70" ht="15" customHeight="1">
      <c r="A70" t="inlineStr">
        <is>
          <t>A 18284-2019</t>
        </is>
      </c>
      <c r="B70" s="1" t="n">
        <v>43558</v>
      </c>
      <c r="C70" s="1" t="n">
        <v>45186</v>
      </c>
      <c r="D70" t="inlineStr">
        <is>
          <t>STOCKHOLMS LÄN</t>
        </is>
      </c>
      <c r="E70" t="inlineStr">
        <is>
          <t>NORRTÄLJE</t>
        </is>
      </c>
      <c r="G70" t="n">
        <v>20.4</v>
      </c>
      <c r="H70" t="n">
        <v>0</v>
      </c>
      <c r="I70" t="n">
        <v>2</v>
      </c>
      <c r="J70" t="n">
        <v>3</v>
      </c>
      <c r="K70" t="n">
        <v>1</v>
      </c>
      <c r="L70" t="n">
        <v>0</v>
      </c>
      <c r="M70" t="n">
        <v>0</v>
      </c>
      <c r="N70" t="n">
        <v>0</v>
      </c>
      <c r="O70" t="n">
        <v>4</v>
      </c>
      <c r="P70" t="n">
        <v>1</v>
      </c>
      <c r="Q70" t="n">
        <v>6</v>
      </c>
      <c r="R70" s="2" t="inlineStr">
        <is>
          <t>Grangråticka
Motaggsvamp
Orange taggsvamp
Vedtrappmossa
Rödgul trumpetsvamp
Skarp dropptaggsvamp</t>
        </is>
      </c>
      <c r="S70">
        <f>HYPERLINK("https://klasma.github.io/Logging_NORRTALJE/artfynd/A 18284-2019.xlsx", "A 18284-2019")</f>
        <v/>
      </c>
      <c r="T70">
        <f>HYPERLINK("https://klasma.github.io/Logging_NORRTALJE/kartor/A 18284-2019.png", "A 18284-2019")</f>
        <v/>
      </c>
      <c r="V70">
        <f>HYPERLINK("https://klasma.github.io/Logging_NORRTALJE/klagomål/A 18284-2019.docx", "A 18284-2019")</f>
        <v/>
      </c>
      <c r="W70">
        <f>HYPERLINK("https://klasma.github.io/Logging_NORRTALJE/klagomålsmail/A 18284-2019.docx", "A 18284-2019")</f>
        <v/>
      </c>
      <c r="X70">
        <f>HYPERLINK("https://klasma.github.io/Logging_NORRTALJE/tillsyn/A 18284-2019.docx", "A 18284-2019")</f>
        <v/>
      </c>
      <c r="Y70">
        <f>HYPERLINK("https://klasma.github.io/Logging_NORRTALJE/tillsynsmail/A 18284-2019.docx", "A 18284-2019")</f>
        <v/>
      </c>
    </row>
    <row r="71" ht="15" customHeight="1">
      <c r="A71" t="inlineStr">
        <is>
          <t>A 20255-2019</t>
        </is>
      </c>
      <c r="B71" s="1" t="n">
        <v>43571</v>
      </c>
      <c r="C71" s="1" t="n">
        <v>45186</v>
      </c>
      <c r="D71" t="inlineStr">
        <is>
          <t>STOCKHOLMS LÄN</t>
        </is>
      </c>
      <c r="E71" t="inlineStr">
        <is>
          <t>NORRTÄLJE</t>
        </is>
      </c>
      <c r="F71" t="inlineStr">
        <is>
          <t>Kommuner</t>
        </is>
      </c>
      <c r="G71" t="n">
        <v>6.2</v>
      </c>
      <c r="H71" t="n">
        <v>3</v>
      </c>
      <c r="I71" t="n">
        <v>3</v>
      </c>
      <c r="J71" t="n">
        <v>1</v>
      </c>
      <c r="K71" t="n">
        <v>1</v>
      </c>
      <c r="L71" t="n">
        <v>0</v>
      </c>
      <c r="M71" t="n">
        <v>0</v>
      </c>
      <c r="N71" t="n">
        <v>0</v>
      </c>
      <c r="O71" t="n">
        <v>2</v>
      </c>
      <c r="P71" t="n">
        <v>1</v>
      </c>
      <c r="Q71" t="n">
        <v>6</v>
      </c>
      <c r="R71" s="2" t="inlineStr">
        <is>
          <t>Violettfläckig spindling
Kråka
Nästrot
Svart trolldruva
Underviol
Blåsippa</t>
        </is>
      </c>
      <c r="S71">
        <f>HYPERLINK("https://klasma.github.io/Logging_NORRTALJE/artfynd/A 20255-2019.xlsx", "A 20255-2019")</f>
        <v/>
      </c>
      <c r="T71">
        <f>HYPERLINK("https://klasma.github.io/Logging_NORRTALJE/kartor/A 20255-2019.png", "A 20255-2019")</f>
        <v/>
      </c>
      <c r="V71">
        <f>HYPERLINK("https://klasma.github.io/Logging_NORRTALJE/klagomål/A 20255-2019.docx", "A 20255-2019")</f>
        <v/>
      </c>
      <c r="W71">
        <f>HYPERLINK("https://klasma.github.io/Logging_NORRTALJE/klagomålsmail/A 20255-2019.docx", "A 20255-2019")</f>
        <v/>
      </c>
      <c r="X71">
        <f>HYPERLINK("https://klasma.github.io/Logging_NORRTALJE/tillsyn/A 20255-2019.docx", "A 20255-2019")</f>
        <v/>
      </c>
      <c r="Y71">
        <f>HYPERLINK("https://klasma.github.io/Logging_NORRTALJE/tillsynsmail/A 20255-2019.docx", "A 20255-2019")</f>
        <v/>
      </c>
    </row>
    <row r="72" ht="15" customHeight="1">
      <c r="A72" t="inlineStr">
        <is>
          <t>A 59328-2019</t>
        </is>
      </c>
      <c r="B72" s="1" t="n">
        <v>43775</v>
      </c>
      <c r="C72" s="1" t="n">
        <v>45186</v>
      </c>
      <c r="D72" t="inlineStr">
        <is>
          <t>STOCKHOLMS LÄN</t>
        </is>
      </c>
      <c r="E72" t="inlineStr">
        <is>
          <t>NORRTÄLJE</t>
        </is>
      </c>
      <c r="G72" t="n">
        <v>1.2</v>
      </c>
      <c r="H72" t="n">
        <v>0</v>
      </c>
      <c r="I72" t="n">
        <v>3</v>
      </c>
      <c r="J72" t="n">
        <v>1</v>
      </c>
      <c r="K72" t="n">
        <v>2</v>
      </c>
      <c r="L72" t="n">
        <v>0</v>
      </c>
      <c r="M72" t="n">
        <v>0</v>
      </c>
      <c r="N72" t="n">
        <v>0</v>
      </c>
      <c r="O72" t="n">
        <v>3</v>
      </c>
      <c r="P72" t="n">
        <v>2</v>
      </c>
      <c r="Q72" t="n">
        <v>6</v>
      </c>
      <c r="R72" s="2" t="inlineStr">
        <is>
          <t>Koppartaggsvamp
Violgubbe
Orange taggsvamp
Blåmossa
Bronshjon
Kattfotslav</t>
        </is>
      </c>
      <c r="S72">
        <f>HYPERLINK("https://klasma.github.io/Logging_NORRTALJE/artfynd/A 59328-2019.xlsx", "A 59328-2019")</f>
        <v/>
      </c>
      <c r="T72">
        <f>HYPERLINK("https://klasma.github.io/Logging_NORRTALJE/kartor/A 59328-2019.png", "A 59328-2019")</f>
        <v/>
      </c>
      <c r="V72">
        <f>HYPERLINK("https://klasma.github.io/Logging_NORRTALJE/klagomål/A 59328-2019.docx", "A 59328-2019")</f>
        <v/>
      </c>
      <c r="W72">
        <f>HYPERLINK("https://klasma.github.io/Logging_NORRTALJE/klagomålsmail/A 59328-2019.docx", "A 59328-2019")</f>
        <v/>
      </c>
      <c r="X72">
        <f>HYPERLINK("https://klasma.github.io/Logging_NORRTALJE/tillsyn/A 59328-2019.docx", "A 59328-2019")</f>
        <v/>
      </c>
      <c r="Y72">
        <f>HYPERLINK("https://klasma.github.io/Logging_NORRTALJE/tillsynsmail/A 59328-2019.docx", "A 59328-2019")</f>
        <v/>
      </c>
    </row>
    <row r="73" ht="15" customHeight="1">
      <c r="A73" t="inlineStr">
        <is>
          <t>A 57469-2020</t>
        </is>
      </c>
      <c r="B73" s="1" t="n">
        <v>44139</v>
      </c>
      <c r="C73" s="1" t="n">
        <v>45186</v>
      </c>
      <c r="D73" t="inlineStr">
        <is>
          <t>STOCKHOLMS LÄN</t>
        </is>
      </c>
      <c r="E73" t="inlineStr">
        <is>
          <t>HANINGE</t>
        </is>
      </c>
      <c r="G73" t="n">
        <v>12.8</v>
      </c>
      <c r="H73" t="n">
        <v>1</v>
      </c>
      <c r="I73" t="n">
        <v>6</v>
      </c>
      <c r="J73" t="n">
        <v>0</v>
      </c>
      <c r="K73" t="n">
        <v>0</v>
      </c>
      <c r="L73" t="n">
        <v>0</v>
      </c>
      <c r="M73" t="n">
        <v>0</v>
      </c>
      <c r="N73" t="n">
        <v>0</v>
      </c>
      <c r="O73" t="n">
        <v>0</v>
      </c>
      <c r="P73" t="n">
        <v>0</v>
      </c>
      <c r="Q73" t="n">
        <v>6</v>
      </c>
      <c r="R73" s="2" t="inlineStr">
        <is>
          <t>Bronshjon
Grön sköldmossa
Skogshakmossa
Stubbspretmossa
Vedticka
Vågbandad barkbock</t>
        </is>
      </c>
      <c r="S73">
        <f>HYPERLINK("https://klasma.github.io/Logging_HANINGE/artfynd/A 57469-2020.xlsx", "A 57469-2020")</f>
        <v/>
      </c>
      <c r="T73">
        <f>HYPERLINK("https://klasma.github.io/Logging_HANINGE/kartor/A 57469-2020.png", "A 57469-2020")</f>
        <v/>
      </c>
      <c r="V73">
        <f>HYPERLINK("https://klasma.github.io/Logging_HANINGE/klagomål/A 57469-2020.docx", "A 57469-2020")</f>
        <v/>
      </c>
      <c r="W73">
        <f>HYPERLINK("https://klasma.github.io/Logging_HANINGE/klagomålsmail/A 57469-2020.docx", "A 57469-2020")</f>
        <v/>
      </c>
      <c r="X73">
        <f>HYPERLINK("https://klasma.github.io/Logging_HANINGE/tillsyn/A 57469-2020.docx", "A 57469-2020")</f>
        <v/>
      </c>
      <c r="Y73">
        <f>HYPERLINK("https://klasma.github.io/Logging_HANINGE/tillsynsmail/A 57469-2020.docx", "A 57469-2020")</f>
        <v/>
      </c>
    </row>
    <row r="74" ht="15" customHeight="1">
      <c r="A74" t="inlineStr">
        <is>
          <t>A 52616-2021</t>
        </is>
      </c>
      <c r="B74" s="1" t="n">
        <v>44463</v>
      </c>
      <c r="C74" s="1" t="n">
        <v>45186</v>
      </c>
      <c r="D74" t="inlineStr">
        <is>
          <t>STOCKHOLMS LÄN</t>
        </is>
      </c>
      <c r="E74" t="inlineStr">
        <is>
          <t>HANINGE</t>
        </is>
      </c>
      <c r="G74" t="n">
        <v>6.4</v>
      </c>
      <c r="H74" t="n">
        <v>2</v>
      </c>
      <c r="I74" t="n">
        <v>5</v>
      </c>
      <c r="J74" t="n">
        <v>0</v>
      </c>
      <c r="K74" t="n">
        <v>0</v>
      </c>
      <c r="L74" t="n">
        <v>0</v>
      </c>
      <c r="M74" t="n">
        <v>0</v>
      </c>
      <c r="N74" t="n">
        <v>0</v>
      </c>
      <c r="O74" t="n">
        <v>0</v>
      </c>
      <c r="P74" t="n">
        <v>0</v>
      </c>
      <c r="Q74" t="n">
        <v>6</v>
      </c>
      <c r="R74" s="2" t="inlineStr">
        <is>
          <t>Björksplintborre
Grön sköldmossa
Noshornsoxe
Stubbspretmossa
Vågbandad barkbock
Vanlig groda</t>
        </is>
      </c>
      <c r="S74">
        <f>HYPERLINK("https://klasma.github.io/Logging_HANINGE/artfynd/A 52616-2021.xlsx", "A 52616-2021")</f>
        <v/>
      </c>
      <c r="T74">
        <f>HYPERLINK("https://klasma.github.io/Logging_HANINGE/kartor/A 52616-2021.png", "A 52616-2021")</f>
        <v/>
      </c>
      <c r="V74">
        <f>HYPERLINK("https://klasma.github.io/Logging_HANINGE/klagomål/A 52616-2021.docx", "A 52616-2021")</f>
        <v/>
      </c>
      <c r="W74">
        <f>HYPERLINK("https://klasma.github.io/Logging_HANINGE/klagomålsmail/A 52616-2021.docx", "A 52616-2021")</f>
        <v/>
      </c>
      <c r="X74">
        <f>HYPERLINK("https://klasma.github.io/Logging_HANINGE/tillsyn/A 52616-2021.docx", "A 52616-2021")</f>
        <v/>
      </c>
      <c r="Y74">
        <f>HYPERLINK("https://klasma.github.io/Logging_HANINGE/tillsynsmail/A 52616-2021.docx", "A 52616-2021")</f>
        <v/>
      </c>
    </row>
    <row r="75" ht="15" customHeight="1">
      <c r="A75" t="inlineStr">
        <is>
          <t>A 21729-2023</t>
        </is>
      </c>
      <c r="B75" s="1" t="n">
        <v>45063</v>
      </c>
      <c r="C75" s="1" t="n">
        <v>45186</v>
      </c>
      <c r="D75" t="inlineStr">
        <is>
          <t>STOCKHOLMS LÄN</t>
        </is>
      </c>
      <c r="E75" t="inlineStr">
        <is>
          <t>NORRTÄLJE</t>
        </is>
      </c>
      <c r="G75" t="n">
        <v>17.2</v>
      </c>
      <c r="H75" t="n">
        <v>1</v>
      </c>
      <c r="I75" t="n">
        <v>0</v>
      </c>
      <c r="J75" t="n">
        <v>5</v>
      </c>
      <c r="K75" t="n">
        <v>0</v>
      </c>
      <c r="L75" t="n">
        <v>0</v>
      </c>
      <c r="M75" t="n">
        <v>0</v>
      </c>
      <c r="N75" t="n">
        <v>0</v>
      </c>
      <c r="O75" t="n">
        <v>5</v>
      </c>
      <c r="P75" t="n">
        <v>0</v>
      </c>
      <c r="Q75" t="n">
        <v>6</v>
      </c>
      <c r="R75" s="2" t="inlineStr">
        <is>
          <t>Backklöver
Gullklöver
Klofibbla
Pilblad
Slåtterfibbla
Adam och eva</t>
        </is>
      </c>
      <c r="S75">
        <f>HYPERLINK("https://klasma.github.io/Logging_NORRTALJE/artfynd/A 21729-2023.xlsx", "A 21729-2023")</f>
        <v/>
      </c>
      <c r="T75">
        <f>HYPERLINK("https://klasma.github.io/Logging_NORRTALJE/kartor/A 21729-2023.png", "A 21729-2023")</f>
        <v/>
      </c>
      <c r="V75">
        <f>HYPERLINK("https://klasma.github.io/Logging_NORRTALJE/klagomål/A 21729-2023.docx", "A 21729-2023")</f>
        <v/>
      </c>
      <c r="W75">
        <f>HYPERLINK("https://klasma.github.io/Logging_NORRTALJE/klagomålsmail/A 21729-2023.docx", "A 21729-2023")</f>
        <v/>
      </c>
      <c r="X75">
        <f>HYPERLINK("https://klasma.github.io/Logging_NORRTALJE/tillsyn/A 21729-2023.docx", "A 21729-2023")</f>
        <v/>
      </c>
      <c r="Y75">
        <f>HYPERLINK("https://klasma.github.io/Logging_NORRTALJE/tillsynsmail/A 21729-2023.docx", "A 21729-2023")</f>
        <v/>
      </c>
    </row>
    <row r="76" ht="15" customHeight="1">
      <c r="A76" t="inlineStr">
        <is>
          <t>A 34394-2023</t>
        </is>
      </c>
      <c r="B76" s="1" t="n">
        <v>45139</v>
      </c>
      <c r="C76" s="1" t="n">
        <v>45186</v>
      </c>
      <c r="D76" t="inlineStr">
        <is>
          <t>STOCKHOLMS LÄN</t>
        </is>
      </c>
      <c r="E76" t="inlineStr">
        <is>
          <t>NORRTÄLJE</t>
        </is>
      </c>
      <c r="G76" t="n">
        <v>8.5</v>
      </c>
      <c r="H76" t="n">
        <v>1</v>
      </c>
      <c r="I76" t="n">
        <v>2</v>
      </c>
      <c r="J76" t="n">
        <v>3</v>
      </c>
      <c r="K76" t="n">
        <v>0</v>
      </c>
      <c r="L76" t="n">
        <v>0</v>
      </c>
      <c r="M76" t="n">
        <v>0</v>
      </c>
      <c r="N76" t="n">
        <v>0</v>
      </c>
      <c r="O76" t="n">
        <v>3</v>
      </c>
      <c r="P76" t="n">
        <v>0</v>
      </c>
      <c r="Q76" t="n">
        <v>6</v>
      </c>
      <c r="R76" s="2" t="inlineStr">
        <is>
          <t>Grantaggsvamp
Motaggsvamp
Orange taggsvamp
Granriska
Grönpyrola
Blåsippa</t>
        </is>
      </c>
      <c r="S76">
        <f>HYPERLINK("https://klasma.github.io/Logging_NORRTALJE/artfynd/A 34394-2023.xlsx", "A 34394-2023")</f>
        <v/>
      </c>
      <c r="T76">
        <f>HYPERLINK("https://klasma.github.io/Logging_NORRTALJE/kartor/A 34394-2023.png", "A 34394-2023")</f>
        <v/>
      </c>
      <c r="V76">
        <f>HYPERLINK("https://klasma.github.io/Logging_NORRTALJE/klagomål/A 34394-2023.docx", "A 34394-2023")</f>
        <v/>
      </c>
      <c r="W76">
        <f>HYPERLINK("https://klasma.github.io/Logging_NORRTALJE/klagomålsmail/A 34394-2023.docx", "A 34394-2023")</f>
        <v/>
      </c>
      <c r="X76">
        <f>HYPERLINK("https://klasma.github.io/Logging_NORRTALJE/tillsyn/A 34394-2023.docx", "A 34394-2023")</f>
        <v/>
      </c>
      <c r="Y76">
        <f>HYPERLINK("https://klasma.github.io/Logging_NORRTALJE/tillsynsmail/A 34394-2023.docx", "A 34394-2023")</f>
        <v/>
      </c>
    </row>
    <row r="77" ht="15" customHeight="1">
      <c r="A77" t="inlineStr">
        <is>
          <t>A 39902-2019</t>
        </is>
      </c>
      <c r="B77" s="1" t="n">
        <v>43692</v>
      </c>
      <c r="C77" s="1" t="n">
        <v>45186</v>
      </c>
      <c r="D77" t="inlineStr">
        <is>
          <t>STOCKHOLMS LÄN</t>
        </is>
      </c>
      <c r="E77" t="inlineStr">
        <is>
          <t>NYNÄSHAMN</t>
        </is>
      </c>
      <c r="F77" t="inlineStr">
        <is>
          <t>Kommuner</t>
        </is>
      </c>
      <c r="G77" t="n">
        <v>7.7</v>
      </c>
      <c r="H77" t="n">
        <v>4</v>
      </c>
      <c r="I77" t="n">
        <v>2</v>
      </c>
      <c r="J77" t="n">
        <v>0</v>
      </c>
      <c r="K77" t="n">
        <v>0</v>
      </c>
      <c r="L77" t="n">
        <v>0</v>
      </c>
      <c r="M77" t="n">
        <v>0</v>
      </c>
      <c r="N77" t="n">
        <v>0</v>
      </c>
      <c r="O77" t="n">
        <v>0</v>
      </c>
      <c r="P77" t="n">
        <v>0</v>
      </c>
      <c r="Q77" t="n">
        <v>5</v>
      </c>
      <c r="R77" s="2" t="inlineStr">
        <is>
          <t>Noshornsoxe
Skogsknipprot
Huggorm
Vanlig snok
Gullviva</t>
        </is>
      </c>
      <c r="S77">
        <f>HYPERLINK("https://klasma.github.io/Logging_NYNASHAMN/artfynd/A 39902-2019.xlsx", "A 39902-2019")</f>
        <v/>
      </c>
      <c r="T77">
        <f>HYPERLINK("https://klasma.github.io/Logging_NYNASHAMN/kartor/A 39902-2019.png", "A 39902-2019")</f>
        <v/>
      </c>
      <c r="V77">
        <f>HYPERLINK("https://klasma.github.io/Logging_NYNASHAMN/klagomål/A 39902-2019.docx", "A 39902-2019")</f>
        <v/>
      </c>
      <c r="W77">
        <f>HYPERLINK("https://klasma.github.io/Logging_NYNASHAMN/klagomålsmail/A 39902-2019.docx", "A 39902-2019")</f>
        <v/>
      </c>
      <c r="X77">
        <f>HYPERLINK("https://klasma.github.io/Logging_NYNASHAMN/tillsyn/A 39902-2019.docx", "A 39902-2019")</f>
        <v/>
      </c>
      <c r="Y77">
        <f>HYPERLINK("https://klasma.github.io/Logging_NYNASHAMN/tillsynsmail/A 39902-2019.docx", "A 39902-2019")</f>
        <v/>
      </c>
    </row>
    <row r="78" ht="15" customHeight="1">
      <c r="A78" t="inlineStr">
        <is>
          <t>A 45469-2019</t>
        </is>
      </c>
      <c r="B78" s="1" t="n">
        <v>43714</v>
      </c>
      <c r="C78" s="1" t="n">
        <v>45186</v>
      </c>
      <c r="D78" t="inlineStr">
        <is>
          <t>STOCKHOLMS LÄN</t>
        </is>
      </c>
      <c r="E78" t="inlineStr">
        <is>
          <t>NORRTÄLJE</t>
        </is>
      </c>
      <c r="F78" t="inlineStr">
        <is>
          <t>Övriga statliga verk och myndigheter</t>
        </is>
      </c>
      <c r="G78" t="n">
        <v>10.6</v>
      </c>
      <c r="H78" t="n">
        <v>2</v>
      </c>
      <c r="I78" t="n">
        <v>3</v>
      </c>
      <c r="J78" t="n">
        <v>0</v>
      </c>
      <c r="K78" t="n">
        <v>0</v>
      </c>
      <c r="L78" t="n">
        <v>1</v>
      </c>
      <c r="M78" t="n">
        <v>0</v>
      </c>
      <c r="N78" t="n">
        <v>0</v>
      </c>
      <c r="O78" t="n">
        <v>1</v>
      </c>
      <c r="P78" t="n">
        <v>1</v>
      </c>
      <c r="Q78" t="n">
        <v>5</v>
      </c>
      <c r="R78" s="2" t="inlineStr">
        <is>
          <t>Ask
Hasselticka
Sårläka
Tvåblad
Blåsippa</t>
        </is>
      </c>
      <c r="S78">
        <f>HYPERLINK("https://klasma.github.io/Logging_NORRTALJE/artfynd/A 45469-2019.xlsx", "A 45469-2019")</f>
        <v/>
      </c>
      <c r="T78">
        <f>HYPERLINK("https://klasma.github.io/Logging_NORRTALJE/kartor/A 45469-2019.png", "A 45469-2019")</f>
        <v/>
      </c>
      <c r="V78">
        <f>HYPERLINK("https://klasma.github.io/Logging_NORRTALJE/klagomål/A 45469-2019.docx", "A 45469-2019")</f>
        <v/>
      </c>
      <c r="W78">
        <f>HYPERLINK("https://klasma.github.io/Logging_NORRTALJE/klagomålsmail/A 45469-2019.docx", "A 45469-2019")</f>
        <v/>
      </c>
      <c r="X78">
        <f>HYPERLINK("https://klasma.github.io/Logging_NORRTALJE/tillsyn/A 45469-2019.docx", "A 45469-2019")</f>
        <v/>
      </c>
      <c r="Y78">
        <f>HYPERLINK("https://klasma.github.io/Logging_NORRTALJE/tillsynsmail/A 45469-2019.docx", "A 45469-2019")</f>
        <v/>
      </c>
    </row>
    <row r="79" ht="15" customHeight="1">
      <c r="A79" t="inlineStr">
        <is>
          <t>A 3220-2020</t>
        </is>
      </c>
      <c r="B79" s="1" t="n">
        <v>43851</v>
      </c>
      <c r="C79" s="1" t="n">
        <v>45186</v>
      </c>
      <c r="D79" t="inlineStr">
        <is>
          <t>STOCKHOLMS LÄN</t>
        </is>
      </c>
      <c r="E79" t="inlineStr">
        <is>
          <t>NYNÄSHAMN</t>
        </is>
      </c>
      <c r="G79" t="n">
        <v>11.2</v>
      </c>
      <c r="H79" t="n">
        <v>1</v>
      </c>
      <c r="I79" t="n">
        <v>4</v>
      </c>
      <c r="J79" t="n">
        <v>1</v>
      </c>
      <c r="K79" t="n">
        <v>0</v>
      </c>
      <c r="L79" t="n">
        <v>0</v>
      </c>
      <c r="M79" t="n">
        <v>0</v>
      </c>
      <c r="N79" t="n">
        <v>0</v>
      </c>
      <c r="O79" t="n">
        <v>1</v>
      </c>
      <c r="P79" t="n">
        <v>0</v>
      </c>
      <c r="Q79" t="n">
        <v>5</v>
      </c>
      <c r="R79" s="2" t="inlineStr">
        <is>
          <t>Spillkråka
Blåmossa
Bronshjon
Granbarkgnagare
Vågbandad barkbock</t>
        </is>
      </c>
      <c r="S79">
        <f>HYPERLINK("https://klasma.github.io/Logging_NYNASHAMN/artfynd/A 3220-2020.xlsx", "A 3220-2020")</f>
        <v/>
      </c>
      <c r="T79">
        <f>HYPERLINK("https://klasma.github.io/Logging_NYNASHAMN/kartor/A 3220-2020.png", "A 3220-2020")</f>
        <v/>
      </c>
      <c r="V79">
        <f>HYPERLINK("https://klasma.github.io/Logging_NYNASHAMN/klagomål/A 3220-2020.docx", "A 3220-2020")</f>
        <v/>
      </c>
      <c r="W79">
        <f>HYPERLINK("https://klasma.github.io/Logging_NYNASHAMN/klagomålsmail/A 3220-2020.docx", "A 3220-2020")</f>
        <v/>
      </c>
      <c r="X79">
        <f>HYPERLINK("https://klasma.github.io/Logging_NYNASHAMN/tillsyn/A 3220-2020.docx", "A 3220-2020")</f>
        <v/>
      </c>
      <c r="Y79">
        <f>HYPERLINK("https://klasma.github.io/Logging_NYNASHAMN/tillsynsmail/A 3220-2020.docx", "A 3220-2020")</f>
        <v/>
      </c>
    </row>
    <row r="80" ht="15" customHeight="1">
      <c r="A80" t="inlineStr">
        <is>
          <t>A 32532-2020</t>
        </is>
      </c>
      <c r="B80" s="1" t="n">
        <v>44018</v>
      </c>
      <c r="C80" s="1" t="n">
        <v>45186</v>
      </c>
      <c r="D80" t="inlineStr">
        <is>
          <t>STOCKHOLMS LÄN</t>
        </is>
      </c>
      <c r="E80" t="inlineStr">
        <is>
          <t>HANINGE</t>
        </is>
      </c>
      <c r="F80" t="inlineStr">
        <is>
          <t>Kommuner</t>
        </is>
      </c>
      <c r="G80" t="n">
        <v>2.9</v>
      </c>
      <c r="H80" t="n">
        <v>3</v>
      </c>
      <c r="I80" t="n">
        <v>2</v>
      </c>
      <c r="J80" t="n">
        <v>2</v>
      </c>
      <c r="K80" t="n">
        <v>0</v>
      </c>
      <c r="L80" t="n">
        <v>0</v>
      </c>
      <c r="M80" t="n">
        <v>0</v>
      </c>
      <c r="N80" t="n">
        <v>0</v>
      </c>
      <c r="O80" t="n">
        <v>2</v>
      </c>
      <c r="P80" t="n">
        <v>0</v>
      </c>
      <c r="Q80" t="n">
        <v>5</v>
      </c>
      <c r="R80" s="2" t="inlineStr">
        <is>
          <t>Spillkråka
Talltita
Granbarkgnagare
Vedticka
Revlummer</t>
        </is>
      </c>
      <c r="S80">
        <f>HYPERLINK("https://klasma.github.io/Logging_HANINGE/artfynd/A 32532-2020.xlsx", "A 32532-2020")</f>
        <v/>
      </c>
      <c r="T80">
        <f>HYPERLINK("https://klasma.github.io/Logging_HANINGE/kartor/A 32532-2020.png", "A 32532-2020")</f>
        <v/>
      </c>
      <c r="V80">
        <f>HYPERLINK("https://klasma.github.io/Logging_HANINGE/klagomål/A 32532-2020.docx", "A 32532-2020")</f>
        <v/>
      </c>
      <c r="W80">
        <f>HYPERLINK("https://klasma.github.io/Logging_HANINGE/klagomålsmail/A 32532-2020.docx", "A 32532-2020")</f>
        <v/>
      </c>
      <c r="X80">
        <f>HYPERLINK("https://klasma.github.io/Logging_HANINGE/tillsyn/A 32532-2020.docx", "A 32532-2020")</f>
        <v/>
      </c>
      <c r="Y80">
        <f>HYPERLINK("https://klasma.github.io/Logging_HANINGE/tillsynsmail/A 32532-2020.docx", "A 32532-2020")</f>
        <v/>
      </c>
    </row>
    <row r="81" ht="15" customHeight="1">
      <c r="A81" t="inlineStr">
        <is>
          <t>A 42457-2020</t>
        </is>
      </c>
      <c r="B81" s="1" t="n">
        <v>44076</v>
      </c>
      <c r="C81" s="1" t="n">
        <v>45186</v>
      </c>
      <c r="D81" t="inlineStr">
        <is>
          <t>STOCKHOLMS LÄN</t>
        </is>
      </c>
      <c r="E81" t="inlineStr">
        <is>
          <t>NORRTÄLJE</t>
        </is>
      </c>
      <c r="F81" t="inlineStr">
        <is>
          <t>Kommuner</t>
        </is>
      </c>
      <c r="G81" t="n">
        <v>3.1</v>
      </c>
      <c r="H81" t="n">
        <v>2</v>
      </c>
      <c r="I81" t="n">
        <v>3</v>
      </c>
      <c r="J81" t="n">
        <v>1</v>
      </c>
      <c r="K81" t="n">
        <v>0</v>
      </c>
      <c r="L81" t="n">
        <v>0</v>
      </c>
      <c r="M81" t="n">
        <v>0</v>
      </c>
      <c r="N81" t="n">
        <v>0</v>
      </c>
      <c r="O81" t="n">
        <v>1</v>
      </c>
      <c r="P81" t="n">
        <v>0</v>
      </c>
      <c r="Q81" t="n">
        <v>5</v>
      </c>
      <c r="R81" s="2" t="inlineStr">
        <is>
          <t>Spillkråka
Granbräken
Jättesvampmal
Thomsons trägnagare
Blåsippa</t>
        </is>
      </c>
      <c r="S81">
        <f>HYPERLINK("https://klasma.github.io/Logging_NORRTALJE/artfynd/A 42457-2020.xlsx", "A 42457-2020")</f>
        <v/>
      </c>
      <c r="T81">
        <f>HYPERLINK("https://klasma.github.io/Logging_NORRTALJE/kartor/A 42457-2020.png", "A 42457-2020")</f>
        <v/>
      </c>
      <c r="V81">
        <f>HYPERLINK("https://klasma.github.io/Logging_NORRTALJE/klagomål/A 42457-2020.docx", "A 42457-2020")</f>
        <v/>
      </c>
      <c r="W81">
        <f>HYPERLINK("https://klasma.github.io/Logging_NORRTALJE/klagomålsmail/A 42457-2020.docx", "A 42457-2020")</f>
        <v/>
      </c>
      <c r="X81">
        <f>HYPERLINK("https://klasma.github.io/Logging_NORRTALJE/tillsyn/A 42457-2020.docx", "A 42457-2020")</f>
        <v/>
      </c>
      <c r="Y81">
        <f>HYPERLINK("https://klasma.github.io/Logging_NORRTALJE/tillsynsmail/A 42457-2020.docx", "A 42457-2020")</f>
        <v/>
      </c>
    </row>
    <row r="82" ht="15" customHeight="1">
      <c r="A82" t="inlineStr">
        <is>
          <t>A 37679-2021</t>
        </is>
      </c>
      <c r="B82" s="1" t="n">
        <v>44400</v>
      </c>
      <c r="C82" s="1" t="n">
        <v>45186</v>
      </c>
      <c r="D82" t="inlineStr">
        <is>
          <t>STOCKHOLMS LÄN</t>
        </is>
      </c>
      <c r="E82" t="inlineStr">
        <is>
          <t>SÖDERTÄLJE</t>
        </is>
      </c>
      <c r="F82" t="inlineStr">
        <is>
          <t>Sveaskog</t>
        </is>
      </c>
      <c r="G82" t="n">
        <v>25.3</v>
      </c>
      <c r="H82" t="n">
        <v>0</v>
      </c>
      <c r="I82" t="n">
        <v>2</v>
      </c>
      <c r="J82" t="n">
        <v>2</v>
      </c>
      <c r="K82" t="n">
        <v>0</v>
      </c>
      <c r="L82" t="n">
        <v>1</v>
      </c>
      <c r="M82" t="n">
        <v>0</v>
      </c>
      <c r="N82" t="n">
        <v>0</v>
      </c>
      <c r="O82" t="n">
        <v>3</v>
      </c>
      <c r="P82" t="n">
        <v>1</v>
      </c>
      <c r="Q82" t="n">
        <v>5</v>
      </c>
      <c r="R82" s="2" t="inlineStr">
        <is>
          <t>Franstandad barkskinnbagge
Björkstumpbagge
Svinrot
Spindelbock
Åttafläckig praktbagge</t>
        </is>
      </c>
      <c r="S82">
        <f>HYPERLINK("https://klasma.github.io/Logging_SODERTALJE/artfynd/A 37679-2021.xlsx", "A 37679-2021")</f>
        <v/>
      </c>
      <c r="T82">
        <f>HYPERLINK("https://klasma.github.io/Logging_SODERTALJE/kartor/A 37679-2021.png", "A 37679-2021")</f>
        <v/>
      </c>
      <c r="V82">
        <f>HYPERLINK("https://klasma.github.io/Logging_SODERTALJE/klagomål/A 37679-2021.docx", "A 37679-2021")</f>
        <v/>
      </c>
      <c r="W82">
        <f>HYPERLINK("https://klasma.github.io/Logging_SODERTALJE/klagomålsmail/A 37679-2021.docx", "A 37679-2021")</f>
        <v/>
      </c>
      <c r="X82">
        <f>HYPERLINK("https://klasma.github.io/Logging_SODERTALJE/tillsyn/A 37679-2021.docx", "A 37679-2021")</f>
        <v/>
      </c>
      <c r="Y82">
        <f>HYPERLINK("https://klasma.github.io/Logging_SODERTALJE/tillsynsmail/A 37679-2021.docx", "A 37679-2021")</f>
        <v/>
      </c>
    </row>
    <row r="83" ht="15" customHeight="1">
      <c r="A83" t="inlineStr">
        <is>
          <t>A 72111-2021</t>
        </is>
      </c>
      <c r="B83" s="1" t="n">
        <v>44544</v>
      </c>
      <c r="C83" s="1" t="n">
        <v>45186</v>
      </c>
      <c r="D83" t="inlineStr">
        <is>
          <t>STOCKHOLMS LÄN</t>
        </is>
      </c>
      <c r="E83" t="inlineStr">
        <is>
          <t>NORRTÄLJE</t>
        </is>
      </c>
      <c r="G83" t="n">
        <v>5.1</v>
      </c>
      <c r="H83" t="n">
        <v>1</v>
      </c>
      <c r="I83" t="n">
        <v>3</v>
      </c>
      <c r="J83" t="n">
        <v>1</v>
      </c>
      <c r="K83" t="n">
        <v>0</v>
      </c>
      <c r="L83" t="n">
        <v>0</v>
      </c>
      <c r="M83" t="n">
        <v>0</v>
      </c>
      <c r="N83" t="n">
        <v>0</v>
      </c>
      <c r="O83" t="n">
        <v>1</v>
      </c>
      <c r="P83" t="n">
        <v>0</v>
      </c>
      <c r="Q83" t="n">
        <v>5</v>
      </c>
      <c r="R83" s="2" t="inlineStr">
        <is>
          <t>Lunglav
Scharlakansvårskål agg.
Sårläka
Vårärt
Blåsippa</t>
        </is>
      </c>
      <c r="S83">
        <f>HYPERLINK("https://klasma.github.io/Logging_NORRTALJE/artfynd/A 72111-2021.xlsx", "A 72111-2021")</f>
        <v/>
      </c>
      <c r="T83">
        <f>HYPERLINK("https://klasma.github.io/Logging_NORRTALJE/kartor/A 72111-2021.png", "A 72111-2021")</f>
        <v/>
      </c>
      <c r="V83">
        <f>HYPERLINK("https://klasma.github.io/Logging_NORRTALJE/klagomål/A 72111-2021.docx", "A 72111-2021")</f>
        <v/>
      </c>
      <c r="W83">
        <f>HYPERLINK("https://klasma.github.io/Logging_NORRTALJE/klagomålsmail/A 72111-2021.docx", "A 72111-2021")</f>
        <v/>
      </c>
      <c r="X83">
        <f>HYPERLINK("https://klasma.github.io/Logging_NORRTALJE/tillsyn/A 72111-2021.docx", "A 72111-2021")</f>
        <v/>
      </c>
      <c r="Y83">
        <f>HYPERLINK("https://klasma.github.io/Logging_NORRTALJE/tillsynsmail/A 72111-2021.docx", "A 72111-2021")</f>
        <v/>
      </c>
    </row>
    <row r="84" ht="15" customHeight="1">
      <c r="A84" t="inlineStr">
        <is>
          <t>A 10000-2022</t>
        </is>
      </c>
      <c r="B84" s="1" t="n">
        <v>44621</v>
      </c>
      <c r="C84" s="1" t="n">
        <v>45186</v>
      </c>
      <c r="D84" t="inlineStr">
        <is>
          <t>STOCKHOLMS LÄN</t>
        </is>
      </c>
      <c r="E84" t="inlineStr">
        <is>
          <t>SIGTUNA</t>
        </is>
      </c>
      <c r="G84" t="n">
        <v>15.3</v>
      </c>
      <c r="H84" t="n">
        <v>5</v>
      </c>
      <c r="I84" t="n">
        <v>0</v>
      </c>
      <c r="J84" t="n">
        <v>3</v>
      </c>
      <c r="K84" t="n">
        <v>1</v>
      </c>
      <c r="L84" t="n">
        <v>1</v>
      </c>
      <c r="M84" t="n">
        <v>0</v>
      </c>
      <c r="N84" t="n">
        <v>0</v>
      </c>
      <c r="O84" t="n">
        <v>5</v>
      </c>
      <c r="P84" t="n">
        <v>2</v>
      </c>
      <c r="Q84" t="n">
        <v>5</v>
      </c>
      <c r="R84" s="2" t="inlineStr">
        <is>
          <t>Tornseglare
Hussvala
Fiskmås
Gulsparv
Ärtsångare</t>
        </is>
      </c>
      <c r="S84">
        <f>HYPERLINK("https://klasma.github.io/Logging_SIGTUNA/artfynd/A 10000-2022.xlsx", "A 10000-2022")</f>
        <v/>
      </c>
      <c r="T84">
        <f>HYPERLINK("https://klasma.github.io/Logging_SIGTUNA/kartor/A 10000-2022.png", "A 10000-2022")</f>
        <v/>
      </c>
      <c r="V84">
        <f>HYPERLINK("https://klasma.github.io/Logging_SIGTUNA/klagomål/A 10000-2022.docx", "A 10000-2022")</f>
        <v/>
      </c>
      <c r="W84">
        <f>HYPERLINK("https://klasma.github.io/Logging_SIGTUNA/klagomålsmail/A 10000-2022.docx", "A 10000-2022")</f>
        <v/>
      </c>
      <c r="X84">
        <f>HYPERLINK("https://klasma.github.io/Logging_SIGTUNA/tillsyn/A 10000-2022.docx", "A 10000-2022")</f>
        <v/>
      </c>
      <c r="Y84">
        <f>HYPERLINK("https://klasma.github.io/Logging_SIGTUNA/tillsynsmail/A 10000-2022.docx", "A 10000-2022")</f>
        <v/>
      </c>
    </row>
    <row r="85" ht="15" customHeight="1">
      <c r="A85" t="inlineStr">
        <is>
          <t>A 12403-2022</t>
        </is>
      </c>
      <c r="B85" s="1" t="n">
        <v>44637</v>
      </c>
      <c r="C85" s="1" t="n">
        <v>45186</v>
      </c>
      <c r="D85" t="inlineStr">
        <is>
          <t>STOCKHOLMS LÄN</t>
        </is>
      </c>
      <c r="E85" t="inlineStr">
        <is>
          <t>NYKVARN</t>
        </is>
      </c>
      <c r="G85" t="n">
        <v>9.300000000000001</v>
      </c>
      <c r="H85" t="n">
        <v>0</v>
      </c>
      <c r="I85" t="n">
        <v>4</v>
      </c>
      <c r="J85" t="n">
        <v>1</v>
      </c>
      <c r="K85" t="n">
        <v>0</v>
      </c>
      <c r="L85" t="n">
        <v>0</v>
      </c>
      <c r="M85" t="n">
        <v>0</v>
      </c>
      <c r="N85" t="n">
        <v>0</v>
      </c>
      <c r="O85" t="n">
        <v>1</v>
      </c>
      <c r="P85" t="n">
        <v>0</v>
      </c>
      <c r="Q85" t="n">
        <v>5</v>
      </c>
      <c r="R85" s="2" t="inlineStr">
        <is>
          <t>Vedtrappmossa
Hasselticka
Svart trolldruva
Sårläka
Tibast</t>
        </is>
      </c>
      <c r="S85">
        <f>HYPERLINK("https://klasma.github.io/Logging_NYKVARN/artfynd/A 12403-2022.xlsx", "A 12403-2022")</f>
        <v/>
      </c>
      <c r="T85">
        <f>HYPERLINK("https://klasma.github.io/Logging_NYKVARN/kartor/A 12403-2022.png", "A 12403-2022")</f>
        <v/>
      </c>
      <c r="V85">
        <f>HYPERLINK("https://klasma.github.io/Logging_NYKVARN/klagomål/A 12403-2022.docx", "A 12403-2022")</f>
        <v/>
      </c>
      <c r="W85">
        <f>HYPERLINK("https://klasma.github.io/Logging_NYKVARN/klagomålsmail/A 12403-2022.docx", "A 12403-2022")</f>
        <v/>
      </c>
      <c r="X85">
        <f>HYPERLINK("https://klasma.github.io/Logging_NYKVARN/tillsyn/A 12403-2022.docx", "A 12403-2022")</f>
        <v/>
      </c>
      <c r="Y85">
        <f>HYPERLINK("https://klasma.github.io/Logging_NYKVARN/tillsynsmail/A 12403-2022.docx", "A 12403-2022")</f>
        <v/>
      </c>
    </row>
    <row r="86" ht="15" customHeight="1">
      <c r="A86" t="inlineStr">
        <is>
          <t>A 8216-2023</t>
        </is>
      </c>
      <c r="B86" s="1" t="n">
        <v>44974</v>
      </c>
      <c r="C86" s="1" t="n">
        <v>45186</v>
      </c>
      <c r="D86" t="inlineStr">
        <is>
          <t>STOCKHOLMS LÄN</t>
        </is>
      </c>
      <c r="E86" t="inlineStr">
        <is>
          <t>EKERÖ</t>
        </is>
      </c>
      <c r="F86" t="inlineStr">
        <is>
          <t>Kommuner</t>
        </is>
      </c>
      <c r="G86" t="n">
        <v>5</v>
      </c>
      <c r="H86" t="n">
        <v>1</v>
      </c>
      <c r="I86" t="n">
        <v>3</v>
      </c>
      <c r="J86" t="n">
        <v>0</v>
      </c>
      <c r="K86" t="n">
        <v>1</v>
      </c>
      <c r="L86" t="n">
        <v>0</v>
      </c>
      <c r="M86" t="n">
        <v>0</v>
      </c>
      <c r="N86" t="n">
        <v>0</v>
      </c>
      <c r="O86" t="n">
        <v>1</v>
      </c>
      <c r="P86" t="n">
        <v>1</v>
      </c>
      <c r="Q86" t="n">
        <v>5</v>
      </c>
      <c r="R86" s="2" t="inlineStr">
        <is>
          <t>Gul lammticka
Blomkålssvamp
Granbarkgnagare
Thomsons trägnagare
Blåsippa</t>
        </is>
      </c>
      <c r="S86">
        <f>HYPERLINK("https://klasma.github.io/Logging_EKERO/artfynd/A 8216-2023.xlsx", "A 8216-2023")</f>
        <v/>
      </c>
      <c r="T86">
        <f>HYPERLINK("https://klasma.github.io/Logging_EKERO/kartor/A 8216-2023.png", "A 8216-2023")</f>
        <v/>
      </c>
      <c r="V86">
        <f>HYPERLINK("https://klasma.github.io/Logging_EKERO/klagomål/A 8216-2023.docx", "A 8216-2023")</f>
        <v/>
      </c>
      <c r="W86">
        <f>HYPERLINK("https://klasma.github.io/Logging_EKERO/klagomålsmail/A 8216-2023.docx", "A 8216-2023")</f>
        <v/>
      </c>
      <c r="X86">
        <f>HYPERLINK("https://klasma.github.io/Logging_EKERO/tillsyn/A 8216-2023.docx", "A 8216-2023")</f>
        <v/>
      </c>
      <c r="Y86">
        <f>HYPERLINK("https://klasma.github.io/Logging_EKERO/tillsynsmail/A 8216-2023.docx", "A 8216-2023")</f>
        <v/>
      </c>
    </row>
    <row r="87" ht="15" customHeight="1">
      <c r="A87" t="inlineStr">
        <is>
          <t>A 21922-2023</t>
        </is>
      </c>
      <c r="B87" s="1" t="n">
        <v>45068</v>
      </c>
      <c r="C87" s="1" t="n">
        <v>45186</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 "A 21922-2023")</f>
        <v/>
      </c>
      <c r="T87">
        <f>HYPERLINK("https://klasma.github.io/Logging_NORRTALJE/kartor/A 21922-2023.png", "A 21922-2023")</f>
        <v/>
      </c>
      <c r="V87">
        <f>HYPERLINK("https://klasma.github.io/Logging_NORRTALJE/klagomål/A 21922-2023.docx", "A 21922-2023")</f>
        <v/>
      </c>
      <c r="W87">
        <f>HYPERLINK("https://klasma.github.io/Logging_NORRTALJE/klagomålsmail/A 21922-2023.docx", "A 21922-2023")</f>
        <v/>
      </c>
      <c r="X87">
        <f>HYPERLINK("https://klasma.github.io/Logging_NORRTALJE/tillsyn/A 21922-2023.docx", "A 21922-2023")</f>
        <v/>
      </c>
      <c r="Y87">
        <f>HYPERLINK("https://klasma.github.io/Logging_NORRTALJE/tillsynsmail/A 21922-2023.docx", "A 21922-2023")</f>
        <v/>
      </c>
    </row>
    <row r="88" ht="15" customHeight="1">
      <c r="A88" t="inlineStr">
        <is>
          <t>A 21927-2023</t>
        </is>
      </c>
      <c r="B88" s="1" t="n">
        <v>45068</v>
      </c>
      <c r="C88" s="1" t="n">
        <v>45186</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 "A 21927-2023")</f>
        <v/>
      </c>
      <c r="T88">
        <f>HYPERLINK("https://klasma.github.io/Logging_NORRTALJE/kartor/A 21927-2023.png", "A 21927-2023")</f>
        <v/>
      </c>
      <c r="V88">
        <f>HYPERLINK("https://klasma.github.io/Logging_NORRTALJE/klagomål/A 21927-2023.docx", "A 21927-2023")</f>
        <v/>
      </c>
      <c r="W88">
        <f>HYPERLINK("https://klasma.github.io/Logging_NORRTALJE/klagomålsmail/A 21927-2023.docx", "A 21927-2023")</f>
        <v/>
      </c>
      <c r="X88">
        <f>HYPERLINK("https://klasma.github.io/Logging_NORRTALJE/tillsyn/A 21927-2023.docx", "A 21927-2023")</f>
        <v/>
      </c>
      <c r="Y88">
        <f>HYPERLINK("https://klasma.github.io/Logging_NORRTALJE/tillsynsmail/A 21927-2023.docx", "A 21927-2023")</f>
        <v/>
      </c>
    </row>
    <row r="89" ht="15" customHeight="1">
      <c r="A89" t="inlineStr">
        <is>
          <t>A 25533-2023</t>
        </is>
      </c>
      <c r="B89" s="1" t="n">
        <v>45089</v>
      </c>
      <c r="C89" s="1" t="n">
        <v>45186</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 "A 25533-2023")</f>
        <v/>
      </c>
      <c r="T89">
        <f>HYPERLINK("https://klasma.github.io/Logging_SALEM/kartor/A 25533-2023.png", "A 25533-2023")</f>
        <v/>
      </c>
      <c r="V89">
        <f>HYPERLINK("https://klasma.github.io/Logging_SALEM/klagomål/A 25533-2023.docx", "A 25533-2023")</f>
        <v/>
      </c>
      <c r="W89">
        <f>HYPERLINK("https://klasma.github.io/Logging_SALEM/klagomålsmail/A 25533-2023.docx", "A 25533-2023")</f>
        <v/>
      </c>
      <c r="X89">
        <f>HYPERLINK("https://klasma.github.io/Logging_SALEM/tillsyn/A 25533-2023.docx", "A 25533-2023")</f>
        <v/>
      </c>
      <c r="Y89">
        <f>HYPERLINK("https://klasma.github.io/Logging_SALEM/tillsynsmail/A 25533-2023.docx", "A 25533-2023")</f>
        <v/>
      </c>
    </row>
    <row r="90" ht="15" customHeight="1">
      <c r="A90" t="inlineStr">
        <is>
          <t>A 36119-2023</t>
        </is>
      </c>
      <c r="B90" s="1" t="n">
        <v>45148</v>
      </c>
      <c r="C90" s="1" t="n">
        <v>45186</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 "A 36119-2023")</f>
        <v/>
      </c>
      <c r="T90">
        <f>HYPERLINK("https://klasma.github.io/Logging_VALLENTUNA/kartor/A 36119-2023.png", "A 36119-2023")</f>
        <v/>
      </c>
      <c r="V90">
        <f>HYPERLINK("https://klasma.github.io/Logging_VALLENTUNA/klagomål/A 36119-2023.docx", "A 36119-2023")</f>
        <v/>
      </c>
      <c r="W90">
        <f>HYPERLINK("https://klasma.github.io/Logging_VALLENTUNA/klagomålsmail/A 36119-2023.docx", "A 36119-2023")</f>
        <v/>
      </c>
      <c r="X90">
        <f>HYPERLINK("https://klasma.github.io/Logging_VALLENTUNA/tillsyn/A 36119-2023.docx", "A 36119-2023")</f>
        <v/>
      </c>
      <c r="Y90">
        <f>HYPERLINK("https://klasma.github.io/Logging_VALLENTUNA/tillsynsmail/A 36119-2023.docx", "A 36119-2023")</f>
        <v/>
      </c>
    </row>
    <row r="91" ht="15" customHeight="1">
      <c r="A91" t="inlineStr">
        <is>
          <t>A 48515-2018</t>
        </is>
      </c>
      <c r="B91" s="1" t="n">
        <v>43374</v>
      </c>
      <c r="C91" s="1" t="n">
        <v>45186</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 "A 48515-2018")</f>
        <v/>
      </c>
      <c r="T91">
        <f>HYPERLINK("https://klasma.github.io/Logging_HANINGE/kartor/A 48515-2018.png", "A 48515-2018")</f>
        <v/>
      </c>
      <c r="V91">
        <f>HYPERLINK("https://klasma.github.io/Logging_HANINGE/klagomål/A 48515-2018.docx", "A 48515-2018")</f>
        <v/>
      </c>
      <c r="W91">
        <f>HYPERLINK("https://klasma.github.io/Logging_HANINGE/klagomålsmail/A 48515-2018.docx", "A 48515-2018")</f>
        <v/>
      </c>
      <c r="X91">
        <f>HYPERLINK("https://klasma.github.io/Logging_HANINGE/tillsyn/A 48515-2018.docx", "A 48515-2018")</f>
        <v/>
      </c>
      <c r="Y91">
        <f>HYPERLINK("https://klasma.github.io/Logging_HANINGE/tillsynsmail/A 48515-2018.docx", "A 48515-2018")</f>
        <v/>
      </c>
    </row>
    <row r="92" ht="15" customHeight="1">
      <c r="A92" t="inlineStr">
        <is>
          <t>A 55163-2018</t>
        </is>
      </c>
      <c r="B92" s="1" t="n">
        <v>43396</v>
      </c>
      <c r="C92" s="1" t="n">
        <v>45186</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 "A 55163-2018")</f>
        <v/>
      </c>
      <c r="T92">
        <f>HYPERLINK("https://klasma.github.io/Logging_SIGTUNA/kartor/A 55163-2018.png", "A 55163-2018")</f>
        <v/>
      </c>
      <c r="V92">
        <f>HYPERLINK("https://klasma.github.io/Logging_SIGTUNA/klagomål/A 55163-2018.docx", "A 55163-2018")</f>
        <v/>
      </c>
      <c r="W92">
        <f>HYPERLINK("https://klasma.github.io/Logging_SIGTUNA/klagomålsmail/A 55163-2018.docx", "A 55163-2018")</f>
        <v/>
      </c>
      <c r="X92">
        <f>HYPERLINK("https://klasma.github.io/Logging_SIGTUNA/tillsyn/A 55163-2018.docx", "A 55163-2018")</f>
        <v/>
      </c>
      <c r="Y92">
        <f>HYPERLINK("https://klasma.github.io/Logging_SIGTUNA/tillsynsmail/A 55163-2018.docx", "A 55163-2018")</f>
        <v/>
      </c>
    </row>
    <row r="93" ht="15" customHeight="1">
      <c r="A93" t="inlineStr">
        <is>
          <t>A 67155-2018</t>
        </is>
      </c>
      <c r="B93" s="1" t="n">
        <v>43438</v>
      </c>
      <c r="C93" s="1" t="n">
        <v>45186</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 "A 67155-2018")</f>
        <v/>
      </c>
      <c r="T93">
        <f>HYPERLINK("https://klasma.github.io/Logging_NYKVARN/kartor/A 67155-2018.png", "A 67155-2018")</f>
        <v/>
      </c>
      <c r="V93">
        <f>HYPERLINK("https://klasma.github.io/Logging_NYKVARN/klagomål/A 67155-2018.docx", "A 67155-2018")</f>
        <v/>
      </c>
      <c r="W93">
        <f>HYPERLINK("https://klasma.github.io/Logging_NYKVARN/klagomålsmail/A 67155-2018.docx", "A 67155-2018")</f>
        <v/>
      </c>
      <c r="X93">
        <f>HYPERLINK("https://klasma.github.io/Logging_NYKVARN/tillsyn/A 67155-2018.docx", "A 67155-2018")</f>
        <v/>
      </c>
      <c r="Y93">
        <f>HYPERLINK("https://klasma.github.io/Logging_NYKVARN/tillsynsmail/A 67155-2018.docx", "A 67155-2018")</f>
        <v/>
      </c>
    </row>
    <row r="94" ht="15" customHeight="1">
      <c r="A94" t="inlineStr">
        <is>
          <t>A 67203-2018</t>
        </is>
      </c>
      <c r="B94" s="1" t="n">
        <v>43438</v>
      </c>
      <c r="C94" s="1" t="n">
        <v>45186</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 "A 67203-2018")</f>
        <v/>
      </c>
      <c r="T94">
        <f>HYPERLINK("https://klasma.github.io/Logging_HANINGE/kartor/A 67203-2018.png", "A 67203-2018")</f>
        <v/>
      </c>
      <c r="V94">
        <f>HYPERLINK("https://klasma.github.io/Logging_HANINGE/klagomål/A 67203-2018.docx", "A 67203-2018")</f>
        <v/>
      </c>
      <c r="W94">
        <f>HYPERLINK("https://klasma.github.io/Logging_HANINGE/klagomålsmail/A 67203-2018.docx", "A 67203-2018")</f>
        <v/>
      </c>
      <c r="X94">
        <f>HYPERLINK("https://klasma.github.io/Logging_HANINGE/tillsyn/A 67203-2018.docx", "A 67203-2018")</f>
        <v/>
      </c>
      <c r="Y94">
        <f>HYPERLINK("https://klasma.github.io/Logging_HANINGE/tillsynsmail/A 67203-2018.docx", "A 67203-2018")</f>
        <v/>
      </c>
    </row>
    <row r="95" ht="15" customHeight="1">
      <c r="A95" t="inlineStr">
        <is>
          <t>A 67201-2018</t>
        </is>
      </c>
      <c r="B95" s="1" t="n">
        <v>43438</v>
      </c>
      <c r="C95" s="1" t="n">
        <v>45186</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 "A 67201-2018")</f>
        <v/>
      </c>
      <c r="T95">
        <f>HYPERLINK("https://klasma.github.io/Logging_HANINGE/kartor/A 67201-2018.png", "A 67201-2018")</f>
        <v/>
      </c>
      <c r="V95">
        <f>HYPERLINK("https://klasma.github.io/Logging_HANINGE/klagomål/A 67201-2018.docx", "A 67201-2018")</f>
        <v/>
      </c>
      <c r="W95">
        <f>HYPERLINK("https://klasma.github.io/Logging_HANINGE/klagomålsmail/A 67201-2018.docx", "A 67201-2018")</f>
        <v/>
      </c>
      <c r="X95">
        <f>HYPERLINK("https://klasma.github.io/Logging_HANINGE/tillsyn/A 67201-2018.docx", "A 67201-2018")</f>
        <v/>
      </c>
      <c r="Y95">
        <f>HYPERLINK("https://klasma.github.io/Logging_HANINGE/tillsynsmail/A 67201-2018.docx", "A 67201-2018")</f>
        <v/>
      </c>
    </row>
    <row r="96" ht="15" customHeight="1">
      <c r="A96" t="inlineStr">
        <is>
          <t>A 71283-2018</t>
        </is>
      </c>
      <c r="B96" s="1" t="n">
        <v>43453</v>
      </c>
      <c r="C96" s="1" t="n">
        <v>45186</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 "A 71283-2018")</f>
        <v/>
      </c>
      <c r="T96">
        <f>HYPERLINK("https://klasma.github.io/Logging_NYNASHAMN/kartor/A 71283-2018.png", "A 71283-2018")</f>
        <v/>
      </c>
      <c r="V96">
        <f>HYPERLINK("https://klasma.github.io/Logging_NYNASHAMN/klagomål/A 71283-2018.docx", "A 71283-2018")</f>
        <v/>
      </c>
      <c r="W96">
        <f>HYPERLINK("https://klasma.github.io/Logging_NYNASHAMN/klagomålsmail/A 71283-2018.docx", "A 71283-2018")</f>
        <v/>
      </c>
      <c r="X96">
        <f>HYPERLINK("https://klasma.github.io/Logging_NYNASHAMN/tillsyn/A 71283-2018.docx", "A 71283-2018")</f>
        <v/>
      </c>
      <c r="Y96">
        <f>HYPERLINK("https://klasma.github.io/Logging_NYNASHAMN/tillsynsmail/A 71283-2018.docx", "A 71283-2018")</f>
        <v/>
      </c>
    </row>
    <row r="97" ht="15" customHeight="1">
      <c r="A97" t="inlineStr">
        <is>
          <t>A 11366-2019</t>
        </is>
      </c>
      <c r="B97" s="1" t="n">
        <v>43517</v>
      </c>
      <c r="C97" s="1" t="n">
        <v>45186</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 "A 11366-2019")</f>
        <v/>
      </c>
      <c r="T97">
        <f>HYPERLINK("https://klasma.github.io/Logging_NORRTALJE/kartor/A 11366-2019.png", "A 11366-2019")</f>
        <v/>
      </c>
      <c r="V97">
        <f>HYPERLINK("https://klasma.github.io/Logging_NORRTALJE/klagomål/A 11366-2019.docx", "A 11366-2019")</f>
        <v/>
      </c>
      <c r="W97">
        <f>HYPERLINK("https://klasma.github.io/Logging_NORRTALJE/klagomålsmail/A 11366-2019.docx", "A 11366-2019")</f>
        <v/>
      </c>
      <c r="X97">
        <f>HYPERLINK("https://klasma.github.io/Logging_NORRTALJE/tillsyn/A 11366-2019.docx", "A 11366-2019")</f>
        <v/>
      </c>
      <c r="Y97">
        <f>HYPERLINK("https://klasma.github.io/Logging_NORRTALJE/tillsynsmail/A 11366-2019.docx", "A 11366-2019")</f>
        <v/>
      </c>
    </row>
    <row r="98" ht="15" customHeight="1">
      <c r="A98" t="inlineStr">
        <is>
          <t>A 25507-2019</t>
        </is>
      </c>
      <c r="B98" s="1" t="n">
        <v>43606</v>
      </c>
      <c r="C98" s="1" t="n">
        <v>45186</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 "A 25507-2019")</f>
        <v/>
      </c>
      <c r="T98">
        <f>HYPERLINK("https://klasma.github.io/Logging_NORRTALJE/kartor/A 25507-2019.png", "A 25507-2019")</f>
        <v/>
      </c>
      <c r="V98">
        <f>HYPERLINK("https://klasma.github.io/Logging_NORRTALJE/klagomål/A 25507-2019.docx", "A 25507-2019")</f>
        <v/>
      </c>
      <c r="W98">
        <f>HYPERLINK("https://klasma.github.io/Logging_NORRTALJE/klagomålsmail/A 25507-2019.docx", "A 25507-2019")</f>
        <v/>
      </c>
      <c r="X98">
        <f>HYPERLINK("https://klasma.github.io/Logging_NORRTALJE/tillsyn/A 25507-2019.docx", "A 25507-2019")</f>
        <v/>
      </c>
      <c r="Y98">
        <f>HYPERLINK("https://klasma.github.io/Logging_NORRTALJE/tillsynsmail/A 25507-2019.docx", "A 25507-2019")</f>
        <v/>
      </c>
    </row>
    <row r="99" ht="15" customHeight="1">
      <c r="A99" t="inlineStr">
        <is>
          <t>A 28408-2019</t>
        </is>
      </c>
      <c r="B99" s="1" t="n">
        <v>43626</v>
      </c>
      <c r="C99" s="1" t="n">
        <v>45186</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 "A 28408-2019")</f>
        <v/>
      </c>
      <c r="T99">
        <f>HYPERLINK("https://klasma.github.io/Logging_NORRTALJE/kartor/A 28408-2019.png", "A 28408-2019")</f>
        <v/>
      </c>
      <c r="U99">
        <f>HYPERLINK("https://klasma.github.io/Logging_NORRTALJE/knärot/A 28408-2019.png", "A 28408-2019")</f>
        <v/>
      </c>
      <c r="V99">
        <f>HYPERLINK("https://klasma.github.io/Logging_NORRTALJE/klagomål/A 28408-2019.docx", "A 28408-2019")</f>
        <v/>
      </c>
      <c r="W99">
        <f>HYPERLINK("https://klasma.github.io/Logging_NORRTALJE/klagomålsmail/A 28408-2019.docx", "A 28408-2019")</f>
        <v/>
      </c>
      <c r="X99">
        <f>HYPERLINK("https://klasma.github.io/Logging_NORRTALJE/tillsyn/A 28408-2019.docx", "A 28408-2019")</f>
        <v/>
      </c>
      <c r="Y99">
        <f>HYPERLINK("https://klasma.github.io/Logging_NORRTALJE/tillsynsmail/A 28408-2019.docx", "A 28408-2019")</f>
        <v/>
      </c>
    </row>
    <row r="100" ht="15" customHeight="1">
      <c r="A100" t="inlineStr">
        <is>
          <t>A 68127-2019</t>
        </is>
      </c>
      <c r="B100" s="1" t="n">
        <v>43817</v>
      </c>
      <c r="C100" s="1" t="n">
        <v>45186</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 "A 68127-2019")</f>
        <v/>
      </c>
      <c r="T100">
        <f>HYPERLINK("https://klasma.github.io/Logging_VALLENTUNA/kartor/A 68127-2019.png", "A 68127-2019")</f>
        <v/>
      </c>
      <c r="V100">
        <f>HYPERLINK("https://klasma.github.io/Logging_VALLENTUNA/klagomål/A 68127-2019.docx", "A 68127-2019")</f>
        <v/>
      </c>
      <c r="W100">
        <f>HYPERLINK("https://klasma.github.io/Logging_VALLENTUNA/klagomålsmail/A 68127-2019.docx", "A 68127-2019")</f>
        <v/>
      </c>
      <c r="X100">
        <f>HYPERLINK("https://klasma.github.io/Logging_VALLENTUNA/tillsyn/A 68127-2019.docx", "A 68127-2019")</f>
        <v/>
      </c>
      <c r="Y100">
        <f>HYPERLINK("https://klasma.github.io/Logging_VALLENTUNA/tillsynsmail/A 68127-2019.docx", "A 68127-2019")</f>
        <v/>
      </c>
    </row>
    <row r="101" ht="15" customHeight="1">
      <c r="A101" t="inlineStr">
        <is>
          <t>A 5732-2020</t>
        </is>
      </c>
      <c r="B101" s="1" t="n">
        <v>43863</v>
      </c>
      <c r="C101" s="1" t="n">
        <v>45186</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 "A 5732-2020")</f>
        <v/>
      </c>
      <c r="T101">
        <f>HYPERLINK("https://klasma.github.io/Logging_NORRTALJE/kartor/A 5732-2020.png", "A 5732-2020")</f>
        <v/>
      </c>
      <c r="V101">
        <f>HYPERLINK("https://klasma.github.io/Logging_NORRTALJE/klagomål/A 5732-2020.docx", "A 5732-2020")</f>
        <v/>
      </c>
      <c r="W101">
        <f>HYPERLINK("https://klasma.github.io/Logging_NORRTALJE/klagomålsmail/A 5732-2020.docx", "A 5732-2020")</f>
        <v/>
      </c>
      <c r="X101">
        <f>HYPERLINK("https://klasma.github.io/Logging_NORRTALJE/tillsyn/A 5732-2020.docx", "A 5732-2020")</f>
        <v/>
      </c>
      <c r="Y101">
        <f>HYPERLINK("https://klasma.github.io/Logging_NORRTALJE/tillsynsmail/A 5732-2020.docx", "A 5732-2020")</f>
        <v/>
      </c>
    </row>
    <row r="102" ht="15" customHeight="1">
      <c r="A102" t="inlineStr">
        <is>
          <t>A 11714-2021</t>
        </is>
      </c>
      <c r="B102" s="1" t="n">
        <v>44265</v>
      </c>
      <c r="C102" s="1" t="n">
        <v>45186</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 "A 11714-2021")</f>
        <v/>
      </c>
      <c r="T102">
        <f>HYPERLINK("https://klasma.github.io/Logging_SIGTUNA/kartor/A 11714-2021.png", "A 11714-2021")</f>
        <v/>
      </c>
      <c r="V102">
        <f>HYPERLINK("https://klasma.github.io/Logging_SIGTUNA/klagomål/A 11714-2021.docx", "A 11714-2021")</f>
        <v/>
      </c>
      <c r="W102">
        <f>HYPERLINK("https://klasma.github.io/Logging_SIGTUNA/klagomålsmail/A 11714-2021.docx", "A 11714-2021")</f>
        <v/>
      </c>
      <c r="X102">
        <f>HYPERLINK("https://klasma.github.io/Logging_SIGTUNA/tillsyn/A 11714-2021.docx", "A 11714-2021")</f>
        <v/>
      </c>
      <c r="Y102">
        <f>HYPERLINK("https://klasma.github.io/Logging_SIGTUNA/tillsynsmail/A 11714-2021.docx", "A 11714-2021")</f>
        <v/>
      </c>
    </row>
    <row r="103" ht="15" customHeight="1">
      <c r="A103" t="inlineStr">
        <is>
          <t>A 24052-2021</t>
        </is>
      </c>
      <c r="B103" s="1" t="n">
        <v>44336</v>
      </c>
      <c r="C103" s="1" t="n">
        <v>45186</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 "A 24052-2021")</f>
        <v/>
      </c>
      <c r="T103">
        <f>HYPERLINK("https://klasma.github.io/Logging_NORRTALJE/kartor/A 24052-2021.png", "A 24052-2021")</f>
        <v/>
      </c>
      <c r="V103">
        <f>HYPERLINK("https://klasma.github.io/Logging_NORRTALJE/klagomål/A 24052-2021.docx", "A 24052-2021")</f>
        <v/>
      </c>
      <c r="W103">
        <f>HYPERLINK("https://klasma.github.io/Logging_NORRTALJE/klagomålsmail/A 24052-2021.docx", "A 24052-2021")</f>
        <v/>
      </c>
      <c r="X103">
        <f>HYPERLINK("https://klasma.github.io/Logging_NORRTALJE/tillsyn/A 24052-2021.docx", "A 24052-2021")</f>
        <v/>
      </c>
      <c r="Y103">
        <f>HYPERLINK("https://klasma.github.io/Logging_NORRTALJE/tillsynsmail/A 24052-2021.docx", "A 24052-2021")</f>
        <v/>
      </c>
    </row>
    <row r="104" ht="15" customHeight="1">
      <c r="A104" t="inlineStr">
        <is>
          <t>A 72305-2021</t>
        </is>
      </c>
      <c r="B104" s="1" t="n">
        <v>44545</v>
      </c>
      <c r="C104" s="1" t="n">
        <v>45186</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 "A 72305-2021")</f>
        <v/>
      </c>
      <c r="T104">
        <f>HYPERLINK("https://klasma.github.io/Logging_NORRTALJE/kartor/A 72305-2021.png", "A 72305-2021")</f>
        <v/>
      </c>
      <c r="V104">
        <f>HYPERLINK("https://klasma.github.io/Logging_NORRTALJE/klagomål/A 72305-2021.docx", "A 72305-2021")</f>
        <v/>
      </c>
      <c r="W104">
        <f>HYPERLINK("https://klasma.github.io/Logging_NORRTALJE/klagomålsmail/A 72305-2021.docx", "A 72305-2021")</f>
        <v/>
      </c>
      <c r="X104">
        <f>HYPERLINK("https://klasma.github.io/Logging_NORRTALJE/tillsyn/A 72305-2021.docx", "A 72305-2021")</f>
        <v/>
      </c>
      <c r="Y104">
        <f>HYPERLINK("https://klasma.github.io/Logging_NORRTALJE/tillsynsmail/A 72305-2021.docx", "A 72305-2021")</f>
        <v/>
      </c>
    </row>
    <row r="105" ht="15" customHeight="1">
      <c r="A105" t="inlineStr">
        <is>
          <t>A 73783-2021</t>
        </is>
      </c>
      <c r="B105" s="1" t="n">
        <v>44552</v>
      </c>
      <c r="C105" s="1" t="n">
        <v>45186</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 "A 73783-2021")</f>
        <v/>
      </c>
      <c r="T105">
        <f>HYPERLINK("https://klasma.github.io/Logging_UPPLANDS-BRO/kartor/A 73783-2021.png", "A 73783-2021")</f>
        <v/>
      </c>
      <c r="V105">
        <f>HYPERLINK("https://klasma.github.io/Logging_UPPLANDS-BRO/klagomål/A 73783-2021.docx", "A 73783-2021")</f>
        <v/>
      </c>
      <c r="W105">
        <f>HYPERLINK("https://klasma.github.io/Logging_UPPLANDS-BRO/klagomålsmail/A 73783-2021.docx", "A 73783-2021")</f>
        <v/>
      </c>
      <c r="X105">
        <f>HYPERLINK("https://klasma.github.io/Logging_UPPLANDS-BRO/tillsyn/A 73783-2021.docx", "A 73783-2021")</f>
        <v/>
      </c>
      <c r="Y105">
        <f>HYPERLINK("https://klasma.github.io/Logging_UPPLANDS-BRO/tillsynsmail/A 73783-2021.docx", "A 73783-2021")</f>
        <v/>
      </c>
    </row>
    <row r="106" ht="15" customHeight="1">
      <c r="A106" t="inlineStr">
        <is>
          <t>A 4384-2022</t>
        </is>
      </c>
      <c r="B106" s="1" t="n">
        <v>44589</v>
      </c>
      <c r="C106" s="1" t="n">
        <v>45186</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 "A 4384-2022")</f>
        <v/>
      </c>
      <c r="T106">
        <f>HYPERLINK("https://klasma.github.io/Logging_SODERTALJE/kartor/A 4384-2022.png", "A 4384-2022")</f>
        <v/>
      </c>
      <c r="U106">
        <f>HYPERLINK("https://klasma.github.io/Logging_SODERTALJE/knärot/A 4384-2022.png", "A 4384-2022")</f>
        <v/>
      </c>
      <c r="V106">
        <f>HYPERLINK("https://klasma.github.io/Logging_SODERTALJE/klagomål/A 4384-2022.docx", "A 4384-2022")</f>
        <v/>
      </c>
      <c r="W106">
        <f>HYPERLINK("https://klasma.github.io/Logging_SODERTALJE/klagomålsmail/A 4384-2022.docx", "A 4384-2022")</f>
        <v/>
      </c>
      <c r="X106">
        <f>HYPERLINK("https://klasma.github.io/Logging_SODERTALJE/tillsyn/A 4384-2022.docx", "A 4384-2022")</f>
        <v/>
      </c>
      <c r="Y106">
        <f>HYPERLINK("https://klasma.github.io/Logging_SODERTALJE/tillsynsmail/A 4384-2022.docx", "A 4384-2022")</f>
        <v/>
      </c>
    </row>
    <row r="107" ht="15" customHeight="1">
      <c r="A107" t="inlineStr">
        <is>
          <t>A 14771-2022</t>
        </is>
      </c>
      <c r="B107" s="1" t="n">
        <v>44656</v>
      </c>
      <c r="C107" s="1" t="n">
        <v>45186</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 "A 14771-2022")</f>
        <v/>
      </c>
      <c r="T107">
        <f>HYPERLINK("https://klasma.github.io/Logging_SODERTALJE/kartor/A 14771-2022.png", "A 14771-2022")</f>
        <v/>
      </c>
      <c r="V107">
        <f>HYPERLINK("https://klasma.github.io/Logging_SODERTALJE/klagomål/A 14771-2022.docx", "A 14771-2022")</f>
        <v/>
      </c>
      <c r="W107">
        <f>HYPERLINK("https://klasma.github.io/Logging_SODERTALJE/klagomålsmail/A 14771-2022.docx", "A 14771-2022")</f>
        <v/>
      </c>
      <c r="X107">
        <f>HYPERLINK("https://klasma.github.io/Logging_SODERTALJE/tillsyn/A 14771-2022.docx", "A 14771-2022")</f>
        <v/>
      </c>
      <c r="Y107">
        <f>HYPERLINK("https://klasma.github.io/Logging_SODERTALJE/tillsynsmail/A 14771-2022.docx", "A 14771-2022")</f>
        <v/>
      </c>
    </row>
    <row r="108" ht="15" customHeight="1">
      <c r="A108" t="inlineStr">
        <is>
          <t>A 24599-2022</t>
        </is>
      </c>
      <c r="B108" s="1" t="n">
        <v>44727</v>
      </c>
      <c r="C108" s="1" t="n">
        <v>45186</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 "A 24599-2022")</f>
        <v/>
      </c>
      <c r="T108">
        <f>HYPERLINK("https://klasma.github.io/Logging_BOTKYRKA/kartor/A 24599-2022.png", "A 24599-2022")</f>
        <v/>
      </c>
      <c r="V108">
        <f>HYPERLINK("https://klasma.github.io/Logging_BOTKYRKA/klagomål/A 24599-2022.docx", "A 24599-2022")</f>
        <v/>
      </c>
      <c r="W108">
        <f>HYPERLINK("https://klasma.github.io/Logging_BOTKYRKA/klagomålsmail/A 24599-2022.docx", "A 24599-2022")</f>
        <v/>
      </c>
      <c r="X108">
        <f>HYPERLINK("https://klasma.github.io/Logging_BOTKYRKA/tillsyn/A 24599-2022.docx", "A 24599-2022")</f>
        <v/>
      </c>
      <c r="Y108">
        <f>HYPERLINK("https://klasma.github.io/Logging_BOTKYRKA/tillsynsmail/A 24599-2022.docx", "A 24599-2022")</f>
        <v/>
      </c>
    </row>
    <row r="109" ht="15" customHeight="1">
      <c r="A109" t="inlineStr">
        <is>
          <t>A 1212-2023</t>
        </is>
      </c>
      <c r="B109" s="1" t="n">
        <v>44935</v>
      </c>
      <c r="C109" s="1" t="n">
        <v>45186</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 "A 1212-2023")</f>
        <v/>
      </c>
      <c r="T109">
        <f>HYPERLINK("https://klasma.github.io/Logging_NYNASHAMN/kartor/A 1212-2023.png", "A 1212-2023")</f>
        <v/>
      </c>
      <c r="V109">
        <f>HYPERLINK("https://klasma.github.io/Logging_NYNASHAMN/klagomål/A 1212-2023.docx", "A 1212-2023")</f>
        <v/>
      </c>
      <c r="W109">
        <f>HYPERLINK("https://klasma.github.io/Logging_NYNASHAMN/klagomålsmail/A 1212-2023.docx", "A 1212-2023")</f>
        <v/>
      </c>
      <c r="X109">
        <f>HYPERLINK("https://klasma.github.io/Logging_NYNASHAMN/tillsyn/A 1212-2023.docx", "A 1212-2023")</f>
        <v/>
      </c>
      <c r="Y109">
        <f>HYPERLINK("https://klasma.github.io/Logging_NYNASHAMN/tillsynsmail/A 1212-2023.docx", "A 1212-2023")</f>
        <v/>
      </c>
    </row>
    <row r="110" ht="15" customHeight="1">
      <c r="A110" t="inlineStr">
        <is>
          <t>A 5558-2023</t>
        </is>
      </c>
      <c r="B110" s="1" t="n">
        <v>44960</v>
      </c>
      <c r="C110" s="1" t="n">
        <v>45186</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 "A 5558-2023")</f>
        <v/>
      </c>
      <c r="T110">
        <f>HYPERLINK("https://klasma.github.io/Logging_NYNASHAMN/kartor/A 5558-2023.png", "A 5558-2023")</f>
        <v/>
      </c>
      <c r="V110">
        <f>HYPERLINK("https://klasma.github.io/Logging_NYNASHAMN/klagomål/A 5558-2023.docx", "A 5558-2023")</f>
        <v/>
      </c>
      <c r="W110">
        <f>HYPERLINK("https://klasma.github.io/Logging_NYNASHAMN/klagomålsmail/A 5558-2023.docx", "A 5558-2023")</f>
        <v/>
      </c>
      <c r="X110">
        <f>HYPERLINK("https://klasma.github.io/Logging_NYNASHAMN/tillsyn/A 5558-2023.docx", "A 5558-2023")</f>
        <v/>
      </c>
      <c r="Y110">
        <f>HYPERLINK("https://klasma.github.io/Logging_NYNASHAMN/tillsynsmail/A 5558-2023.docx", "A 5558-2023")</f>
        <v/>
      </c>
    </row>
    <row r="111" ht="15" customHeight="1">
      <c r="A111" t="inlineStr">
        <is>
          <t>A 12577-2023</t>
        </is>
      </c>
      <c r="B111" s="1" t="n">
        <v>45000</v>
      </c>
      <c r="C111" s="1" t="n">
        <v>45186</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 "A 12577-2023")</f>
        <v/>
      </c>
      <c r="T111">
        <f>HYPERLINK("https://klasma.github.io/Logging_VALLENTUNA/kartor/A 12577-2023.png", "A 12577-2023")</f>
        <v/>
      </c>
      <c r="V111">
        <f>HYPERLINK("https://klasma.github.io/Logging_VALLENTUNA/klagomål/A 12577-2023.docx", "A 12577-2023")</f>
        <v/>
      </c>
      <c r="W111">
        <f>HYPERLINK("https://klasma.github.io/Logging_VALLENTUNA/klagomålsmail/A 12577-2023.docx", "A 12577-2023")</f>
        <v/>
      </c>
      <c r="X111">
        <f>HYPERLINK("https://klasma.github.io/Logging_VALLENTUNA/tillsyn/A 12577-2023.docx", "A 12577-2023")</f>
        <v/>
      </c>
      <c r="Y111">
        <f>HYPERLINK("https://klasma.github.io/Logging_VALLENTUNA/tillsynsmail/A 12577-2023.docx", "A 12577-2023")</f>
        <v/>
      </c>
    </row>
    <row r="112" ht="15" customHeight="1">
      <c r="A112" t="inlineStr">
        <is>
          <t>A 31462-2023</t>
        </is>
      </c>
      <c r="B112" s="1" t="n">
        <v>45114</v>
      </c>
      <c r="C112" s="1" t="n">
        <v>45186</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 "A 31462-2023")</f>
        <v/>
      </c>
      <c r="T112">
        <f>HYPERLINK("https://klasma.github.io/Logging_NORRTALJE/kartor/A 31462-2023.png", "A 31462-2023")</f>
        <v/>
      </c>
      <c r="V112">
        <f>HYPERLINK("https://klasma.github.io/Logging_NORRTALJE/klagomål/A 31462-2023.docx", "A 31462-2023")</f>
        <v/>
      </c>
      <c r="W112">
        <f>HYPERLINK("https://klasma.github.io/Logging_NORRTALJE/klagomålsmail/A 31462-2023.docx", "A 31462-2023")</f>
        <v/>
      </c>
      <c r="X112">
        <f>HYPERLINK("https://klasma.github.io/Logging_NORRTALJE/tillsyn/A 31462-2023.docx", "A 31462-2023")</f>
        <v/>
      </c>
      <c r="Y112">
        <f>HYPERLINK("https://klasma.github.io/Logging_NORRTALJE/tillsynsmail/A 31462-2023.docx", "A 31462-2023")</f>
        <v/>
      </c>
    </row>
    <row r="113" ht="15" customHeight="1">
      <c r="A113" t="inlineStr">
        <is>
          <t>A 64166-2018</t>
        </is>
      </c>
      <c r="B113" s="1" t="n">
        <v>43430</v>
      </c>
      <c r="C113" s="1" t="n">
        <v>45186</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 "A 64166-2018")</f>
        <v/>
      </c>
      <c r="T113">
        <f>HYPERLINK("https://klasma.github.io/Logging_SIGTUNA/kartor/A 64166-2018.png", "A 64166-2018")</f>
        <v/>
      </c>
      <c r="V113">
        <f>HYPERLINK("https://klasma.github.io/Logging_SIGTUNA/klagomål/A 64166-2018.docx", "A 64166-2018")</f>
        <v/>
      </c>
      <c r="W113">
        <f>HYPERLINK("https://klasma.github.io/Logging_SIGTUNA/klagomålsmail/A 64166-2018.docx", "A 64166-2018")</f>
        <v/>
      </c>
      <c r="X113">
        <f>HYPERLINK("https://klasma.github.io/Logging_SIGTUNA/tillsyn/A 64166-2018.docx", "A 64166-2018")</f>
        <v/>
      </c>
      <c r="Y113">
        <f>HYPERLINK("https://klasma.github.io/Logging_SIGTUNA/tillsynsmail/A 64166-2018.docx", "A 64166-2018")</f>
        <v/>
      </c>
    </row>
    <row r="114" ht="15" customHeight="1">
      <c r="A114" t="inlineStr">
        <is>
          <t>A 2663-2019</t>
        </is>
      </c>
      <c r="B114" s="1" t="n">
        <v>43478</v>
      </c>
      <c r="C114" s="1" t="n">
        <v>45186</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 "A 2663-2019")</f>
        <v/>
      </c>
      <c r="T114">
        <f>HYPERLINK("https://klasma.github.io/Logging_NORRTALJE/kartor/A 2663-2019.png", "A 2663-2019")</f>
        <v/>
      </c>
      <c r="V114">
        <f>HYPERLINK("https://klasma.github.io/Logging_NORRTALJE/klagomål/A 2663-2019.docx", "A 2663-2019")</f>
        <v/>
      </c>
      <c r="W114">
        <f>HYPERLINK("https://klasma.github.io/Logging_NORRTALJE/klagomålsmail/A 2663-2019.docx", "A 2663-2019")</f>
        <v/>
      </c>
      <c r="X114">
        <f>HYPERLINK("https://klasma.github.io/Logging_NORRTALJE/tillsyn/A 2663-2019.docx", "A 2663-2019")</f>
        <v/>
      </c>
      <c r="Y114">
        <f>HYPERLINK("https://klasma.github.io/Logging_NORRTALJE/tillsynsmail/A 2663-2019.docx", "A 2663-2019")</f>
        <v/>
      </c>
    </row>
    <row r="115" ht="15" customHeight="1">
      <c r="A115" t="inlineStr">
        <is>
          <t>A 4031-2019</t>
        </is>
      </c>
      <c r="B115" s="1" t="n">
        <v>43482</v>
      </c>
      <c r="C115" s="1" t="n">
        <v>45186</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 "A 4031-2019")</f>
        <v/>
      </c>
      <c r="T115">
        <f>HYPERLINK("https://klasma.github.io/Logging_NORRTALJE/kartor/A 4031-2019.png", "A 4031-2019")</f>
        <v/>
      </c>
      <c r="V115">
        <f>HYPERLINK("https://klasma.github.io/Logging_NORRTALJE/klagomål/A 4031-2019.docx", "A 4031-2019")</f>
        <v/>
      </c>
      <c r="W115">
        <f>HYPERLINK("https://klasma.github.io/Logging_NORRTALJE/klagomålsmail/A 4031-2019.docx", "A 4031-2019")</f>
        <v/>
      </c>
      <c r="X115">
        <f>HYPERLINK("https://klasma.github.io/Logging_NORRTALJE/tillsyn/A 4031-2019.docx", "A 4031-2019")</f>
        <v/>
      </c>
      <c r="Y115">
        <f>HYPERLINK("https://klasma.github.io/Logging_NORRTALJE/tillsynsmail/A 4031-2019.docx", "A 4031-2019")</f>
        <v/>
      </c>
    </row>
    <row r="116" ht="15" customHeight="1">
      <c r="A116" t="inlineStr">
        <is>
          <t>A 6046-2019</t>
        </is>
      </c>
      <c r="B116" s="1" t="n">
        <v>43493</v>
      </c>
      <c r="C116" s="1" t="n">
        <v>45186</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 "A 6046-2019")</f>
        <v/>
      </c>
      <c r="T116">
        <f>HYPERLINK("https://klasma.github.io/Logging_NORRTALJE/kartor/A 6046-2019.png", "A 6046-2019")</f>
        <v/>
      </c>
      <c r="V116">
        <f>HYPERLINK("https://klasma.github.io/Logging_NORRTALJE/klagomål/A 6046-2019.docx", "A 6046-2019")</f>
        <v/>
      </c>
      <c r="W116">
        <f>HYPERLINK("https://klasma.github.io/Logging_NORRTALJE/klagomålsmail/A 6046-2019.docx", "A 6046-2019")</f>
        <v/>
      </c>
      <c r="X116">
        <f>HYPERLINK("https://klasma.github.io/Logging_NORRTALJE/tillsyn/A 6046-2019.docx", "A 6046-2019")</f>
        <v/>
      </c>
      <c r="Y116">
        <f>HYPERLINK("https://klasma.github.io/Logging_NORRTALJE/tillsynsmail/A 6046-2019.docx", "A 6046-2019")</f>
        <v/>
      </c>
    </row>
    <row r="117" ht="15" customHeight="1">
      <c r="A117" t="inlineStr">
        <is>
          <t>A 12643-2019</t>
        </is>
      </c>
      <c r="B117" s="1" t="n">
        <v>43524</v>
      </c>
      <c r="C117" s="1" t="n">
        <v>45186</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 "A 12643-2019")</f>
        <v/>
      </c>
      <c r="T117">
        <f>HYPERLINK("https://klasma.github.io/Logging_NORRTALJE/kartor/A 12643-2019.png", "A 12643-2019")</f>
        <v/>
      </c>
      <c r="V117">
        <f>HYPERLINK("https://klasma.github.io/Logging_NORRTALJE/klagomål/A 12643-2019.docx", "A 12643-2019")</f>
        <v/>
      </c>
      <c r="W117">
        <f>HYPERLINK("https://klasma.github.io/Logging_NORRTALJE/klagomålsmail/A 12643-2019.docx", "A 12643-2019")</f>
        <v/>
      </c>
      <c r="X117">
        <f>HYPERLINK("https://klasma.github.io/Logging_NORRTALJE/tillsyn/A 12643-2019.docx", "A 12643-2019")</f>
        <v/>
      </c>
      <c r="Y117">
        <f>HYPERLINK("https://klasma.github.io/Logging_NORRTALJE/tillsynsmail/A 12643-2019.docx", "A 12643-2019")</f>
        <v/>
      </c>
    </row>
    <row r="118" ht="15" customHeight="1">
      <c r="A118" t="inlineStr">
        <is>
          <t>A 19617-2019</t>
        </is>
      </c>
      <c r="B118" s="1" t="n">
        <v>43566</v>
      </c>
      <c r="C118" s="1" t="n">
        <v>45186</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 "A 19617-2019")</f>
        <v/>
      </c>
      <c r="T118">
        <f>HYPERLINK("https://klasma.github.io/Logging_NORRTALJE/kartor/A 19617-2019.png", "A 19617-2019")</f>
        <v/>
      </c>
      <c r="V118">
        <f>HYPERLINK("https://klasma.github.io/Logging_NORRTALJE/klagomål/A 19617-2019.docx", "A 19617-2019")</f>
        <v/>
      </c>
      <c r="W118">
        <f>HYPERLINK("https://klasma.github.io/Logging_NORRTALJE/klagomålsmail/A 19617-2019.docx", "A 19617-2019")</f>
        <v/>
      </c>
      <c r="X118">
        <f>HYPERLINK("https://klasma.github.io/Logging_NORRTALJE/tillsyn/A 19617-2019.docx", "A 19617-2019")</f>
        <v/>
      </c>
      <c r="Y118">
        <f>HYPERLINK("https://klasma.github.io/Logging_NORRTALJE/tillsynsmail/A 19617-2019.docx", "A 19617-2019")</f>
        <v/>
      </c>
    </row>
    <row r="119" ht="15" customHeight="1">
      <c r="A119" t="inlineStr">
        <is>
          <t>A 59655-2019</t>
        </is>
      </c>
      <c r="B119" s="1" t="n">
        <v>43776</v>
      </c>
      <c r="C119" s="1" t="n">
        <v>45186</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 "A 59655-2019")</f>
        <v/>
      </c>
      <c r="T119">
        <f>HYPERLINK("https://klasma.github.io/Logging_SODERTALJE/kartor/A 59655-2019.png", "A 59655-2019")</f>
        <v/>
      </c>
      <c r="V119">
        <f>HYPERLINK("https://klasma.github.io/Logging_SODERTALJE/klagomål/A 59655-2019.docx", "A 59655-2019")</f>
        <v/>
      </c>
      <c r="W119">
        <f>HYPERLINK("https://klasma.github.io/Logging_SODERTALJE/klagomålsmail/A 59655-2019.docx", "A 59655-2019")</f>
        <v/>
      </c>
      <c r="X119">
        <f>HYPERLINK("https://klasma.github.io/Logging_SODERTALJE/tillsyn/A 59655-2019.docx", "A 59655-2019")</f>
        <v/>
      </c>
      <c r="Y119">
        <f>HYPERLINK("https://klasma.github.io/Logging_SODERTALJE/tillsynsmail/A 59655-2019.docx", "A 59655-2019")</f>
        <v/>
      </c>
    </row>
    <row r="120" ht="15" customHeight="1">
      <c r="A120" t="inlineStr">
        <is>
          <t>A 13892-2020</t>
        </is>
      </c>
      <c r="B120" s="1" t="n">
        <v>43906</v>
      </c>
      <c r="C120" s="1" t="n">
        <v>45186</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 "A 13892-2020")</f>
        <v/>
      </c>
      <c r="T120">
        <f>HYPERLINK("https://klasma.github.io/Logging_HANINGE/kartor/A 13892-2020.png", "A 13892-2020")</f>
        <v/>
      </c>
      <c r="V120">
        <f>HYPERLINK("https://klasma.github.io/Logging_HANINGE/klagomål/A 13892-2020.docx", "A 13892-2020")</f>
        <v/>
      </c>
      <c r="W120">
        <f>HYPERLINK("https://klasma.github.io/Logging_HANINGE/klagomålsmail/A 13892-2020.docx", "A 13892-2020")</f>
        <v/>
      </c>
      <c r="X120">
        <f>HYPERLINK("https://klasma.github.io/Logging_HANINGE/tillsyn/A 13892-2020.docx", "A 13892-2020")</f>
        <v/>
      </c>
      <c r="Y120">
        <f>HYPERLINK("https://klasma.github.io/Logging_HANINGE/tillsynsmail/A 13892-2020.docx", "A 13892-2020")</f>
        <v/>
      </c>
    </row>
    <row r="121" ht="15" customHeight="1">
      <c r="A121" t="inlineStr">
        <is>
          <t>A 24386-2020</t>
        </is>
      </c>
      <c r="B121" s="1" t="n">
        <v>43973</v>
      </c>
      <c r="C121" s="1" t="n">
        <v>45186</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 "A 24386-2020")</f>
        <v/>
      </c>
      <c r="T121">
        <f>HYPERLINK("https://klasma.github.io/Logging_SIGTUNA/kartor/A 24386-2020.png", "A 24386-2020")</f>
        <v/>
      </c>
      <c r="V121">
        <f>HYPERLINK("https://klasma.github.io/Logging_SIGTUNA/klagomål/A 24386-2020.docx", "A 24386-2020")</f>
        <v/>
      </c>
      <c r="W121">
        <f>HYPERLINK("https://klasma.github.io/Logging_SIGTUNA/klagomålsmail/A 24386-2020.docx", "A 24386-2020")</f>
        <v/>
      </c>
      <c r="X121">
        <f>HYPERLINK("https://klasma.github.io/Logging_SIGTUNA/tillsyn/A 24386-2020.docx", "A 24386-2020")</f>
        <v/>
      </c>
      <c r="Y121">
        <f>HYPERLINK("https://klasma.github.io/Logging_SIGTUNA/tillsynsmail/A 24386-2020.docx", "A 24386-2020")</f>
        <v/>
      </c>
    </row>
    <row r="122" ht="15" customHeight="1">
      <c r="A122" t="inlineStr">
        <is>
          <t>A 26334-2020</t>
        </is>
      </c>
      <c r="B122" s="1" t="n">
        <v>43986</v>
      </c>
      <c r="C122" s="1" t="n">
        <v>45186</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 "A 26334-2020")</f>
        <v/>
      </c>
      <c r="T122">
        <f>HYPERLINK("https://klasma.github.io/Logging_EKERO/kartor/A 26334-2020.png", "A 26334-2020")</f>
        <v/>
      </c>
      <c r="V122">
        <f>HYPERLINK("https://klasma.github.io/Logging_EKERO/klagomål/A 26334-2020.docx", "A 26334-2020")</f>
        <v/>
      </c>
      <c r="W122">
        <f>HYPERLINK("https://klasma.github.io/Logging_EKERO/klagomålsmail/A 26334-2020.docx", "A 26334-2020")</f>
        <v/>
      </c>
      <c r="X122">
        <f>HYPERLINK("https://klasma.github.io/Logging_EKERO/tillsyn/A 26334-2020.docx", "A 26334-2020")</f>
        <v/>
      </c>
      <c r="Y122">
        <f>HYPERLINK("https://klasma.github.io/Logging_EKERO/tillsynsmail/A 26334-2020.docx", "A 26334-2020")</f>
        <v/>
      </c>
    </row>
    <row r="123" ht="15" customHeight="1">
      <c r="A123" t="inlineStr">
        <is>
          <t>A 45510-2020</t>
        </is>
      </c>
      <c r="B123" s="1" t="n">
        <v>44089</v>
      </c>
      <c r="C123" s="1" t="n">
        <v>45186</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 "A 45510-2020")</f>
        <v/>
      </c>
      <c r="T123">
        <f>HYPERLINK("https://klasma.github.io/Logging_NACKA/kartor/A 45510-2020.png", "A 45510-2020")</f>
        <v/>
      </c>
      <c r="V123">
        <f>HYPERLINK("https://klasma.github.io/Logging_NACKA/klagomål/A 45510-2020.docx", "A 45510-2020")</f>
        <v/>
      </c>
      <c r="W123">
        <f>HYPERLINK("https://klasma.github.io/Logging_NACKA/klagomålsmail/A 45510-2020.docx", "A 45510-2020")</f>
        <v/>
      </c>
      <c r="X123">
        <f>HYPERLINK("https://klasma.github.io/Logging_NACKA/tillsyn/A 45510-2020.docx", "A 45510-2020")</f>
        <v/>
      </c>
      <c r="Y123">
        <f>HYPERLINK("https://klasma.github.io/Logging_NACKA/tillsynsmail/A 45510-2020.docx", "A 45510-2020")</f>
        <v/>
      </c>
    </row>
    <row r="124" ht="15" customHeight="1">
      <c r="A124" t="inlineStr">
        <is>
          <t>A 46303-2020</t>
        </is>
      </c>
      <c r="B124" s="1" t="n">
        <v>44092</v>
      </c>
      <c r="C124" s="1" t="n">
        <v>45186</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 "A 46303-2020")</f>
        <v/>
      </c>
      <c r="T124">
        <f>HYPERLINK("https://klasma.github.io/Logging_SODERTALJE/kartor/A 46303-2020.png", "A 46303-2020")</f>
        <v/>
      </c>
      <c r="V124">
        <f>HYPERLINK("https://klasma.github.io/Logging_SODERTALJE/klagomål/A 46303-2020.docx", "A 46303-2020")</f>
        <v/>
      </c>
      <c r="W124">
        <f>HYPERLINK("https://klasma.github.io/Logging_SODERTALJE/klagomålsmail/A 46303-2020.docx", "A 46303-2020")</f>
        <v/>
      </c>
      <c r="X124">
        <f>HYPERLINK("https://klasma.github.io/Logging_SODERTALJE/tillsyn/A 46303-2020.docx", "A 46303-2020")</f>
        <v/>
      </c>
      <c r="Y124">
        <f>HYPERLINK("https://klasma.github.io/Logging_SODERTALJE/tillsynsmail/A 46303-2020.docx", "A 46303-2020")</f>
        <v/>
      </c>
    </row>
    <row r="125" ht="15" customHeight="1">
      <c r="A125" t="inlineStr">
        <is>
          <t>A 53981-2020</t>
        </is>
      </c>
      <c r="B125" s="1" t="n">
        <v>44125</v>
      </c>
      <c r="C125" s="1" t="n">
        <v>45186</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 "A 53981-2020")</f>
        <v/>
      </c>
      <c r="T125">
        <f>HYPERLINK("https://klasma.github.io/Logging_BOTKYRKA/kartor/A 53981-2020.png", "A 53981-2020")</f>
        <v/>
      </c>
      <c r="V125">
        <f>HYPERLINK("https://klasma.github.io/Logging_BOTKYRKA/klagomål/A 53981-2020.docx", "A 53981-2020")</f>
        <v/>
      </c>
      <c r="W125">
        <f>HYPERLINK("https://klasma.github.io/Logging_BOTKYRKA/klagomålsmail/A 53981-2020.docx", "A 53981-2020")</f>
        <v/>
      </c>
      <c r="X125">
        <f>HYPERLINK("https://klasma.github.io/Logging_BOTKYRKA/tillsyn/A 53981-2020.docx", "A 53981-2020")</f>
        <v/>
      </c>
      <c r="Y125">
        <f>HYPERLINK("https://klasma.github.io/Logging_BOTKYRKA/tillsynsmail/A 53981-2020.docx", "A 53981-2020")</f>
        <v/>
      </c>
    </row>
    <row r="126" ht="15" customHeight="1">
      <c r="A126" t="inlineStr">
        <is>
          <t>A 14560-2021</t>
        </is>
      </c>
      <c r="B126" s="1" t="n">
        <v>44279</v>
      </c>
      <c r="C126" s="1" t="n">
        <v>45186</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 "A 14560-2021")</f>
        <v/>
      </c>
      <c r="T126">
        <f>HYPERLINK("https://klasma.github.io/Logging_NORRTALJE/kartor/A 14560-2021.png", "A 14560-2021")</f>
        <v/>
      </c>
      <c r="V126">
        <f>HYPERLINK("https://klasma.github.io/Logging_NORRTALJE/klagomål/A 14560-2021.docx", "A 14560-2021")</f>
        <v/>
      </c>
      <c r="W126">
        <f>HYPERLINK("https://klasma.github.io/Logging_NORRTALJE/klagomålsmail/A 14560-2021.docx", "A 14560-2021")</f>
        <v/>
      </c>
      <c r="X126">
        <f>HYPERLINK("https://klasma.github.io/Logging_NORRTALJE/tillsyn/A 14560-2021.docx", "A 14560-2021")</f>
        <v/>
      </c>
      <c r="Y126">
        <f>HYPERLINK("https://klasma.github.io/Logging_NORRTALJE/tillsynsmail/A 14560-2021.docx", "A 14560-2021")</f>
        <v/>
      </c>
    </row>
    <row r="127" ht="15" customHeight="1">
      <c r="A127" t="inlineStr">
        <is>
          <t>A 17673-2021</t>
        </is>
      </c>
      <c r="B127" s="1" t="n">
        <v>44300</v>
      </c>
      <c r="C127" s="1" t="n">
        <v>45186</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 "A 17673-2021")</f>
        <v/>
      </c>
      <c r="T127">
        <f>HYPERLINK("https://klasma.github.io/Logging_NORRTALJE/kartor/A 17673-2021.png", "A 17673-2021")</f>
        <v/>
      </c>
      <c r="V127">
        <f>HYPERLINK("https://klasma.github.io/Logging_NORRTALJE/klagomål/A 17673-2021.docx", "A 17673-2021")</f>
        <v/>
      </c>
      <c r="W127">
        <f>HYPERLINK("https://klasma.github.io/Logging_NORRTALJE/klagomålsmail/A 17673-2021.docx", "A 17673-2021")</f>
        <v/>
      </c>
      <c r="X127">
        <f>HYPERLINK("https://klasma.github.io/Logging_NORRTALJE/tillsyn/A 17673-2021.docx", "A 17673-2021")</f>
        <v/>
      </c>
      <c r="Y127">
        <f>HYPERLINK("https://klasma.github.io/Logging_NORRTALJE/tillsynsmail/A 17673-2021.docx", "A 17673-2021")</f>
        <v/>
      </c>
    </row>
    <row r="128" ht="15" customHeight="1">
      <c r="A128" t="inlineStr">
        <is>
          <t>A 29818-2021</t>
        </is>
      </c>
      <c r="B128" s="1" t="n">
        <v>44362</v>
      </c>
      <c r="C128" s="1" t="n">
        <v>45186</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 "A 29818-2021")</f>
        <v/>
      </c>
      <c r="T128">
        <f>HYPERLINK("https://klasma.github.io/Logging_VARMDO/kartor/A 29818-2021.png", "A 29818-2021")</f>
        <v/>
      </c>
      <c r="V128">
        <f>HYPERLINK("https://klasma.github.io/Logging_VARMDO/klagomål/A 29818-2021.docx", "A 29818-2021")</f>
        <v/>
      </c>
      <c r="W128">
        <f>HYPERLINK("https://klasma.github.io/Logging_VARMDO/klagomålsmail/A 29818-2021.docx", "A 29818-2021")</f>
        <v/>
      </c>
      <c r="X128">
        <f>HYPERLINK("https://klasma.github.io/Logging_VARMDO/tillsyn/A 29818-2021.docx", "A 29818-2021")</f>
        <v/>
      </c>
      <c r="Y128">
        <f>HYPERLINK("https://klasma.github.io/Logging_VARMDO/tillsynsmail/A 29818-2021.docx", "A 29818-2021")</f>
        <v/>
      </c>
    </row>
    <row r="129" ht="15" customHeight="1">
      <c r="A129" t="inlineStr">
        <is>
          <t>A 31335-2021</t>
        </is>
      </c>
      <c r="B129" s="1" t="n">
        <v>44368</v>
      </c>
      <c r="C129" s="1" t="n">
        <v>45186</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 "A 31335-2021")</f>
        <v/>
      </c>
      <c r="T129">
        <f>HYPERLINK("https://klasma.github.io/Logging_UPPLANDS-BRO/kartor/A 31335-2021.png", "A 31335-2021")</f>
        <v/>
      </c>
      <c r="V129">
        <f>HYPERLINK("https://klasma.github.io/Logging_UPPLANDS-BRO/klagomål/A 31335-2021.docx", "A 31335-2021")</f>
        <v/>
      </c>
      <c r="W129">
        <f>HYPERLINK("https://klasma.github.io/Logging_UPPLANDS-BRO/klagomålsmail/A 31335-2021.docx", "A 31335-2021")</f>
        <v/>
      </c>
      <c r="X129">
        <f>HYPERLINK("https://klasma.github.io/Logging_UPPLANDS-BRO/tillsyn/A 31335-2021.docx", "A 31335-2021")</f>
        <v/>
      </c>
      <c r="Y129">
        <f>HYPERLINK("https://klasma.github.io/Logging_UPPLANDS-BRO/tillsynsmail/A 31335-2021.docx", "A 31335-2021")</f>
        <v/>
      </c>
    </row>
    <row r="130" ht="15" customHeight="1">
      <c r="A130" t="inlineStr">
        <is>
          <t>A 41371-2021</t>
        </is>
      </c>
      <c r="B130" s="1" t="n">
        <v>44424</v>
      </c>
      <c r="C130" s="1" t="n">
        <v>45186</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 "A 41371-2021")</f>
        <v/>
      </c>
      <c r="T130">
        <f>HYPERLINK("https://klasma.github.io/Logging_NYNASHAMN/kartor/A 41371-2021.png", "A 41371-2021")</f>
        <v/>
      </c>
      <c r="V130">
        <f>HYPERLINK("https://klasma.github.io/Logging_NYNASHAMN/klagomål/A 41371-2021.docx", "A 41371-2021")</f>
        <v/>
      </c>
      <c r="W130">
        <f>HYPERLINK("https://klasma.github.io/Logging_NYNASHAMN/klagomålsmail/A 41371-2021.docx", "A 41371-2021")</f>
        <v/>
      </c>
      <c r="X130">
        <f>HYPERLINK("https://klasma.github.io/Logging_NYNASHAMN/tillsyn/A 41371-2021.docx", "A 41371-2021")</f>
        <v/>
      </c>
      <c r="Y130">
        <f>HYPERLINK("https://klasma.github.io/Logging_NYNASHAMN/tillsynsmail/A 41371-2021.docx", "A 41371-2021")</f>
        <v/>
      </c>
    </row>
    <row r="131" ht="15" customHeight="1">
      <c r="A131" t="inlineStr">
        <is>
          <t>A 43900-2021</t>
        </is>
      </c>
      <c r="B131" s="1" t="n">
        <v>44434</v>
      </c>
      <c r="C131" s="1" t="n">
        <v>45186</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 "A 43900-2021")</f>
        <v/>
      </c>
      <c r="T131">
        <f>HYPERLINK("https://klasma.github.io/Logging_BOTKYRKA/kartor/A 43900-2021.png", "A 43900-2021")</f>
        <v/>
      </c>
      <c r="V131">
        <f>HYPERLINK("https://klasma.github.io/Logging_BOTKYRKA/klagomål/A 43900-2021.docx", "A 43900-2021")</f>
        <v/>
      </c>
      <c r="W131">
        <f>HYPERLINK("https://klasma.github.io/Logging_BOTKYRKA/klagomålsmail/A 43900-2021.docx", "A 43900-2021")</f>
        <v/>
      </c>
      <c r="X131">
        <f>HYPERLINK("https://klasma.github.io/Logging_BOTKYRKA/tillsyn/A 43900-2021.docx", "A 43900-2021")</f>
        <v/>
      </c>
      <c r="Y131">
        <f>HYPERLINK("https://klasma.github.io/Logging_BOTKYRKA/tillsynsmail/A 43900-2021.docx", "A 43900-2021")</f>
        <v/>
      </c>
    </row>
    <row r="132" ht="15" customHeight="1">
      <c r="A132" t="inlineStr">
        <is>
          <t>A 65629-2021</t>
        </is>
      </c>
      <c r="B132" s="1" t="n">
        <v>44516</v>
      </c>
      <c r="C132" s="1" t="n">
        <v>45186</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 "A 65629-2021")</f>
        <v/>
      </c>
      <c r="T132">
        <f>HYPERLINK("https://klasma.github.io/Logging_NORRTALJE/kartor/A 65629-2021.png", "A 65629-2021")</f>
        <v/>
      </c>
      <c r="V132">
        <f>HYPERLINK("https://klasma.github.io/Logging_NORRTALJE/klagomål/A 65629-2021.docx", "A 65629-2021")</f>
        <v/>
      </c>
      <c r="W132">
        <f>HYPERLINK("https://klasma.github.io/Logging_NORRTALJE/klagomålsmail/A 65629-2021.docx", "A 65629-2021")</f>
        <v/>
      </c>
      <c r="X132">
        <f>HYPERLINK("https://klasma.github.io/Logging_NORRTALJE/tillsyn/A 65629-2021.docx", "A 65629-2021")</f>
        <v/>
      </c>
      <c r="Y132">
        <f>HYPERLINK("https://klasma.github.io/Logging_NORRTALJE/tillsynsmail/A 65629-2021.docx", "A 65629-2021")</f>
        <v/>
      </c>
    </row>
    <row r="133" ht="15" customHeight="1">
      <c r="A133" t="inlineStr">
        <is>
          <t>A 73093-2021</t>
        </is>
      </c>
      <c r="B133" s="1" t="n">
        <v>44550</v>
      </c>
      <c r="C133" s="1" t="n">
        <v>45186</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 "A 73093-2021")</f>
        <v/>
      </c>
      <c r="T133">
        <f>HYPERLINK("https://klasma.github.io/Logging_NORRTALJE/kartor/A 73093-2021.png", "A 73093-2021")</f>
        <v/>
      </c>
      <c r="V133">
        <f>HYPERLINK("https://klasma.github.io/Logging_NORRTALJE/klagomål/A 73093-2021.docx", "A 73093-2021")</f>
        <v/>
      </c>
      <c r="W133">
        <f>HYPERLINK("https://klasma.github.io/Logging_NORRTALJE/klagomålsmail/A 73093-2021.docx", "A 73093-2021")</f>
        <v/>
      </c>
      <c r="X133">
        <f>HYPERLINK("https://klasma.github.io/Logging_NORRTALJE/tillsyn/A 73093-2021.docx", "A 73093-2021")</f>
        <v/>
      </c>
      <c r="Y133">
        <f>HYPERLINK("https://klasma.github.io/Logging_NORRTALJE/tillsynsmail/A 73093-2021.docx", "A 73093-2021")</f>
        <v/>
      </c>
    </row>
    <row r="134" ht="15" customHeight="1">
      <c r="A134" t="inlineStr">
        <is>
          <t>A 1244-2022</t>
        </is>
      </c>
      <c r="B134" s="1" t="n">
        <v>44572</v>
      </c>
      <c r="C134" s="1" t="n">
        <v>45186</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 "A 1244-2022")</f>
        <v/>
      </c>
      <c r="T134">
        <f>HYPERLINK("https://klasma.github.io/Logging_VARMDO/kartor/A 1244-2022.png", "A 1244-2022")</f>
        <v/>
      </c>
      <c r="V134">
        <f>HYPERLINK("https://klasma.github.io/Logging_VARMDO/klagomål/A 1244-2022.docx", "A 1244-2022")</f>
        <v/>
      </c>
      <c r="W134">
        <f>HYPERLINK("https://klasma.github.io/Logging_VARMDO/klagomålsmail/A 1244-2022.docx", "A 1244-2022")</f>
        <v/>
      </c>
      <c r="X134">
        <f>HYPERLINK("https://klasma.github.io/Logging_VARMDO/tillsyn/A 1244-2022.docx", "A 1244-2022")</f>
        <v/>
      </c>
      <c r="Y134">
        <f>HYPERLINK("https://klasma.github.io/Logging_VARMDO/tillsynsmail/A 1244-2022.docx", "A 1244-2022")</f>
        <v/>
      </c>
    </row>
    <row r="135" ht="15" customHeight="1">
      <c r="A135" t="inlineStr">
        <is>
          <t>A 11803-2022</t>
        </is>
      </c>
      <c r="B135" s="1" t="n">
        <v>44634</v>
      </c>
      <c r="C135" s="1" t="n">
        <v>45186</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 "A 11803-2022")</f>
        <v/>
      </c>
      <c r="T135">
        <f>HYPERLINK("https://klasma.github.io/Logging_EKERO/kartor/A 11803-2022.png", "A 11803-2022")</f>
        <v/>
      </c>
      <c r="V135">
        <f>HYPERLINK("https://klasma.github.io/Logging_EKERO/klagomål/A 11803-2022.docx", "A 11803-2022")</f>
        <v/>
      </c>
      <c r="W135">
        <f>HYPERLINK("https://klasma.github.io/Logging_EKERO/klagomålsmail/A 11803-2022.docx", "A 11803-2022")</f>
        <v/>
      </c>
      <c r="X135">
        <f>HYPERLINK("https://klasma.github.io/Logging_EKERO/tillsyn/A 11803-2022.docx", "A 11803-2022")</f>
        <v/>
      </c>
      <c r="Y135">
        <f>HYPERLINK("https://klasma.github.io/Logging_EKERO/tillsynsmail/A 11803-2022.docx", "A 11803-2022")</f>
        <v/>
      </c>
    </row>
    <row r="136" ht="15" customHeight="1">
      <c r="A136" t="inlineStr">
        <is>
          <t>A 12620-2022</t>
        </is>
      </c>
      <c r="B136" s="1" t="n">
        <v>44638</v>
      </c>
      <c r="C136" s="1" t="n">
        <v>45186</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 "A 12620-2022")</f>
        <v/>
      </c>
      <c r="T136">
        <f>HYPERLINK("https://klasma.github.io/Logging_OSTERAKER/kartor/A 12620-2022.png", "A 12620-2022")</f>
        <v/>
      </c>
      <c r="V136">
        <f>HYPERLINK("https://klasma.github.io/Logging_OSTERAKER/klagomål/A 12620-2022.docx", "A 12620-2022")</f>
        <v/>
      </c>
      <c r="W136">
        <f>HYPERLINK("https://klasma.github.io/Logging_OSTERAKER/klagomålsmail/A 12620-2022.docx", "A 12620-2022")</f>
        <v/>
      </c>
      <c r="X136">
        <f>HYPERLINK("https://klasma.github.io/Logging_OSTERAKER/tillsyn/A 12620-2022.docx", "A 12620-2022")</f>
        <v/>
      </c>
      <c r="Y136">
        <f>HYPERLINK("https://klasma.github.io/Logging_OSTERAKER/tillsynsmail/A 12620-2022.docx", "A 12620-2022")</f>
        <v/>
      </c>
    </row>
    <row r="137" ht="15" customHeight="1">
      <c r="A137" t="inlineStr">
        <is>
          <t>A 17244-2022</t>
        </is>
      </c>
      <c r="B137" s="1" t="n">
        <v>44678</v>
      </c>
      <c r="C137" s="1" t="n">
        <v>45186</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 "A 17244-2022")</f>
        <v/>
      </c>
      <c r="T137">
        <f>HYPERLINK("https://klasma.github.io/Logging_OSTERAKER/kartor/A 17244-2022.png", "A 17244-2022")</f>
        <v/>
      </c>
      <c r="V137">
        <f>HYPERLINK("https://klasma.github.io/Logging_OSTERAKER/klagomål/A 17244-2022.docx", "A 17244-2022")</f>
        <v/>
      </c>
      <c r="W137">
        <f>HYPERLINK("https://klasma.github.io/Logging_OSTERAKER/klagomålsmail/A 17244-2022.docx", "A 17244-2022")</f>
        <v/>
      </c>
      <c r="X137">
        <f>HYPERLINK("https://klasma.github.io/Logging_OSTERAKER/tillsyn/A 17244-2022.docx", "A 17244-2022")</f>
        <v/>
      </c>
      <c r="Y137">
        <f>HYPERLINK("https://klasma.github.io/Logging_OSTERAKER/tillsynsmail/A 17244-2022.docx", "A 17244-2022")</f>
        <v/>
      </c>
    </row>
    <row r="138" ht="15" customHeight="1">
      <c r="A138" t="inlineStr">
        <is>
          <t>A 20185-2022</t>
        </is>
      </c>
      <c r="B138" s="1" t="n">
        <v>44698</v>
      </c>
      <c r="C138" s="1" t="n">
        <v>45186</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 "A 20185-2022")</f>
        <v/>
      </c>
      <c r="T138">
        <f>HYPERLINK("https://klasma.github.io/Logging_NORRTALJE/kartor/A 20185-2022.png", "A 20185-2022")</f>
        <v/>
      </c>
      <c r="V138">
        <f>HYPERLINK("https://klasma.github.io/Logging_NORRTALJE/klagomål/A 20185-2022.docx", "A 20185-2022")</f>
        <v/>
      </c>
      <c r="W138">
        <f>HYPERLINK("https://klasma.github.io/Logging_NORRTALJE/klagomålsmail/A 20185-2022.docx", "A 20185-2022")</f>
        <v/>
      </c>
      <c r="X138">
        <f>HYPERLINK("https://klasma.github.io/Logging_NORRTALJE/tillsyn/A 20185-2022.docx", "A 20185-2022")</f>
        <v/>
      </c>
      <c r="Y138">
        <f>HYPERLINK("https://klasma.github.io/Logging_NORRTALJE/tillsynsmail/A 20185-2022.docx", "A 20185-2022")</f>
        <v/>
      </c>
    </row>
    <row r="139" ht="15" customHeight="1">
      <c r="A139" t="inlineStr">
        <is>
          <t>A 28836-2022</t>
        </is>
      </c>
      <c r="B139" s="1" t="n">
        <v>44749</v>
      </c>
      <c r="C139" s="1" t="n">
        <v>45186</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 "A 28836-2022")</f>
        <v/>
      </c>
      <c r="T139">
        <f>HYPERLINK("https://klasma.github.io/Logging_NORRTALJE/kartor/A 28836-2022.png", "A 28836-2022")</f>
        <v/>
      </c>
      <c r="V139">
        <f>HYPERLINK("https://klasma.github.io/Logging_NORRTALJE/klagomål/A 28836-2022.docx", "A 28836-2022")</f>
        <v/>
      </c>
      <c r="W139">
        <f>HYPERLINK("https://klasma.github.io/Logging_NORRTALJE/klagomålsmail/A 28836-2022.docx", "A 28836-2022")</f>
        <v/>
      </c>
      <c r="X139">
        <f>HYPERLINK("https://klasma.github.io/Logging_NORRTALJE/tillsyn/A 28836-2022.docx", "A 28836-2022")</f>
        <v/>
      </c>
      <c r="Y139">
        <f>HYPERLINK("https://klasma.github.io/Logging_NORRTALJE/tillsynsmail/A 28836-2022.docx", "A 28836-2022")</f>
        <v/>
      </c>
    </row>
    <row r="140" ht="15" customHeight="1">
      <c r="A140" t="inlineStr">
        <is>
          <t>A 45113-2022</t>
        </is>
      </c>
      <c r="B140" s="1" t="n">
        <v>44843</v>
      </c>
      <c r="C140" s="1" t="n">
        <v>45186</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 "A 45113-2022")</f>
        <v/>
      </c>
      <c r="T140">
        <f>HYPERLINK("https://klasma.github.io/Logging_NORRTALJE/kartor/A 45113-2022.png", "A 45113-2022")</f>
        <v/>
      </c>
      <c r="V140">
        <f>HYPERLINK("https://klasma.github.io/Logging_NORRTALJE/klagomål/A 45113-2022.docx", "A 45113-2022")</f>
        <v/>
      </c>
      <c r="W140">
        <f>HYPERLINK("https://klasma.github.io/Logging_NORRTALJE/klagomålsmail/A 45113-2022.docx", "A 45113-2022")</f>
        <v/>
      </c>
      <c r="X140">
        <f>HYPERLINK("https://klasma.github.io/Logging_NORRTALJE/tillsyn/A 45113-2022.docx", "A 45113-2022")</f>
        <v/>
      </c>
      <c r="Y140">
        <f>HYPERLINK("https://klasma.github.io/Logging_NORRTALJE/tillsynsmail/A 45113-2022.docx", "A 45113-2022")</f>
        <v/>
      </c>
    </row>
    <row r="141" ht="15" customHeight="1">
      <c r="A141" t="inlineStr">
        <is>
          <t>A 48691-2022</t>
        </is>
      </c>
      <c r="B141" s="1" t="n">
        <v>44859</v>
      </c>
      <c r="C141" s="1" t="n">
        <v>45186</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 "A 48691-2022")</f>
        <v/>
      </c>
      <c r="T141">
        <f>HYPERLINK("https://klasma.github.io/Logging_VARMDO/kartor/A 48691-2022.png", "A 48691-2022")</f>
        <v/>
      </c>
      <c r="V141">
        <f>HYPERLINK("https://klasma.github.io/Logging_VARMDO/klagomål/A 48691-2022.docx", "A 48691-2022")</f>
        <v/>
      </c>
      <c r="W141">
        <f>HYPERLINK("https://klasma.github.io/Logging_VARMDO/klagomålsmail/A 48691-2022.docx", "A 48691-2022")</f>
        <v/>
      </c>
      <c r="X141">
        <f>HYPERLINK("https://klasma.github.io/Logging_VARMDO/tillsyn/A 48691-2022.docx", "A 48691-2022")</f>
        <v/>
      </c>
      <c r="Y141">
        <f>HYPERLINK("https://klasma.github.io/Logging_VARMDO/tillsynsmail/A 48691-2022.docx", "A 48691-2022")</f>
        <v/>
      </c>
    </row>
    <row r="142" ht="15" customHeight="1">
      <c r="A142" t="inlineStr">
        <is>
          <t>A 49680-2022</t>
        </is>
      </c>
      <c r="B142" s="1" t="n">
        <v>44862</v>
      </c>
      <c r="C142" s="1" t="n">
        <v>45186</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 "A 49680-2022")</f>
        <v/>
      </c>
      <c r="T142">
        <f>HYPERLINK("https://klasma.github.io/Logging_NYKVARN/kartor/A 49680-2022.png", "A 49680-2022")</f>
        <v/>
      </c>
      <c r="V142">
        <f>HYPERLINK("https://klasma.github.io/Logging_NYKVARN/klagomål/A 49680-2022.docx", "A 49680-2022")</f>
        <v/>
      </c>
      <c r="W142">
        <f>HYPERLINK("https://klasma.github.io/Logging_NYKVARN/klagomålsmail/A 49680-2022.docx", "A 49680-2022")</f>
        <v/>
      </c>
      <c r="X142">
        <f>HYPERLINK("https://klasma.github.io/Logging_NYKVARN/tillsyn/A 49680-2022.docx", "A 49680-2022")</f>
        <v/>
      </c>
      <c r="Y142">
        <f>HYPERLINK("https://klasma.github.io/Logging_NYKVARN/tillsynsmail/A 49680-2022.docx", "A 49680-2022")</f>
        <v/>
      </c>
    </row>
    <row r="143" ht="15" customHeight="1">
      <c r="A143" t="inlineStr">
        <is>
          <t>A 50618-2022</t>
        </is>
      </c>
      <c r="B143" s="1" t="n">
        <v>44866</v>
      </c>
      <c r="C143" s="1" t="n">
        <v>45186</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 "A 50618-2022")</f>
        <v/>
      </c>
      <c r="T143">
        <f>HYPERLINK("https://klasma.github.io/Logging_NORRTALJE/kartor/A 50618-2022.png", "A 50618-2022")</f>
        <v/>
      </c>
      <c r="V143">
        <f>HYPERLINK("https://klasma.github.io/Logging_NORRTALJE/klagomål/A 50618-2022.docx", "A 50618-2022")</f>
        <v/>
      </c>
      <c r="W143">
        <f>HYPERLINK("https://klasma.github.io/Logging_NORRTALJE/klagomålsmail/A 50618-2022.docx", "A 50618-2022")</f>
        <v/>
      </c>
      <c r="X143">
        <f>HYPERLINK("https://klasma.github.io/Logging_NORRTALJE/tillsyn/A 50618-2022.docx", "A 50618-2022")</f>
        <v/>
      </c>
      <c r="Y143">
        <f>HYPERLINK("https://klasma.github.io/Logging_NORRTALJE/tillsynsmail/A 50618-2022.docx", "A 50618-2022")</f>
        <v/>
      </c>
    </row>
    <row r="144" ht="15" customHeight="1">
      <c r="A144" t="inlineStr">
        <is>
          <t>A 2851-2023</t>
        </is>
      </c>
      <c r="B144" s="1" t="n">
        <v>44945</v>
      </c>
      <c r="C144" s="1" t="n">
        <v>45186</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 "A 2851-2023")</f>
        <v/>
      </c>
      <c r="T144">
        <f>HYPERLINK("https://klasma.github.io/Logging_NORRTALJE/kartor/A 2851-2023.png", "A 2851-2023")</f>
        <v/>
      </c>
      <c r="V144">
        <f>HYPERLINK("https://klasma.github.io/Logging_NORRTALJE/klagomål/A 2851-2023.docx", "A 2851-2023")</f>
        <v/>
      </c>
      <c r="W144">
        <f>HYPERLINK("https://klasma.github.io/Logging_NORRTALJE/klagomålsmail/A 2851-2023.docx", "A 2851-2023")</f>
        <v/>
      </c>
      <c r="X144">
        <f>HYPERLINK("https://klasma.github.io/Logging_NORRTALJE/tillsyn/A 2851-2023.docx", "A 2851-2023")</f>
        <v/>
      </c>
      <c r="Y144">
        <f>HYPERLINK("https://klasma.github.io/Logging_NORRTALJE/tillsynsmail/A 2851-2023.docx", "A 2851-2023")</f>
        <v/>
      </c>
    </row>
    <row r="145" ht="15" customHeight="1">
      <c r="A145" t="inlineStr">
        <is>
          <t>A 3552-2023</t>
        </is>
      </c>
      <c r="B145" s="1" t="n">
        <v>44950</v>
      </c>
      <c r="C145" s="1" t="n">
        <v>45186</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 "A 3552-2023")</f>
        <v/>
      </c>
      <c r="T145">
        <f>HYPERLINK("https://klasma.github.io/Logging_VALLENTUNA/kartor/A 3552-2023.png", "A 3552-2023")</f>
        <v/>
      </c>
      <c r="V145">
        <f>HYPERLINK("https://klasma.github.io/Logging_VALLENTUNA/klagomål/A 3552-2023.docx", "A 3552-2023")</f>
        <v/>
      </c>
      <c r="W145">
        <f>HYPERLINK("https://klasma.github.io/Logging_VALLENTUNA/klagomålsmail/A 3552-2023.docx", "A 3552-2023")</f>
        <v/>
      </c>
      <c r="X145">
        <f>HYPERLINK("https://klasma.github.io/Logging_VALLENTUNA/tillsyn/A 3552-2023.docx", "A 3552-2023")</f>
        <v/>
      </c>
      <c r="Y145">
        <f>HYPERLINK("https://klasma.github.io/Logging_VALLENTUNA/tillsynsmail/A 3552-2023.docx", "A 3552-2023")</f>
        <v/>
      </c>
    </row>
    <row r="146" ht="15" customHeight="1">
      <c r="A146" t="inlineStr">
        <is>
          <t>A 6646-2023</t>
        </is>
      </c>
      <c r="B146" s="1" t="n">
        <v>44966</v>
      </c>
      <c r="C146" s="1" t="n">
        <v>45186</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 "A 6646-2023")</f>
        <v/>
      </c>
      <c r="T146">
        <f>HYPERLINK("https://klasma.github.io/Logging_HANINGE/kartor/A 6646-2023.png", "A 6646-2023")</f>
        <v/>
      </c>
      <c r="V146">
        <f>HYPERLINK("https://klasma.github.io/Logging_HANINGE/klagomål/A 6646-2023.docx", "A 6646-2023")</f>
        <v/>
      </c>
      <c r="W146">
        <f>HYPERLINK("https://klasma.github.io/Logging_HANINGE/klagomålsmail/A 6646-2023.docx", "A 6646-2023")</f>
        <v/>
      </c>
      <c r="X146">
        <f>HYPERLINK("https://klasma.github.io/Logging_HANINGE/tillsyn/A 6646-2023.docx", "A 6646-2023")</f>
        <v/>
      </c>
      <c r="Y146">
        <f>HYPERLINK("https://klasma.github.io/Logging_HANINGE/tillsynsmail/A 6646-2023.docx", "A 6646-2023")</f>
        <v/>
      </c>
    </row>
    <row r="147" ht="15" customHeight="1">
      <c r="A147" t="inlineStr">
        <is>
          <t>A 13237-2023</t>
        </is>
      </c>
      <c r="B147" s="1" t="n">
        <v>45002</v>
      </c>
      <c r="C147" s="1" t="n">
        <v>45186</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 "A 13237-2023")</f>
        <v/>
      </c>
      <c r="T147">
        <f>HYPERLINK("https://klasma.github.io/Logging_EKERO/kartor/A 13237-2023.png", "A 13237-2023")</f>
        <v/>
      </c>
      <c r="V147">
        <f>HYPERLINK("https://klasma.github.io/Logging_EKERO/klagomål/A 13237-2023.docx", "A 13237-2023")</f>
        <v/>
      </c>
      <c r="W147">
        <f>HYPERLINK("https://klasma.github.io/Logging_EKERO/klagomålsmail/A 13237-2023.docx", "A 13237-2023")</f>
        <v/>
      </c>
      <c r="X147">
        <f>HYPERLINK("https://klasma.github.io/Logging_EKERO/tillsyn/A 13237-2023.docx", "A 13237-2023")</f>
        <v/>
      </c>
      <c r="Y147">
        <f>HYPERLINK("https://klasma.github.io/Logging_EKERO/tillsynsmail/A 13237-2023.docx", "A 13237-2023")</f>
        <v/>
      </c>
    </row>
    <row r="148" ht="15" customHeight="1">
      <c r="A148" t="inlineStr">
        <is>
          <t>A 17916-2023</t>
        </is>
      </c>
      <c r="B148" s="1" t="n">
        <v>45040</v>
      </c>
      <c r="C148" s="1" t="n">
        <v>45186</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 "A 17916-2023")</f>
        <v/>
      </c>
      <c r="T148">
        <f>HYPERLINK("https://klasma.github.io/Logging_NORRTALJE/kartor/A 17916-2023.png", "A 17916-2023")</f>
        <v/>
      </c>
      <c r="V148">
        <f>HYPERLINK("https://klasma.github.io/Logging_NORRTALJE/klagomål/A 17916-2023.docx", "A 17916-2023")</f>
        <v/>
      </c>
      <c r="W148">
        <f>HYPERLINK("https://klasma.github.io/Logging_NORRTALJE/klagomålsmail/A 17916-2023.docx", "A 17916-2023")</f>
        <v/>
      </c>
      <c r="X148">
        <f>HYPERLINK("https://klasma.github.io/Logging_NORRTALJE/tillsyn/A 17916-2023.docx", "A 17916-2023")</f>
        <v/>
      </c>
      <c r="Y148">
        <f>HYPERLINK("https://klasma.github.io/Logging_NORRTALJE/tillsynsmail/A 17916-2023.docx", "A 17916-2023")</f>
        <v/>
      </c>
    </row>
    <row r="149" ht="15" customHeight="1">
      <c r="A149" t="inlineStr">
        <is>
          <t>A 32041-2023</t>
        </is>
      </c>
      <c r="B149" s="1" t="n">
        <v>45119</v>
      </c>
      <c r="C149" s="1" t="n">
        <v>45186</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 "A 32041-2023")</f>
        <v/>
      </c>
      <c r="T149">
        <f>HYPERLINK("https://klasma.github.io/Logging_SODERTALJE/kartor/A 32041-2023.png", "A 32041-2023")</f>
        <v/>
      </c>
      <c r="V149">
        <f>HYPERLINK("https://klasma.github.io/Logging_SODERTALJE/klagomål/A 32041-2023.docx", "A 32041-2023")</f>
        <v/>
      </c>
      <c r="W149">
        <f>HYPERLINK("https://klasma.github.io/Logging_SODERTALJE/klagomålsmail/A 32041-2023.docx", "A 32041-2023")</f>
        <v/>
      </c>
      <c r="X149">
        <f>HYPERLINK("https://klasma.github.io/Logging_SODERTALJE/tillsyn/A 32041-2023.docx", "A 32041-2023")</f>
        <v/>
      </c>
      <c r="Y149">
        <f>HYPERLINK("https://klasma.github.io/Logging_SODERTALJE/tillsynsmail/A 32041-2023.docx", "A 32041-2023")</f>
        <v/>
      </c>
    </row>
    <row r="150" ht="15" customHeight="1">
      <c r="A150" t="inlineStr">
        <is>
          <t>A 33166-2023</t>
        </is>
      </c>
      <c r="B150" s="1" t="n">
        <v>45126</v>
      </c>
      <c r="C150" s="1" t="n">
        <v>45186</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 "A 33166-2023")</f>
        <v/>
      </c>
      <c r="T150">
        <f>HYPERLINK("https://klasma.github.io/Logging_VARMDO/kartor/A 33166-2023.png", "A 33166-2023")</f>
        <v/>
      </c>
      <c r="V150">
        <f>HYPERLINK("https://klasma.github.io/Logging_VARMDO/klagomål/A 33166-2023.docx", "A 33166-2023")</f>
        <v/>
      </c>
      <c r="W150">
        <f>HYPERLINK("https://klasma.github.io/Logging_VARMDO/klagomålsmail/A 33166-2023.docx", "A 33166-2023")</f>
        <v/>
      </c>
      <c r="X150">
        <f>HYPERLINK("https://klasma.github.io/Logging_VARMDO/tillsyn/A 33166-2023.docx", "A 33166-2023")</f>
        <v/>
      </c>
      <c r="Y150">
        <f>HYPERLINK("https://klasma.github.io/Logging_VARMDO/tillsynsmail/A 33166-2023.docx", "A 33166-2023")</f>
        <v/>
      </c>
    </row>
    <row r="151" ht="15" customHeight="1">
      <c r="A151" t="inlineStr">
        <is>
          <t>A 34343-2023</t>
        </is>
      </c>
      <c r="B151" s="1" t="n">
        <v>45139</v>
      </c>
      <c r="C151" s="1" t="n">
        <v>45186</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 "A 34343-2023")</f>
        <v/>
      </c>
      <c r="T151">
        <f>HYPERLINK("https://klasma.github.io/Logging_HANINGE/kartor/A 34343-2023.png", "A 34343-2023")</f>
        <v/>
      </c>
      <c r="V151">
        <f>HYPERLINK("https://klasma.github.io/Logging_HANINGE/klagomål/A 34343-2023.docx", "A 34343-2023")</f>
        <v/>
      </c>
      <c r="W151">
        <f>HYPERLINK("https://klasma.github.io/Logging_HANINGE/klagomålsmail/A 34343-2023.docx", "A 34343-2023")</f>
        <v/>
      </c>
      <c r="X151">
        <f>HYPERLINK("https://klasma.github.io/Logging_HANINGE/tillsyn/A 34343-2023.docx", "A 34343-2023")</f>
        <v/>
      </c>
      <c r="Y151">
        <f>HYPERLINK("https://klasma.github.io/Logging_HANINGE/tillsynsmail/A 34343-2023.docx", "A 34343-2023")</f>
        <v/>
      </c>
    </row>
    <row r="152" ht="15" customHeight="1">
      <c r="A152" t="inlineStr">
        <is>
          <t>A 35421-2023</t>
        </is>
      </c>
      <c r="B152" s="1" t="n">
        <v>45146</v>
      </c>
      <c r="C152" s="1" t="n">
        <v>45186</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 "A 35421-2023")</f>
        <v/>
      </c>
      <c r="T152">
        <f>HYPERLINK("https://klasma.github.io/Logging_SALEM/kartor/A 35421-2023.png", "A 35421-2023")</f>
        <v/>
      </c>
      <c r="V152">
        <f>HYPERLINK("https://klasma.github.io/Logging_SALEM/klagomål/A 35421-2023.docx", "A 35421-2023")</f>
        <v/>
      </c>
      <c r="W152">
        <f>HYPERLINK("https://klasma.github.io/Logging_SALEM/klagomålsmail/A 35421-2023.docx", "A 35421-2023")</f>
        <v/>
      </c>
      <c r="X152">
        <f>HYPERLINK("https://klasma.github.io/Logging_SALEM/tillsyn/A 35421-2023.docx", "A 35421-2023")</f>
        <v/>
      </c>
      <c r="Y152">
        <f>HYPERLINK("https://klasma.github.io/Logging_SALEM/tillsynsmail/A 35421-2023.docx", "A 35421-2023")</f>
        <v/>
      </c>
    </row>
    <row r="153" ht="15" customHeight="1">
      <c r="A153" t="inlineStr">
        <is>
          <t>A 36662-2023</t>
        </is>
      </c>
      <c r="B153" s="1" t="n">
        <v>45153</v>
      </c>
      <c r="C153" s="1" t="n">
        <v>45186</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 "A 36662-2023")</f>
        <v/>
      </c>
      <c r="T153">
        <f>HYPERLINK("https://klasma.github.io/Logging_NORRTALJE/kartor/A 36662-2023.png", "A 36662-2023")</f>
        <v/>
      </c>
      <c r="V153">
        <f>HYPERLINK("https://klasma.github.io/Logging_NORRTALJE/klagomål/A 36662-2023.docx", "A 36662-2023")</f>
        <v/>
      </c>
      <c r="W153">
        <f>HYPERLINK("https://klasma.github.io/Logging_NORRTALJE/klagomålsmail/A 36662-2023.docx", "A 36662-2023")</f>
        <v/>
      </c>
      <c r="X153">
        <f>HYPERLINK("https://klasma.github.io/Logging_NORRTALJE/tillsyn/A 36662-2023.docx", "A 36662-2023")</f>
        <v/>
      </c>
      <c r="Y153">
        <f>HYPERLINK("https://klasma.github.io/Logging_NORRTALJE/tillsynsmail/A 36662-2023.docx", "A 36662-2023")</f>
        <v/>
      </c>
    </row>
    <row r="154" ht="15" customHeight="1">
      <c r="A154" t="inlineStr">
        <is>
          <t>A 45734-2018</t>
        </is>
      </c>
      <c r="B154" s="1" t="n">
        <v>43364</v>
      </c>
      <c r="C154" s="1" t="n">
        <v>45186</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 "A 45734-2018")</f>
        <v/>
      </c>
      <c r="T154">
        <f>HYPERLINK("https://klasma.github.io/Logging_HANINGE/kartor/A 45734-2018.png", "A 45734-2018")</f>
        <v/>
      </c>
      <c r="V154">
        <f>HYPERLINK("https://klasma.github.io/Logging_HANINGE/klagomål/A 45734-2018.docx", "A 45734-2018")</f>
        <v/>
      </c>
      <c r="W154">
        <f>HYPERLINK("https://klasma.github.io/Logging_HANINGE/klagomålsmail/A 45734-2018.docx", "A 45734-2018")</f>
        <v/>
      </c>
      <c r="X154">
        <f>HYPERLINK("https://klasma.github.io/Logging_HANINGE/tillsyn/A 45734-2018.docx", "A 45734-2018")</f>
        <v/>
      </c>
      <c r="Y154">
        <f>HYPERLINK("https://klasma.github.io/Logging_HANINGE/tillsynsmail/A 45734-2018.docx", "A 45734-2018")</f>
        <v/>
      </c>
    </row>
    <row r="155" ht="15" customHeight="1">
      <c r="A155" t="inlineStr">
        <is>
          <t>A 745-2019</t>
        </is>
      </c>
      <c r="B155" s="1" t="n">
        <v>43471</v>
      </c>
      <c r="C155" s="1" t="n">
        <v>45186</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 "A 745-2019")</f>
        <v/>
      </c>
      <c r="T155">
        <f>HYPERLINK("https://klasma.github.io/Logging_NORRTALJE/kartor/A 745-2019.png", "A 745-2019")</f>
        <v/>
      </c>
      <c r="V155">
        <f>HYPERLINK("https://klasma.github.io/Logging_NORRTALJE/klagomål/A 745-2019.docx", "A 745-2019")</f>
        <v/>
      </c>
      <c r="W155">
        <f>HYPERLINK("https://klasma.github.io/Logging_NORRTALJE/klagomålsmail/A 745-2019.docx", "A 745-2019")</f>
        <v/>
      </c>
      <c r="X155">
        <f>HYPERLINK("https://klasma.github.io/Logging_NORRTALJE/tillsyn/A 745-2019.docx", "A 745-2019")</f>
        <v/>
      </c>
      <c r="Y155">
        <f>HYPERLINK("https://klasma.github.io/Logging_NORRTALJE/tillsynsmail/A 745-2019.docx", "A 745-2019")</f>
        <v/>
      </c>
    </row>
    <row r="156" ht="15" customHeight="1">
      <c r="A156" t="inlineStr">
        <is>
          <t>A 4798-2019</t>
        </is>
      </c>
      <c r="B156" s="1" t="n">
        <v>43486</v>
      </c>
      <c r="C156" s="1" t="n">
        <v>45186</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 "A 4798-2019")</f>
        <v/>
      </c>
      <c r="T156">
        <f>HYPERLINK("https://klasma.github.io/Logging_VARMDO/kartor/A 4798-2019.png", "A 4798-2019")</f>
        <v/>
      </c>
      <c r="V156">
        <f>HYPERLINK("https://klasma.github.io/Logging_VARMDO/klagomål/A 4798-2019.docx", "A 4798-2019")</f>
        <v/>
      </c>
      <c r="W156">
        <f>HYPERLINK("https://klasma.github.io/Logging_VARMDO/klagomålsmail/A 4798-2019.docx", "A 4798-2019")</f>
        <v/>
      </c>
      <c r="X156">
        <f>HYPERLINK("https://klasma.github.io/Logging_VARMDO/tillsyn/A 4798-2019.docx", "A 4798-2019")</f>
        <v/>
      </c>
      <c r="Y156">
        <f>HYPERLINK("https://klasma.github.io/Logging_VARMDO/tillsynsmail/A 4798-2019.docx", "A 4798-2019")</f>
        <v/>
      </c>
    </row>
    <row r="157" ht="15" customHeight="1">
      <c r="A157" t="inlineStr">
        <is>
          <t>A 4952-2019</t>
        </is>
      </c>
      <c r="B157" s="1" t="n">
        <v>43486</v>
      </c>
      <c r="C157" s="1" t="n">
        <v>45186</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 "A 4952-2019")</f>
        <v/>
      </c>
      <c r="T157">
        <f>HYPERLINK("https://klasma.github.io/Logging_VALLENTUNA/kartor/A 4952-2019.png", "A 4952-2019")</f>
        <v/>
      </c>
      <c r="V157">
        <f>HYPERLINK("https://klasma.github.io/Logging_VALLENTUNA/klagomål/A 4952-2019.docx", "A 4952-2019")</f>
        <v/>
      </c>
      <c r="W157">
        <f>HYPERLINK("https://klasma.github.io/Logging_VALLENTUNA/klagomålsmail/A 4952-2019.docx", "A 4952-2019")</f>
        <v/>
      </c>
      <c r="X157">
        <f>HYPERLINK("https://klasma.github.io/Logging_VALLENTUNA/tillsyn/A 4952-2019.docx", "A 4952-2019")</f>
        <v/>
      </c>
      <c r="Y157">
        <f>HYPERLINK("https://klasma.github.io/Logging_VALLENTUNA/tillsynsmail/A 4952-2019.docx", "A 4952-2019")</f>
        <v/>
      </c>
    </row>
    <row r="158" ht="15" customHeight="1">
      <c r="A158" t="inlineStr">
        <is>
          <t>A 7137-2019</t>
        </is>
      </c>
      <c r="B158" s="1" t="n">
        <v>43489</v>
      </c>
      <c r="C158" s="1" t="n">
        <v>45186</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 "A 7137-2019")</f>
        <v/>
      </c>
      <c r="T158">
        <f>HYPERLINK("https://klasma.github.io/Logging_NORRTALJE/kartor/A 7137-2019.png", "A 7137-2019")</f>
        <v/>
      </c>
      <c r="V158">
        <f>HYPERLINK("https://klasma.github.io/Logging_NORRTALJE/klagomål/A 7137-2019.docx", "A 7137-2019")</f>
        <v/>
      </c>
      <c r="W158">
        <f>HYPERLINK("https://klasma.github.io/Logging_NORRTALJE/klagomålsmail/A 7137-2019.docx", "A 7137-2019")</f>
        <v/>
      </c>
      <c r="X158">
        <f>HYPERLINK("https://klasma.github.io/Logging_NORRTALJE/tillsyn/A 7137-2019.docx", "A 7137-2019")</f>
        <v/>
      </c>
      <c r="Y158">
        <f>HYPERLINK("https://klasma.github.io/Logging_NORRTALJE/tillsynsmail/A 7137-2019.docx", "A 7137-2019")</f>
        <v/>
      </c>
    </row>
    <row r="159" ht="15" customHeight="1">
      <c r="A159" t="inlineStr">
        <is>
          <t>A 6072-2019</t>
        </is>
      </c>
      <c r="B159" s="1" t="n">
        <v>43493</v>
      </c>
      <c r="C159" s="1" t="n">
        <v>45186</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 "A 6072-2019")</f>
        <v/>
      </c>
      <c r="T159">
        <f>HYPERLINK("https://klasma.github.io/Logging_NORRTALJE/kartor/A 6072-2019.png", "A 6072-2019")</f>
        <v/>
      </c>
      <c r="V159">
        <f>HYPERLINK("https://klasma.github.io/Logging_NORRTALJE/klagomål/A 6072-2019.docx", "A 6072-2019")</f>
        <v/>
      </c>
      <c r="W159">
        <f>HYPERLINK("https://klasma.github.io/Logging_NORRTALJE/klagomålsmail/A 6072-2019.docx", "A 6072-2019")</f>
        <v/>
      </c>
      <c r="X159">
        <f>HYPERLINK("https://klasma.github.io/Logging_NORRTALJE/tillsyn/A 6072-2019.docx", "A 6072-2019")</f>
        <v/>
      </c>
      <c r="Y159">
        <f>HYPERLINK("https://klasma.github.io/Logging_NORRTALJE/tillsynsmail/A 6072-2019.docx", "A 6072-2019")</f>
        <v/>
      </c>
    </row>
    <row r="160" ht="15" customHeight="1">
      <c r="A160" t="inlineStr">
        <is>
          <t>A 7672-2019</t>
        </is>
      </c>
      <c r="B160" s="1" t="n">
        <v>43500</v>
      </c>
      <c r="C160" s="1" t="n">
        <v>45186</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 "A 7672-2019")</f>
        <v/>
      </c>
      <c r="T160">
        <f>HYPERLINK("https://klasma.github.io/Logging_NORRTALJE/kartor/A 7672-2019.png", "A 7672-2019")</f>
        <v/>
      </c>
      <c r="V160">
        <f>HYPERLINK("https://klasma.github.io/Logging_NORRTALJE/klagomål/A 7672-2019.docx", "A 7672-2019")</f>
        <v/>
      </c>
      <c r="W160">
        <f>HYPERLINK("https://klasma.github.io/Logging_NORRTALJE/klagomålsmail/A 7672-2019.docx", "A 7672-2019")</f>
        <v/>
      </c>
      <c r="X160">
        <f>HYPERLINK("https://klasma.github.io/Logging_NORRTALJE/tillsyn/A 7672-2019.docx", "A 7672-2019")</f>
        <v/>
      </c>
      <c r="Y160">
        <f>HYPERLINK("https://klasma.github.io/Logging_NORRTALJE/tillsynsmail/A 7672-2019.docx", "A 7672-2019")</f>
        <v/>
      </c>
    </row>
    <row r="161" ht="15" customHeight="1">
      <c r="A161" t="inlineStr">
        <is>
          <t>A 9607-2019</t>
        </is>
      </c>
      <c r="B161" s="1" t="n">
        <v>43508</v>
      </c>
      <c r="C161" s="1" t="n">
        <v>45186</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 "A 9607-2019")</f>
        <v/>
      </c>
      <c r="T161">
        <f>HYPERLINK("https://klasma.github.io/Logging_VARMDO/kartor/A 9607-2019.png", "A 9607-2019")</f>
        <v/>
      </c>
      <c r="V161">
        <f>HYPERLINK("https://klasma.github.io/Logging_VARMDO/klagomål/A 9607-2019.docx", "A 9607-2019")</f>
        <v/>
      </c>
      <c r="W161">
        <f>HYPERLINK("https://klasma.github.io/Logging_VARMDO/klagomålsmail/A 9607-2019.docx", "A 9607-2019")</f>
        <v/>
      </c>
      <c r="X161">
        <f>HYPERLINK("https://klasma.github.io/Logging_VARMDO/tillsyn/A 9607-2019.docx", "A 9607-2019")</f>
        <v/>
      </c>
      <c r="Y161">
        <f>HYPERLINK("https://klasma.github.io/Logging_VARMDO/tillsynsmail/A 9607-2019.docx", "A 9607-2019")</f>
        <v/>
      </c>
    </row>
    <row r="162" ht="15" customHeight="1">
      <c r="A162" t="inlineStr">
        <is>
          <t>A 12586-2019</t>
        </is>
      </c>
      <c r="B162" s="1" t="n">
        <v>43524</v>
      </c>
      <c r="C162" s="1" t="n">
        <v>45186</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 "A 12586-2019")</f>
        <v/>
      </c>
      <c r="T162">
        <f>HYPERLINK("https://klasma.github.io/Logging_SIGTUNA/kartor/A 12586-2019.png", "A 12586-2019")</f>
        <v/>
      </c>
      <c r="V162">
        <f>HYPERLINK("https://klasma.github.io/Logging_SIGTUNA/klagomål/A 12586-2019.docx", "A 12586-2019")</f>
        <v/>
      </c>
      <c r="W162">
        <f>HYPERLINK("https://klasma.github.io/Logging_SIGTUNA/klagomålsmail/A 12586-2019.docx", "A 12586-2019")</f>
        <v/>
      </c>
      <c r="X162">
        <f>HYPERLINK("https://klasma.github.io/Logging_SIGTUNA/tillsyn/A 12586-2019.docx", "A 12586-2019")</f>
        <v/>
      </c>
      <c r="Y162">
        <f>HYPERLINK("https://klasma.github.io/Logging_SIGTUNA/tillsynsmail/A 12586-2019.docx", "A 12586-2019")</f>
        <v/>
      </c>
    </row>
    <row r="163" ht="15" customHeight="1">
      <c r="A163" t="inlineStr">
        <is>
          <t>A 14148-2019</t>
        </is>
      </c>
      <c r="B163" s="1" t="n">
        <v>43533</v>
      </c>
      <c r="C163" s="1" t="n">
        <v>45186</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 "A 14148-2019")</f>
        <v/>
      </c>
      <c r="T163">
        <f>HYPERLINK("https://klasma.github.io/Logging_NORRTALJE/kartor/A 14148-2019.png", "A 14148-2019")</f>
        <v/>
      </c>
      <c r="V163">
        <f>HYPERLINK("https://klasma.github.io/Logging_NORRTALJE/klagomål/A 14148-2019.docx", "A 14148-2019")</f>
        <v/>
      </c>
      <c r="W163">
        <f>HYPERLINK("https://klasma.github.io/Logging_NORRTALJE/klagomålsmail/A 14148-2019.docx", "A 14148-2019")</f>
        <v/>
      </c>
      <c r="X163">
        <f>HYPERLINK("https://klasma.github.io/Logging_NORRTALJE/tillsyn/A 14148-2019.docx", "A 14148-2019")</f>
        <v/>
      </c>
      <c r="Y163">
        <f>HYPERLINK("https://klasma.github.io/Logging_NORRTALJE/tillsynsmail/A 14148-2019.docx", "A 14148-2019")</f>
        <v/>
      </c>
    </row>
    <row r="164" ht="15" customHeight="1">
      <c r="A164" t="inlineStr">
        <is>
          <t>A 14826-2019</t>
        </is>
      </c>
      <c r="B164" s="1" t="n">
        <v>43539</v>
      </c>
      <c r="C164" s="1" t="n">
        <v>45186</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 "A 14826-2019")</f>
        <v/>
      </c>
      <c r="T164">
        <f>HYPERLINK("https://klasma.github.io/Logging_NORRTALJE/kartor/A 14826-2019.png", "A 14826-2019")</f>
        <v/>
      </c>
      <c r="V164">
        <f>HYPERLINK("https://klasma.github.io/Logging_NORRTALJE/klagomål/A 14826-2019.docx", "A 14826-2019")</f>
        <v/>
      </c>
      <c r="W164">
        <f>HYPERLINK("https://klasma.github.io/Logging_NORRTALJE/klagomålsmail/A 14826-2019.docx", "A 14826-2019")</f>
        <v/>
      </c>
      <c r="X164">
        <f>HYPERLINK("https://klasma.github.io/Logging_NORRTALJE/tillsyn/A 14826-2019.docx", "A 14826-2019")</f>
        <v/>
      </c>
      <c r="Y164">
        <f>HYPERLINK("https://klasma.github.io/Logging_NORRTALJE/tillsynsmail/A 14826-2019.docx", "A 14826-2019")</f>
        <v/>
      </c>
    </row>
    <row r="165" ht="15" customHeight="1">
      <c r="A165" t="inlineStr">
        <is>
          <t>A 15109-2019</t>
        </is>
      </c>
      <c r="B165" s="1" t="n">
        <v>43539</v>
      </c>
      <c r="C165" s="1" t="n">
        <v>45186</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 "A 15109-2019")</f>
        <v/>
      </c>
      <c r="T165">
        <f>HYPERLINK("https://klasma.github.io/Logging_NORRTALJE/kartor/A 15109-2019.png", "A 15109-2019")</f>
        <v/>
      </c>
      <c r="V165">
        <f>HYPERLINK("https://klasma.github.io/Logging_NORRTALJE/klagomål/A 15109-2019.docx", "A 15109-2019")</f>
        <v/>
      </c>
      <c r="W165">
        <f>HYPERLINK("https://klasma.github.io/Logging_NORRTALJE/klagomålsmail/A 15109-2019.docx", "A 15109-2019")</f>
        <v/>
      </c>
      <c r="X165">
        <f>HYPERLINK("https://klasma.github.io/Logging_NORRTALJE/tillsyn/A 15109-2019.docx", "A 15109-2019")</f>
        <v/>
      </c>
      <c r="Y165">
        <f>HYPERLINK("https://klasma.github.io/Logging_NORRTALJE/tillsynsmail/A 15109-2019.docx", "A 15109-2019")</f>
        <v/>
      </c>
    </row>
    <row r="166" ht="15" customHeight="1">
      <c r="A166" t="inlineStr">
        <is>
          <t>A 23830-2019</t>
        </is>
      </c>
      <c r="B166" s="1" t="n">
        <v>43595</v>
      </c>
      <c r="C166" s="1" t="n">
        <v>45186</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 "A 23830-2019")</f>
        <v/>
      </c>
      <c r="T166">
        <f>HYPERLINK("https://klasma.github.io/Logging_NORRTALJE/kartor/A 23830-2019.png", "A 23830-2019")</f>
        <v/>
      </c>
      <c r="V166">
        <f>HYPERLINK("https://klasma.github.io/Logging_NORRTALJE/klagomål/A 23830-2019.docx", "A 23830-2019")</f>
        <v/>
      </c>
      <c r="W166">
        <f>HYPERLINK("https://klasma.github.io/Logging_NORRTALJE/klagomålsmail/A 23830-2019.docx", "A 23830-2019")</f>
        <v/>
      </c>
      <c r="X166">
        <f>HYPERLINK("https://klasma.github.io/Logging_NORRTALJE/tillsyn/A 23830-2019.docx", "A 23830-2019")</f>
        <v/>
      </c>
      <c r="Y166">
        <f>HYPERLINK("https://klasma.github.io/Logging_NORRTALJE/tillsynsmail/A 23830-2019.docx", "A 23830-2019")</f>
        <v/>
      </c>
    </row>
    <row r="167" ht="15" customHeight="1">
      <c r="A167" t="inlineStr">
        <is>
          <t>A 37730-2019</t>
        </is>
      </c>
      <c r="B167" s="1" t="n">
        <v>43682</v>
      </c>
      <c r="C167" s="1" t="n">
        <v>45186</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 "A 37730-2019")</f>
        <v/>
      </c>
      <c r="T167">
        <f>HYPERLINK("https://klasma.github.io/Logging_VARMDO/kartor/A 37730-2019.png", "A 37730-2019")</f>
        <v/>
      </c>
      <c r="V167">
        <f>HYPERLINK("https://klasma.github.io/Logging_VARMDO/klagomål/A 37730-2019.docx", "A 37730-2019")</f>
        <v/>
      </c>
      <c r="W167">
        <f>HYPERLINK("https://klasma.github.io/Logging_VARMDO/klagomålsmail/A 37730-2019.docx", "A 37730-2019")</f>
        <v/>
      </c>
      <c r="X167">
        <f>HYPERLINK("https://klasma.github.io/Logging_VARMDO/tillsyn/A 37730-2019.docx", "A 37730-2019")</f>
        <v/>
      </c>
      <c r="Y167">
        <f>HYPERLINK("https://klasma.github.io/Logging_VARMDO/tillsynsmail/A 37730-2019.docx", "A 37730-2019")</f>
        <v/>
      </c>
    </row>
    <row r="168" ht="15" customHeight="1">
      <c r="A168" t="inlineStr">
        <is>
          <t>A 47875-2019</t>
        </is>
      </c>
      <c r="B168" s="1" t="n">
        <v>43725</v>
      </c>
      <c r="C168" s="1" t="n">
        <v>45186</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 "A 47875-2019")</f>
        <v/>
      </c>
      <c r="T168">
        <f>HYPERLINK("https://klasma.github.io/Logging_NORRTALJE/kartor/A 47875-2019.png", "A 47875-2019")</f>
        <v/>
      </c>
      <c r="V168">
        <f>HYPERLINK("https://klasma.github.io/Logging_NORRTALJE/klagomål/A 47875-2019.docx", "A 47875-2019")</f>
        <v/>
      </c>
      <c r="W168">
        <f>HYPERLINK("https://klasma.github.io/Logging_NORRTALJE/klagomålsmail/A 47875-2019.docx", "A 47875-2019")</f>
        <v/>
      </c>
      <c r="X168">
        <f>HYPERLINK("https://klasma.github.io/Logging_NORRTALJE/tillsyn/A 47875-2019.docx", "A 47875-2019")</f>
        <v/>
      </c>
      <c r="Y168">
        <f>HYPERLINK("https://klasma.github.io/Logging_NORRTALJE/tillsynsmail/A 47875-2019.docx", "A 47875-2019")</f>
        <v/>
      </c>
    </row>
    <row r="169" ht="15" customHeight="1">
      <c r="A169" t="inlineStr">
        <is>
          <t>A 1335-2020</t>
        </is>
      </c>
      <c r="B169" s="1" t="n">
        <v>43843</v>
      </c>
      <c r="C169" s="1" t="n">
        <v>45186</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 "A 1335-2020")</f>
        <v/>
      </c>
      <c r="T169">
        <f>HYPERLINK("https://klasma.github.io/Logging_BOTKYRKA/kartor/A 1335-2020.png", "A 1335-2020")</f>
        <v/>
      </c>
      <c r="V169">
        <f>HYPERLINK("https://klasma.github.io/Logging_BOTKYRKA/klagomål/A 1335-2020.docx", "A 1335-2020")</f>
        <v/>
      </c>
      <c r="W169">
        <f>HYPERLINK("https://klasma.github.io/Logging_BOTKYRKA/klagomålsmail/A 1335-2020.docx", "A 1335-2020")</f>
        <v/>
      </c>
      <c r="X169">
        <f>HYPERLINK("https://klasma.github.io/Logging_BOTKYRKA/tillsyn/A 1335-2020.docx", "A 1335-2020")</f>
        <v/>
      </c>
      <c r="Y169">
        <f>HYPERLINK("https://klasma.github.io/Logging_BOTKYRKA/tillsynsmail/A 1335-2020.docx", "A 1335-2020")</f>
        <v/>
      </c>
    </row>
    <row r="170" ht="15" customHeight="1">
      <c r="A170" t="inlineStr">
        <is>
          <t>A 3215-2020</t>
        </is>
      </c>
      <c r="B170" s="1" t="n">
        <v>43851</v>
      </c>
      <c r="C170" s="1" t="n">
        <v>45186</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 "A 3215-2020")</f>
        <v/>
      </c>
      <c r="T170">
        <f>HYPERLINK("https://klasma.github.io/Logging_NYNASHAMN/kartor/A 3215-2020.png", "A 3215-2020")</f>
        <v/>
      </c>
      <c r="V170">
        <f>HYPERLINK("https://klasma.github.io/Logging_NYNASHAMN/klagomål/A 3215-2020.docx", "A 3215-2020")</f>
        <v/>
      </c>
      <c r="W170">
        <f>HYPERLINK("https://klasma.github.io/Logging_NYNASHAMN/klagomålsmail/A 3215-2020.docx", "A 3215-2020")</f>
        <v/>
      </c>
      <c r="X170">
        <f>HYPERLINK("https://klasma.github.io/Logging_NYNASHAMN/tillsyn/A 3215-2020.docx", "A 3215-2020")</f>
        <v/>
      </c>
      <c r="Y170">
        <f>HYPERLINK("https://klasma.github.io/Logging_NYNASHAMN/tillsynsmail/A 3215-2020.docx", "A 3215-2020")</f>
        <v/>
      </c>
    </row>
    <row r="171" ht="15" customHeight="1">
      <c r="A171" t="inlineStr">
        <is>
          <t>A 4124-2020</t>
        </is>
      </c>
      <c r="B171" s="1" t="n">
        <v>43857</v>
      </c>
      <c r="C171" s="1" t="n">
        <v>45186</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 "A 4124-2020")</f>
        <v/>
      </c>
      <c r="T171">
        <f>HYPERLINK("https://klasma.github.io/Logging_VALLENTUNA/kartor/A 4124-2020.png", "A 4124-2020")</f>
        <v/>
      </c>
      <c r="V171">
        <f>HYPERLINK("https://klasma.github.io/Logging_VALLENTUNA/klagomål/A 4124-2020.docx", "A 4124-2020")</f>
        <v/>
      </c>
      <c r="W171">
        <f>HYPERLINK("https://klasma.github.io/Logging_VALLENTUNA/klagomålsmail/A 4124-2020.docx", "A 4124-2020")</f>
        <v/>
      </c>
      <c r="X171">
        <f>HYPERLINK("https://klasma.github.io/Logging_VALLENTUNA/tillsyn/A 4124-2020.docx", "A 4124-2020")</f>
        <v/>
      </c>
      <c r="Y171">
        <f>HYPERLINK("https://klasma.github.io/Logging_VALLENTUNA/tillsynsmail/A 4124-2020.docx", "A 4124-2020")</f>
        <v/>
      </c>
    </row>
    <row r="172" ht="15" customHeight="1">
      <c r="A172" t="inlineStr">
        <is>
          <t>A 4266-2020</t>
        </is>
      </c>
      <c r="B172" s="1" t="n">
        <v>43857</v>
      </c>
      <c r="C172" s="1" t="n">
        <v>45186</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 "A 4266-2020")</f>
        <v/>
      </c>
      <c r="T172">
        <f>HYPERLINK("https://klasma.github.io/Logging_VALLENTUNA/kartor/A 4266-2020.png", "A 4266-2020")</f>
        <v/>
      </c>
      <c r="V172">
        <f>HYPERLINK("https://klasma.github.io/Logging_VALLENTUNA/klagomål/A 4266-2020.docx", "A 4266-2020")</f>
        <v/>
      </c>
      <c r="W172">
        <f>HYPERLINK("https://klasma.github.io/Logging_VALLENTUNA/klagomålsmail/A 4266-2020.docx", "A 4266-2020")</f>
        <v/>
      </c>
      <c r="X172">
        <f>HYPERLINK("https://klasma.github.io/Logging_VALLENTUNA/tillsyn/A 4266-2020.docx", "A 4266-2020")</f>
        <v/>
      </c>
      <c r="Y172">
        <f>HYPERLINK("https://klasma.github.io/Logging_VALLENTUNA/tillsynsmail/A 4266-2020.docx", "A 4266-2020")</f>
        <v/>
      </c>
    </row>
    <row r="173" ht="15" customHeight="1">
      <c r="A173" t="inlineStr">
        <is>
          <t>A 4058-2020</t>
        </is>
      </c>
      <c r="B173" s="1" t="n">
        <v>43857</v>
      </c>
      <c r="C173" s="1" t="n">
        <v>45186</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 "A 4058-2020")</f>
        <v/>
      </c>
      <c r="T173">
        <f>HYPERLINK("https://klasma.github.io/Logging_BOTKYRKA/kartor/A 4058-2020.png", "A 4058-2020")</f>
        <v/>
      </c>
      <c r="V173">
        <f>HYPERLINK("https://klasma.github.io/Logging_BOTKYRKA/klagomål/A 4058-2020.docx", "A 4058-2020")</f>
        <v/>
      </c>
      <c r="W173">
        <f>HYPERLINK("https://klasma.github.io/Logging_BOTKYRKA/klagomålsmail/A 4058-2020.docx", "A 4058-2020")</f>
        <v/>
      </c>
      <c r="X173">
        <f>HYPERLINK("https://klasma.github.io/Logging_BOTKYRKA/tillsyn/A 4058-2020.docx", "A 4058-2020")</f>
        <v/>
      </c>
      <c r="Y173">
        <f>HYPERLINK("https://klasma.github.io/Logging_BOTKYRKA/tillsynsmail/A 4058-2020.docx", "A 4058-2020")</f>
        <v/>
      </c>
    </row>
    <row r="174" ht="15" customHeight="1">
      <c r="A174" t="inlineStr">
        <is>
          <t>A 6272-2020</t>
        </is>
      </c>
      <c r="B174" s="1" t="n">
        <v>43866</v>
      </c>
      <c r="C174" s="1" t="n">
        <v>45186</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 "A 6272-2020")</f>
        <v/>
      </c>
      <c r="T174">
        <f>HYPERLINK("https://klasma.github.io/Logging_NORRTALJE/kartor/A 6272-2020.png", "A 6272-2020")</f>
        <v/>
      </c>
      <c r="V174">
        <f>HYPERLINK("https://klasma.github.io/Logging_NORRTALJE/klagomål/A 6272-2020.docx", "A 6272-2020")</f>
        <v/>
      </c>
      <c r="W174">
        <f>HYPERLINK("https://klasma.github.io/Logging_NORRTALJE/klagomålsmail/A 6272-2020.docx", "A 6272-2020")</f>
        <v/>
      </c>
      <c r="X174">
        <f>HYPERLINK("https://klasma.github.io/Logging_NORRTALJE/tillsyn/A 6272-2020.docx", "A 6272-2020")</f>
        <v/>
      </c>
      <c r="Y174">
        <f>HYPERLINK("https://klasma.github.io/Logging_NORRTALJE/tillsynsmail/A 6272-2020.docx", "A 6272-2020")</f>
        <v/>
      </c>
    </row>
    <row r="175" ht="15" customHeight="1">
      <c r="A175" t="inlineStr">
        <is>
          <t>A 19565-2020</t>
        </is>
      </c>
      <c r="B175" s="1" t="n">
        <v>43936</v>
      </c>
      <c r="C175" s="1" t="n">
        <v>45186</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 "A 19565-2020")</f>
        <v/>
      </c>
      <c r="T175">
        <f>HYPERLINK("https://klasma.github.io/Logging_NORRTALJE/kartor/A 19565-2020.png", "A 19565-2020")</f>
        <v/>
      </c>
      <c r="V175">
        <f>HYPERLINK("https://klasma.github.io/Logging_NORRTALJE/klagomål/A 19565-2020.docx", "A 19565-2020")</f>
        <v/>
      </c>
      <c r="W175">
        <f>HYPERLINK("https://klasma.github.io/Logging_NORRTALJE/klagomålsmail/A 19565-2020.docx", "A 19565-2020")</f>
        <v/>
      </c>
      <c r="X175">
        <f>HYPERLINK("https://klasma.github.io/Logging_NORRTALJE/tillsyn/A 19565-2020.docx", "A 19565-2020")</f>
        <v/>
      </c>
      <c r="Y175">
        <f>HYPERLINK("https://klasma.github.io/Logging_NORRTALJE/tillsynsmail/A 19565-2020.docx", "A 19565-2020")</f>
        <v/>
      </c>
    </row>
    <row r="176" ht="15" customHeight="1">
      <c r="A176" t="inlineStr">
        <is>
          <t>A 20030-2020</t>
        </is>
      </c>
      <c r="B176" s="1" t="n">
        <v>43942</v>
      </c>
      <c r="C176" s="1" t="n">
        <v>45186</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 "A 20030-2020")</f>
        <v/>
      </c>
      <c r="T176">
        <f>HYPERLINK("https://klasma.github.io/Logging_SIGTUNA/kartor/A 20030-2020.png", "A 20030-2020")</f>
        <v/>
      </c>
      <c r="V176">
        <f>HYPERLINK("https://klasma.github.io/Logging_SIGTUNA/klagomål/A 20030-2020.docx", "A 20030-2020")</f>
        <v/>
      </c>
      <c r="W176">
        <f>HYPERLINK("https://klasma.github.io/Logging_SIGTUNA/klagomålsmail/A 20030-2020.docx", "A 20030-2020")</f>
        <v/>
      </c>
      <c r="X176">
        <f>HYPERLINK("https://klasma.github.io/Logging_SIGTUNA/tillsyn/A 20030-2020.docx", "A 20030-2020")</f>
        <v/>
      </c>
      <c r="Y176">
        <f>HYPERLINK("https://klasma.github.io/Logging_SIGTUNA/tillsynsmail/A 20030-2020.docx", "A 20030-2020")</f>
        <v/>
      </c>
    </row>
    <row r="177" ht="15" customHeight="1">
      <c r="A177" t="inlineStr">
        <is>
          <t>A 24751-2020</t>
        </is>
      </c>
      <c r="B177" s="1" t="n">
        <v>43978</v>
      </c>
      <c r="C177" s="1" t="n">
        <v>45186</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 "A 24751-2020")</f>
        <v/>
      </c>
      <c r="T177">
        <f>HYPERLINK("https://klasma.github.io/Logging_VALLENTUNA/kartor/A 24751-2020.png", "A 24751-2020")</f>
        <v/>
      </c>
      <c r="V177">
        <f>HYPERLINK("https://klasma.github.io/Logging_VALLENTUNA/klagomål/A 24751-2020.docx", "A 24751-2020")</f>
        <v/>
      </c>
      <c r="W177">
        <f>HYPERLINK("https://klasma.github.io/Logging_VALLENTUNA/klagomålsmail/A 24751-2020.docx", "A 24751-2020")</f>
        <v/>
      </c>
      <c r="X177">
        <f>HYPERLINK("https://klasma.github.io/Logging_VALLENTUNA/tillsyn/A 24751-2020.docx", "A 24751-2020")</f>
        <v/>
      </c>
      <c r="Y177">
        <f>HYPERLINK("https://klasma.github.io/Logging_VALLENTUNA/tillsynsmail/A 24751-2020.docx", "A 24751-2020")</f>
        <v/>
      </c>
    </row>
    <row r="178" ht="15" customHeight="1">
      <c r="A178" t="inlineStr">
        <is>
          <t>A 46237-2020</t>
        </is>
      </c>
      <c r="B178" s="1" t="n">
        <v>44092</v>
      </c>
      <c r="C178" s="1" t="n">
        <v>45186</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 "A 46237-2020")</f>
        <v/>
      </c>
      <c r="T178">
        <f>HYPERLINK("https://klasma.github.io/Logging_SODERTALJE/kartor/A 46237-2020.png", "A 46237-2020")</f>
        <v/>
      </c>
      <c r="U178">
        <f>HYPERLINK("https://klasma.github.io/Logging_SODERTALJE/knärot/A 46237-2020.png", "A 46237-2020")</f>
        <v/>
      </c>
      <c r="V178">
        <f>HYPERLINK("https://klasma.github.io/Logging_SODERTALJE/klagomål/A 46237-2020.docx", "A 46237-2020")</f>
        <v/>
      </c>
      <c r="W178">
        <f>HYPERLINK("https://klasma.github.io/Logging_SODERTALJE/klagomålsmail/A 46237-2020.docx", "A 46237-2020")</f>
        <v/>
      </c>
      <c r="X178">
        <f>HYPERLINK("https://klasma.github.io/Logging_SODERTALJE/tillsyn/A 46237-2020.docx", "A 46237-2020")</f>
        <v/>
      </c>
      <c r="Y178">
        <f>HYPERLINK("https://klasma.github.io/Logging_SODERTALJE/tillsynsmail/A 46237-2020.docx", "A 46237-2020")</f>
        <v/>
      </c>
    </row>
    <row r="179" ht="15" customHeight="1">
      <c r="A179" t="inlineStr">
        <is>
          <t>A 53858-2020</t>
        </is>
      </c>
      <c r="B179" s="1" t="n">
        <v>44125</v>
      </c>
      <c r="C179" s="1" t="n">
        <v>45186</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 "A 53858-2020")</f>
        <v/>
      </c>
      <c r="T179">
        <f>HYPERLINK("https://klasma.github.io/Logging_HANINGE/kartor/A 53858-2020.png", "A 53858-2020")</f>
        <v/>
      </c>
      <c r="V179">
        <f>HYPERLINK("https://klasma.github.io/Logging_HANINGE/klagomål/A 53858-2020.docx", "A 53858-2020")</f>
        <v/>
      </c>
      <c r="W179">
        <f>HYPERLINK("https://klasma.github.io/Logging_HANINGE/klagomålsmail/A 53858-2020.docx", "A 53858-2020")</f>
        <v/>
      </c>
      <c r="X179">
        <f>HYPERLINK("https://klasma.github.io/Logging_HANINGE/tillsyn/A 53858-2020.docx", "A 53858-2020")</f>
        <v/>
      </c>
      <c r="Y179">
        <f>HYPERLINK("https://klasma.github.io/Logging_HANINGE/tillsynsmail/A 53858-2020.docx", "A 53858-2020")</f>
        <v/>
      </c>
    </row>
    <row r="180" ht="15" customHeight="1">
      <c r="A180" t="inlineStr">
        <is>
          <t>A 559-2021</t>
        </is>
      </c>
      <c r="B180" s="1" t="n">
        <v>44203</v>
      </c>
      <c r="C180" s="1" t="n">
        <v>45186</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 "A 559-2021")</f>
        <v/>
      </c>
      <c r="T180">
        <f>HYPERLINK("https://klasma.github.io/Logging_NYNASHAMN/kartor/A 559-2021.png", "A 559-2021")</f>
        <v/>
      </c>
      <c r="V180">
        <f>HYPERLINK("https://klasma.github.io/Logging_NYNASHAMN/klagomål/A 559-2021.docx", "A 559-2021")</f>
        <v/>
      </c>
      <c r="W180">
        <f>HYPERLINK("https://klasma.github.io/Logging_NYNASHAMN/klagomålsmail/A 559-2021.docx", "A 559-2021")</f>
        <v/>
      </c>
      <c r="X180">
        <f>HYPERLINK("https://klasma.github.io/Logging_NYNASHAMN/tillsyn/A 559-2021.docx", "A 559-2021")</f>
        <v/>
      </c>
      <c r="Y180">
        <f>HYPERLINK("https://klasma.github.io/Logging_NYNASHAMN/tillsynsmail/A 559-2021.docx", "A 559-2021")</f>
        <v/>
      </c>
    </row>
    <row r="181" ht="15" customHeight="1">
      <c r="A181" t="inlineStr">
        <is>
          <t>A 2294-2021</t>
        </is>
      </c>
      <c r="B181" s="1" t="n">
        <v>44212</v>
      </c>
      <c r="C181" s="1" t="n">
        <v>45186</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 "A 2294-2021")</f>
        <v/>
      </c>
      <c r="T181">
        <f>HYPERLINK("https://klasma.github.io/Logging_NYNASHAMN/kartor/A 2294-2021.png", "A 2294-2021")</f>
        <v/>
      </c>
      <c r="V181">
        <f>HYPERLINK("https://klasma.github.io/Logging_NYNASHAMN/klagomål/A 2294-2021.docx", "A 2294-2021")</f>
        <v/>
      </c>
      <c r="W181">
        <f>HYPERLINK("https://klasma.github.io/Logging_NYNASHAMN/klagomålsmail/A 2294-2021.docx", "A 2294-2021")</f>
        <v/>
      </c>
      <c r="X181">
        <f>HYPERLINK("https://klasma.github.io/Logging_NYNASHAMN/tillsyn/A 2294-2021.docx", "A 2294-2021")</f>
        <v/>
      </c>
      <c r="Y181">
        <f>HYPERLINK("https://klasma.github.io/Logging_NYNASHAMN/tillsynsmail/A 2294-2021.docx", "A 2294-2021")</f>
        <v/>
      </c>
    </row>
    <row r="182" ht="15" customHeight="1">
      <c r="A182" t="inlineStr">
        <is>
          <t>A 9956-2021</t>
        </is>
      </c>
      <c r="B182" s="1" t="n">
        <v>44252</v>
      </c>
      <c r="C182" s="1" t="n">
        <v>45186</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 "A 9956-2021")</f>
        <v/>
      </c>
      <c r="T182">
        <f>HYPERLINK("https://klasma.github.io/Logging_UPPLANDS-BRO/kartor/A 9956-2021.png", "A 9956-2021")</f>
        <v/>
      </c>
      <c r="V182">
        <f>HYPERLINK("https://klasma.github.io/Logging_UPPLANDS-BRO/klagomål/A 9956-2021.docx", "A 9956-2021")</f>
        <v/>
      </c>
      <c r="W182">
        <f>HYPERLINK("https://klasma.github.io/Logging_UPPLANDS-BRO/klagomålsmail/A 9956-2021.docx", "A 9956-2021")</f>
        <v/>
      </c>
      <c r="X182">
        <f>HYPERLINK("https://klasma.github.io/Logging_UPPLANDS-BRO/tillsyn/A 9956-2021.docx", "A 9956-2021")</f>
        <v/>
      </c>
      <c r="Y182">
        <f>HYPERLINK("https://klasma.github.io/Logging_UPPLANDS-BRO/tillsynsmail/A 9956-2021.docx", "A 9956-2021")</f>
        <v/>
      </c>
    </row>
    <row r="183" ht="15" customHeight="1">
      <c r="A183" t="inlineStr">
        <is>
          <t>A 15314-2021</t>
        </is>
      </c>
      <c r="B183" s="1" t="n">
        <v>44284</v>
      </c>
      <c r="C183" s="1" t="n">
        <v>45186</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 "A 15314-2021")</f>
        <v/>
      </c>
      <c r="T183">
        <f>HYPERLINK("https://klasma.github.io/Logging_NYNASHAMN/kartor/A 15314-2021.png", "A 15314-2021")</f>
        <v/>
      </c>
      <c r="V183">
        <f>HYPERLINK("https://klasma.github.io/Logging_NYNASHAMN/klagomål/A 15314-2021.docx", "A 15314-2021")</f>
        <v/>
      </c>
      <c r="W183">
        <f>HYPERLINK("https://klasma.github.io/Logging_NYNASHAMN/klagomålsmail/A 15314-2021.docx", "A 15314-2021")</f>
        <v/>
      </c>
      <c r="X183">
        <f>HYPERLINK("https://klasma.github.io/Logging_NYNASHAMN/tillsyn/A 15314-2021.docx", "A 15314-2021")</f>
        <v/>
      </c>
      <c r="Y183">
        <f>HYPERLINK("https://klasma.github.io/Logging_NYNASHAMN/tillsynsmail/A 15314-2021.docx", "A 15314-2021")</f>
        <v/>
      </c>
    </row>
    <row r="184" ht="15" customHeight="1">
      <c r="A184" t="inlineStr">
        <is>
          <t>A 16084-2021</t>
        </is>
      </c>
      <c r="B184" s="1" t="n">
        <v>44288</v>
      </c>
      <c r="C184" s="1" t="n">
        <v>45186</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 "A 16084-2021")</f>
        <v/>
      </c>
      <c r="T184">
        <f>HYPERLINK("https://klasma.github.io/Logging_VARMDO/kartor/A 16084-2021.png", "A 16084-2021")</f>
        <v/>
      </c>
      <c r="V184">
        <f>HYPERLINK("https://klasma.github.io/Logging_VARMDO/klagomål/A 16084-2021.docx", "A 16084-2021")</f>
        <v/>
      </c>
      <c r="W184">
        <f>HYPERLINK("https://klasma.github.io/Logging_VARMDO/klagomålsmail/A 16084-2021.docx", "A 16084-2021")</f>
        <v/>
      </c>
      <c r="X184">
        <f>HYPERLINK("https://klasma.github.io/Logging_VARMDO/tillsyn/A 16084-2021.docx", "A 16084-2021")</f>
        <v/>
      </c>
      <c r="Y184">
        <f>HYPERLINK("https://klasma.github.io/Logging_VARMDO/tillsynsmail/A 16084-2021.docx", "A 16084-2021")</f>
        <v/>
      </c>
    </row>
    <row r="185" ht="15" customHeight="1">
      <c r="A185" t="inlineStr">
        <is>
          <t>A 16869-2021</t>
        </is>
      </c>
      <c r="B185" s="1" t="n">
        <v>44295</v>
      </c>
      <c r="C185" s="1" t="n">
        <v>45186</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 "A 16869-2021")</f>
        <v/>
      </c>
      <c r="T185">
        <f>HYPERLINK("https://klasma.github.io/Logging_NYNASHAMN/kartor/A 16869-2021.png", "A 16869-2021")</f>
        <v/>
      </c>
      <c r="V185">
        <f>HYPERLINK("https://klasma.github.io/Logging_NYNASHAMN/klagomål/A 16869-2021.docx", "A 16869-2021")</f>
        <v/>
      </c>
      <c r="W185">
        <f>HYPERLINK("https://klasma.github.io/Logging_NYNASHAMN/klagomålsmail/A 16869-2021.docx", "A 16869-2021")</f>
        <v/>
      </c>
      <c r="X185">
        <f>HYPERLINK("https://klasma.github.io/Logging_NYNASHAMN/tillsyn/A 16869-2021.docx", "A 16869-2021")</f>
        <v/>
      </c>
      <c r="Y185">
        <f>HYPERLINK("https://klasma.github.io/Logging_NYNASHAMN/tillsynsmail/A 16869-2021.docx", "A 16869-2021")</f>
        <v/>
      </c>
    </row>
    <row r="186" ht="15" customHeight="1">
      <c r="A186" t="inlineStr">
        <is>
          <t>A 17648-2021</t>
        </is>
      </c>
      <c r="B186" s="1" t="n">
        <v>44300</v>
      </c>
      <c r="C186" s="1" t="n">
        <v>45186</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 "A 17648-2021")</f>
        <v/>
      </c>
      <c r="T186">
        <f>HYPERLINK("https://klasma.github.io/Logging_SODERTALJE/kartor/A 17648-2021.png", "A 17648-2021")</f>
        <v/>
      </c>
      <c r="V186">
        <f>HYPERLINK("https://klasma.github.io/Logging_SODERTALJE/klagomål/A 17648-2021.docx", "A 17648-2021")</f>
        <v/>
      </c>
      <c r="W186">
        <f>HYPERLINK("https://klasma.github.io/Logging_SODERTALJE/klagomålsmail/A 17648-2021.docx", "A 17648-2021")</f>
        <v/>
      </c>
      <c r="X186">
        <f>HYPERLINK("https://klasma.github.io/Logging_SODERTALJE/tillsyn/A 17648-2021.docx", "A 17648-2021")</f>
        <v/>
      </c>
      <c r="Y186">
        <f>HYPERLINK("https://klasma.github.io/Logging_SODERTALJE/tillsynsmail/A 17648-2021.docx", "A 17648-2021")</f>
        <v/>
      </c>
    </row>
    <row r="187" ht="15" customHeight="1">
      <c r="A187" t="inlineStr">
        <is>
          <t>A 31803-2021</t>
        </is>
      </c>
      <c r="B187" s="1" t="n">
        <v>44370</v>
      </c>
      <c r="C187" s="1" t="n">
        <v>45186</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 "A 31803-2021")</f>
        <v/>
      </c>
      <c r="T187">
        <f>HYPERLINK("https://klasma.github.io/Logging_NORRTALJE/kartor/A 31803-2021.png", "A 31803-2021")</f>
        <v/>
      </c>
      <c r="V187">
        <f>HYPERLINK("https://klasma.github.io/Logging_NORRTALJE/klagomål/A 31803-2021.docx", "A 31803-2021")</f>
        <v/>
      </c>
      <c r="W187">
        <f>HYPERLINK("https://klasma.github.io/Logging_NORRTALJE/klagomålsmail/A 31803-2021.docx", "A 31803-2021")</f>
        <v/>
      </c>
      <c r="X187">
        <f>HYPERLINK("https://klasma.github.io/Logging_NORRTALJE/tillsyn/A 31803-2021.docx", "A 31803-2021")</f>
        <v/>
      </c>
      <c r="Y187">
        <f>HYPERLINK("https://klasma.github.io/Logging_NORRTALJE/tillsynsmail/A 31803-2021.docx", "A 31803-2021")</f>
        <v/>
      </c>
    </row>
    <row r="188" ht="15" customHeight="1">
      <c r="A188" t="inlineStr">
        <is>
          <t>A 58676-2021</t>
        </is>
      </c>
      <c r="B188" s="1" t="n">
        <v>44489</v>
      </c>
      <c r="C188" s="1" t="n">
        <v>45186</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 "A 58676-2021")</f>
        <v/>
      </c>
      <c r="T188">
        <f>HYPERLINK("https://klasma.github.io/Logging_NORRTALJE/kartor/A 58676-2021.png", "A 58676-2021")</f>
        <v/>
      </c>
      <c r="V188">
        <f>HYPERLINK("https://klasma.github.io/Logging_NORRTALJE/klagomål/A 58676-2021.docx", "A 58676-2021")</f>
        <v/>
      </c>
      <c r="W188">
        <f>HYPERLINK("https://klasma.github.io/Logging_NORRTALJE/klagomålsmail/A 58676-2021.docx", "A 58676-2021")</f>
        <v/>
      </c>
      <c r="X188">
        <f>HYPERLINK("https://klasma.github.io/Logging_NORRTALJE/tillsyn/A 58676-2021.docx", "A 58676-2021")</f>
        <v/>
      </c>
      <c r="Y188">
        <f>HYPERLINK("https://klasma.github.io/Logging_NORRTALJE/tillsynsmail/A 58676-2021.docx", "A 58676-2021")</f>
        <v/>
      </c>
    </row>
    <row r="189" ht="15" customHeight="1">
      <c r="A189" t="inlineStr">
        <is>
          <t>A 61275-2021</t>
        </is>
      </c>
      <c r="B189" s="1" t="n">
        <v>44498</v>
      </c>
      <c r="C189" s="1" t="n">
        <v>45186</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 "A 61275-2021")</f>
        <v/>
      </c>
      <c r="T189">
        <f>HYPERLINK("https://klasma.github.io/Logging_OSTERAKER/kartor/A 61275-2021.png", "A 61275-2021")</f>
        <v/>
      </c>
      <c r="V189">
        <f>HYPERLINK("https://klasma.github.io/Logging_OSTERAKER/klagomål/A 61275-2021.docx", "A 61275-2021")</f>
        <v/>
      </c>
      <c r="W189">
        <f>HYPERLINK("https://klasma.github.io/Logging_OSTERAKER/klagomålsmail/A 61275-2021.docx", "A 61275-2021")</f>
        <v/>
      </c>
      <c r="X189">
        <f>HYPERLINK("https://klasma.github.io/Logging_OSTERAKER/tillsyn/A 61275-2021.docx", "A 61275-2021")</f>
        <v/>
      </c>
      <c r="Y189">
        <f>HYPERLINK("https://klasma.github.io/Logging_OSTERAKER/tillsynsmail/A 61275-2021.docx", "A 61275-2021")</f>
        <v/>
      </c>
    </row>
    <row r="190" ht="15" customHeight="1">
      <c r="A190" t="inlineStr">
        <is>
          <t>A 46-2022</t>
        </is>
      </c>
      <c r="B190" s="1" t="n">
        <v>44560</v>
      </c>
      <c r="C190" s="1" t="n">
        <v>45186</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 "A 46-2022")</f>
        <v/>
      </c>
      <c r="T190">
        <f>HYPERLINK("https://klasma.github.io/Logging_VALLENTUNA/kartor/A 46-2022.png", "A 46-2022")</f>
        <v/>
      </c>
      <c r="V190">
        <f>HYPERLINK("https://klasma.github.io/Logging_VALLENTUNA/klagomål/A 46-2022.docx", "A 46-2022")</f>
        <v/>
      </c>
      <c r="W190">
        <f>HYPERLINK("https://klasma.github.io/Logging_VALLENTUNA/klagomålsmail/A 46-2022.docx", "A 46-2022")</f>
        <v/>
      </c>
      <c r="X190">
        <f>HYPERLINK("https://klasma.github.io/Logging_VALLENTUNA/tillsyn/A 46-2022.docx", "A 46-2022")</f>
        <v/>
      </c>
      <c r="Y190">
        <f>HYPERLINK("https://klasma.github.io/Logging_VALLENTUNA/tillsynsmail/A 46-2022.docx", "A 46-2022")</f>
        <v/>
      </c>
    </row>
    <row r="191" ht="15" customHeight="1">
      <c r="A191" t="inlineStr">
        <is>
          <t>A 60-2022</t>
        </is>
      </c>
      <c r="B191" s="1" t="n">
        <v>44560</v>
      </c>
      <c r="C191" s="1" t="n">
        <v>45186</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 "A 60-2022")</f>
        <v/>
      </c>
      <c r="T191">
        <f>HYPERLINK("https://klasma.github.io/Logging_VALLENTUNA/kartor/A 60-2022.png", "A 60-2022")</f>
        <v/>
      </c>
      <c r="V191">
        <f>HYPERLINK("https://klasma.github.io/Logging_VALLENTUNA/klagomål/A 60-2022.docx", "A 60-2022")</f>
        <v/>
      </c>
      <c r="W191">
        <f>HYPERLINK("https://klasma.github.io/Logging_VALLENTUNA/klagomålsmail/A 60-2022.docx", "A 60-2022")</f>
        <v/>
      </c>
      <c r="X191">
        <f>HYPERLINK("https://klasma.github.io/Logging_VALLENTUNA/tillsyn/A 60-2022.docx", "A 60-2022")</f>
        <v/>
      </c>
      <c r="Y191">
        <f>HYPERLINK("https://klasma.github.io/Logging_VALLENTUNA/tillsynsmail/A 60-2022.docx", "A 60-2022")</f>
        <v/>
      </c>
    </row>
    <row r="192" ht="15" customHeight="1">
      <c r="A192" t="inlineStr">
        <is>
          <t>A 1061-2022</t>
        </is>
      </c>
      <c r="B192" s="1" t="n">
        <v>44571</v>
      </c>
      <c r="C192" s="1" t="n">
        <v>45186</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 "A 1061-2022")</f>
        <v/>
      </c>
      <c r="T192">
        <f>HYPERLINK("https://klasma.github.io/Logging_UPPLANDS_VASBY/kartor/A 1061-2022.png", "A 1061-2022")</f>
        <v/>
      </c>
      <c r="V192">
        <f>HYPERLINK("https://klasma.github.io/Logging_UPPLANDS_VASBY/klagomål/A 1061-2022.docx", "A 1061-2022")</f>
        <v/>
      </c>
      <c r="W192">
        <f>HYPERLINK("https://klasma.github.io/Logging_UPPLANDS_VASBY/klagomålsmail/A 1061-2022.docx", "A 1061-2022")</f>
        <v/>
      </c>
      <c r="X192">
        <f>HYPERLINK("https://klasma.github.io/Logging_UPPLANDS_VASBY/tillsyn/A 1061-2022.docx", "A 1061-2022")</f>
        <v/>
      </c>
      <c r="Y192">
        <f>HYPERLINK("https://klasma.github.io/Logging_UPPLANDS_VASBY/tillsynsmail/A 1061-2022.docx", "A 1061-2022")</f>
        <v/>
      </c>
    </row>
    <row r="193" ht="15" customHeight="1">
      <c r="A193" t="inlineStr">
        <is>
          <t>A 6852-2022</t>
        </is>
      </c>
      <c r="B193" s="1" t="n">
        <v>44602</v>
      </c>
      <c r="C193" s="1" t="n">
        <v>45186</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 "A 6852-2022")</f>
        <v/>
      </c>
      <c r="T193">
        <f>HYPERLINK("https://klasma.github.io/Logging_NYKVARN/kartor/A 6852-2022.png", "A 6852-2022")</f>
        <v/>
      </c>
      <c r="V193">
        <f>HYPERLINK("https://klasma.github.io/Logging_NYKVARN/klagomål/A 6852-2022.docx", "A 6852-2022")</f>
        <v/>
      </c>
      <c r="W193">
        <f>HYPERLINK("https://klasma.github.io/Logging_NYKVARN/klagomålsmail/A 6852-2022.docx", "A 6852-2022")</f>
        <v/>
      </c>
      <c r="X193">
        <f>HYPERLINK("https://klasma.github.io/Logging_NYKVARN/tillsyn/A 6852-2022.docx", "A 6852-2022")</f>
        <v/>
      </c>
      <c r="Y193">
        <f>HYPERLINK("https://klasma.github.io/Logging_NYKVARN/tillsynsmail/A 6852-2022.docx", "A 6852-2022")</f>
        <v/>
      </c>
    </row>
    <row r="194" ht="15" customHeight="1">
      <c r="A194" t="inlineStr">
        <is>
          <t>A 11513-2022</t>
        </is>
      </c>
      <c r="B194" s="1" t="n">
        <v>44630</v>
      </c>
      <c r="C194" s="1" t="n">
        <v>45186</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 "A 11513-2022")</f>
        <v/>
      </c>
      <c r="T194">
        <f>HYPERLINK("https://klasma.github.io/Logging_HANINGE/kartor/A 11513-2022.png", "A 11513-2022")</f>
        <v/>
      </c>
      <c r="V194">
        <f>HYPERLINK("https://klasma.github.io/Logging_HANINGE/klagomål/A 11513-2022.docx", "A 11513-2022")</f>
        <v/>
      </c>
      <c r="W194">
        <f>HYPERLINK("https://klasma.github.io/Logging_HANINGE/klagomålsmail/A 11513-2022.docx", "A 11513-2022")</f>
        <v/>
      </c>
      <c r="X194">
        <f>HYPERLINK("https://klasma.github.io/Logging_HANINGE/tillsyn/A 11513-2022.docx", "A 11513-2022")</f>
        <v/>
      </c>
      <c r="Y194">
        <f>HYPERLINK("https://klasma.github.io/Logging_HANINGE/tillsynsmail/A 11513-2022.docx", "A 11513-2022")</f>
        <v/>
      </c>
    </row>
    <row r="195" ht="15" customHeight="1">
      <c r="A195" t="inlineStr">
        <is>
          <t>A 16260-2022</t>
        </is>
      </c>
      <c r="B195" s="1" t="n">
        <v>44670</v>
      </c>
      <c r="C195" s="1" t="n">
        <v>45186</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 "A 16260-2022")</f>
        <v/>
      </c>
      <c r="T195">
        <f>HYPERLINK("https://klasma.github.io/Logging_NORRTALJE/kartor/A 16260-2022.png", "A 16260-2022")</f>
        <v/>
      </c>
      <c r="V195">
        <f>HYPERLINK("https://klasma.github.io/Logging_NORRTALJE/klagomål/A 16260-2022.docx", "A 16260-2022")</f>
        <v/>
      </c>
      <c r="W195">
        <f>HYPERLINK("https://klasma.github.io/Logging_NORRTALJE/klagomålsmail/A 16260-2022.docx", "A 16260-2022")</f>
        <v/>
      </c>
      <c r="X195">
        <f>HYPERLINK("https://klasma.github.io/Logging_NORRTALJE/tillsyn/A 16260-2022.docx", "A 16260-2022")</f>
        <v/>
      </c>
      <c r="Y195">
        <f>HYPERLINK("https://klasma.github.io/Logging_NORRTALJE/tillsynsmail/A 16260-2022.docx", "A 16260-2022")</f>
        <v/>
      </c>
    </row>
    <row r="196" ht="15" customHeight="1">
      <c r="A196" t="inlineStr">
        <is>
          <t>A 19862-2022</t>
        </is>
      </c>
      <c r="B196" s="1" t="n">
        <v>44696</v>
      </c>
      <c r="C196" s="1" t="n">
        <v>45186</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 "A 19862-2022")</f>
        <v/>
      </c>
      <c r="T196">
        <f>HYPERLINK("https://klasma.github.io/Logging_NORRTALJE/kartor/A 19862-2022.png", "A 19862-2022")</f>
        <v/>
      </c>
      <c r="V196">
        <f>HYPERLINK("https://klasma.github.io/Logging_NORRTALJE/klagomål/A 19862-2022.docx", "A 19862-2022")</f>
        <v/>
      </c>
      <c r="W196">
        <f>HYPERLINK("https://klasma.github.io/Logging_NORRTALJE/klagomålsmail/A 19862-2022.docx", "A 19862-2022")</f>
        <v/>
      </c>
      <c r="X196">
        <f>HYPERLINK("https://klasma.github.io/Logging_NORRTALJE/tillsyn/A 19862-2022.docx", "A 19862-2022")</f>
        <v/>
      </c>
      <c r="Y196">
        <f>HYPERLINK("https://klasma.github.io/Logging_NORRTALJE/tillsynsmail/A 19862-2022.docx", "A 19862-2022")</f>
        <v/>
      </c>
    </row>
    <row r="197" ht="15" customHeight="1">
      <c r="A197" t="inlineStr">
        <is>
          <t>A 22061-2022</t>
        </is>
      </c>
      <c r="B197" s="1" t="n">
        <v>44711</v>
      </c>
      <c r="C197" s="1" t="n">
        <v>45186</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 "A 22061-2022")</f>
        <v/>
      </c>
      <c r="T197">
        <f>HYPERLINK("https://klasma.github.io/Logging_VALLENTUNA/kartor/A 22061-2022.png", "A 22061-2022")</f>
        <v/>
      </c>
      <c r="V197">
        <f>HYPERLINK("https://klasma.github.io/Logging_VALLENTUNA/klagomål/A 22061-2022.docx", "A 22061-2022")</f>
        <v/>
      </c>
      <c r="W197">
        <f>HYPERLINK("https://klasma.github.io/Logging_VALLENTUNA/klagomålsmail/A 22061-2022.docx", "A 22061-2022")</f>
        <v/>
      </c>
      <c r="X197">
        <f>HYPERLINK("https://klasma.github.io/Logging_VALLENTUNA/tillsyn/A 22061-2022.docx", "A 22061-2022")</f>
        <v/>
      </c>
      <c r="Y197">
        <f>HYPERLINK("https://klasma.github.io/Logging_VALLENTUNA/tillsynsmail/A 22061-2022.docx", "A 22061-2022")</f>
        <v/>
      </c>
    </row>
    <row r="198" ht="15" customHeight="1">
      <c r="A198" t="inlineStr">
        <is>
          <t>A 27742-2022</t>
        </is>
      </c>
      <c r="B198" s="1" t="n">
        <v>44743</v>
      </c>
      <c r="C198" s="1" t="n">
        <v>45186</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 "A 27742-2022")</f>
        <v/>
      </c>
      <c r="T198">
        <f>HYPERLINK("https://klasma.github.io/Logging_NORRTALJE/kartor/A 27742-2022.png", "A 27742-2022")</f>
        <v/>
      </c>
      <c r="V198">
        <f>HYPERLINK("https://klasma.github.io/Logging_NORRTALJE/klagomål/A 27742-2022.docx", "A 27742-2022")</f>
        <v/>
      </c>
      <c r="W198">
        <f>HYPERLINK("https://klasma.github.io/Logging_NORRTALJE/klagomålsmail/A 27742-2022.docx", "A 27742-2022")</f>
        <v/>
      </c>
      <c r="X198">
        <f>HYPERLINK("https://klasma.github.io/Logging_NORRTALJE/tillsyn/A 27742-2022.docx", "A 27742-2022")</f>
        <v/>
      </c>
      <c r="Y198">
        <f>HYPERLINK("https://klasma.github.io/Logging_NORRTALJE/tillsynsmail/A 27742-2022.docx", "A 27742-2022")</f>
        <v/>
      </c>
    </row>
    <row r="199" ht="15" customHeight="1">
      <c r="A199" t="inlineStr">
        <is>
          <t>A 34068-2022</t>
        </is>
      </c>
      <c r="B199" s="1" t="n">
        <v>44791</v>
      </c>
      <c r="C199" s="1" t="n">
        <v>45186</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 "A 34068-2022")</f>
        <v/>
      </c>
      <c r="T199">
        <f>HYPERLINK("https://klasma.github.io/Logging_SIGTUNA/kartor/A 34068-2022.png", "A 34068-2022")</f>
        <v/>
      </c>
      <c r="V199">
        <f>HYPERLINK("https://klasma.github.io/Logging_SIGTUNA/klagomål/A 34068-2022.docx", "A 34068-2022")</f>
        <v/>
      </c>
      <c r="W199">
        <f>HYPERLINK("https://klasma.github.io/Logging_SIGTUNA/klagomålsmail/A 34068-2022.docx", "A 34068-2022")</f>
        <v/>
      </c>
      <c r="X199">
        <f>HYPERLINK("https://klasma.github.io/Logging_SIGTUNA/tillsyn/A 34068-2022.docx", "A 34068-2022")</f>
        <v/>
      </c>
      <c r="Y199">
        <f>HYPERLINK("https://klasma.github.io/Logging_SIGTUNA/tillsynsmail/A 34068-2022.docx", "A 34068-2022")</f>
        <v/>
      </c>
    </row>
    <row r="200" ht="15" customHeight="1">
      <c r="A200" t="inlineStr">
        <is>
          <t>A 52046-2022</t>
        </is>
      </c>
      <c r="B200" s="1" t="n">
        <v>44868</v>
      </c>
      <c r="C200" s="1" t="n">
        <v>45186</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 "A 52046-2022")</f>
        <v/>
      </c>
      <c r="T200">
        <f>HYPERLINK("https://klasma.github.io/Logging_SODERTALJE/kartor/A 52046-2022.png", "A 52046-2022")</f>
        <v/>
      </c>
      <c r="V200">
        <f>HYPERLINK("https://klasma.github.io/Logging_SODERTALJE/klagomål/A 52046-2022.docx", "A 52046-2022")</f>
        <v/>
      </c>
      <c r="W200">
        <f>HYPERLINK("https://klasma.github.io/Logging_SODERTALJE/klagomålsmail/A 52046-2022.docx", "A 52046-2022")</f>
        <v/>
      </c>
      <c r="X200">
        <f>HYPERLINK("https://klasma.github.io/Logging_SODERTALJE/tillsyn/A 52046-2022.docx", "A 52046-2022")</f>
        <v/>
      </c>
      <c r="Y200">
        <f>HYPERLINK("https://klasma.github.io/Logging_SODERTALJE/tillsynsmail/A 52046-2022.docx", "A 52046-2022")</f>
        <v/>
      </c>
    </row>
    <row r="201" ht="15" customHeight="1">
      <c r="A201" t="inlineStr">
        <is>
          <t>A 52124-2022</t>
        </is>
      </c>
      <c r="B201" s="1" t="n">
        <v>44868</v>
      </c>
      <c r="C201" s="1" t="n">
        <v>45186</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 "A 52124-2022")</f>
        <v/>
      </c>
      <c r="T201">
        <f>HYPERLINK("https://klasma.github.io/Logging_NORRTALJE/kartor/A 52124-2022.png", "A 52124-2022")</f>
        <v/>
      </c>
      <c r="V201">
        <f>HYPERLINK("https://klasma.github.io/Logging_NORRTALJE/klagomål/A 52124-2022.docx", "A 52124-2022")</f>
        <v/>
      </c>
      <c r="W201">
        <f>HYPERLINK("https://klasma.github.io/Logging_NORRTALJE/klagomålsmail/A 52124-2022.docx", "A 52124-2022")</f>
        <v/>
      </c>
      <c r="X201">
        <f>HYPERLINK("https://klasma.github.io/Logging_NORRTALJE/tillsyn/A 52124-2022.docx", "A 52124-2022")</f>
        <v/>
      </c>
      <c r="Y201">
        <f>HYPERLINK("https://klasma.github.io/Logging_NORRTALJE/tillsynsmail/A 52124-2022.docx", "A 52124-2022")</f>
        <v/>
      </c>
    </row>
    <row r="202" ht="15" customHeight="1">
      <c r="A202" t="inlineStr">
        <is>
          <t>A 51980-2022</t>
        </is>
      </c>
      <c r="B202" s="1" t="n">
        <v>44872</v>
      </c>
      <c r="C202" s="1" t="n">
        <v>45186</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 "A 51980-2022")</f>
        <v/>
      </c>
      <c r="T202">
        <f>HYPERLINK("https://klasma.github.io/Logging_NORRTALJE/kartor/A 51980-2022.png", "A 51980-2022")</f>
        <v/>
      </c>
      <c r="V202">
        <f>HYPERLINK("https://klasma.github.io/Logging_NORRTALJE/klagomål/A 51980-2022.docx", "A 51980-2022")</f>
        <v/>
      </c>
      <c r="W202">
        <f>HYPERLINK("https://klasma.github.io/Logging_NORRTALJE/klagomålsmail/A 51980-2022.docx", "A 51980-2022")</f>
        <v/>
      </c>
      <c r="X202">
        <f>HYPERLINK("https://klasma.github.io/Logging_NORRTALJE/tillsyn/A 51980-2022.docx", "A 51980-2022")</f>
        <v/>
      </c>
      <c r="Y202">
        <f>HYPERLINK("https://klasma.github.io/Logging_NORRTALJE/tillsynsmail/A 51980-2022.docx", "A 51980-2022")</f>
        <v/>
      </c>
    </row>
    <row r="203" ht="15" customHeight="1">
      <c r="A203" t="inlineStr">
        <is>
          <t>A 61302-2022</t>
        </is>
      </c>
      <c r="B203" s="1" t="n">
        <v>44915</v>
      </c>
      <c r="C203" s="1" t="n">
        <v>45186</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 "A 61302-2022")</f>
        <v/>
      </c>
      <c r="T203">
        <f>HYPERLINK("https://klasma.github.io/Logging_SALEM/kartor/A 61302-2022.png", "A 61302-2022")</f>
        <v/>
      </c>
      <c r="V203">
        <f>HYPERLINK("https://klasma.github.io/Logging_SALEM/klagomål/A 61302-2022.docx", "A 61302-2022")</f>
        <v/>
      </c>
      <c r="W203">
        <f>HYPERLINK("https://klasma.github.io/Logging_SALEM/klagomålsmail/A 61302-2022.docx", "A 61302-2022")</f>
        <v/>
      </c>
      <c r="X203">
        <f>HYPERLINK("https://klasma.github.io/Logging_SALEM/tillsyn/A 61302-2022.docx", "A 61302-2022")</f>
        <v/>
      </c>
      <c r="Y203">
        <f>HYPERLINK("https://klasma.github.io/Logging_SALEM/tillsynsmail/A 61302-2022.docx", "A 61302-2022")</f>
        <v/>
      </c>
    </row>
    <row r="204" ht="15" customHeight="1">
      <c r="A204" t="inlineStr">
        <is>
          <t>A 61363-2022</t>
        </is>
      </c>
      <c r="B204" s="1" t="n">
        <v>44915</v>
      </c>
      <c r="C204" s="1" t="n">
        <v>45186</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 "A 61363-2022")</f>
        <v/>
      </c>
      <c r="T204">
        <f>HYPERLINK("https://klasma.github.io/Logging_OSTERAKER/kartor/A 61363-2022.png", "A 61363-2022")</f>
        <v/>
      </c>
      <c r="V204">
        <f>HYPERLINK("https://klasma.github.io/Logging_OSTERAKER/klagomål/A 61363-2022.docx", "A 61363-2022")</f>
        <v/>
      </c>
      <c r="W204">
        <f>HYPERLINK("https://klasma.github.io/Logging_OSTERAKER/klagomålsmail/A 61363-2022.docx", "A 61363-2022")</f>
        <v/>
      </c>
      <c r="X204">
        <f>HYPERLINK("https://klasma.github.io/Logging_OSTERAKER/tillsyn/A 61363-2022.docx", "A 61363-2022")</f>
        <v/>
      </c>
      <c r="Y204">
        <f>HYPERLINK("https://klasma.github.io/Logging_OSTERAKER/tillsynsmail/A 61363-2022.docx", "A 61363-2022")</f>
        <v/>
      </c>
    </row>
    <row r="205" ht="15" customHeight="1">
      <c r="A205" t="inlineStr">
        <is>
          <t>A 1697-2023</t>
        </is>
      </c>
      <c r="B205" s="1" t="n">
        <v>44938</v>
      </c>
      <c r="C205" s="1" t="n">
        <v>45186</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 "A 1697-2023")</f>
        <v/>
      </c>
      <c r="T205">
        <f>HYPERLINK("https://klasma.github.io/Logging_BOTKYRKA/kartor/A 1697-2023.png", "A 1697-2023")</f>
        <v/>
      </c>
      <c r="V205">
        <f>HYPERLINK("https://klasma.github.io/Logging_BOTKYRKA/klagomål/A 1697-2023.docx", "A 1697-2023")</f>
        <v/>
      </c>
      <c r="W205">
        <f>HYPERLINK("https://klasma.github.io/Logging_BOTKYRKA/klagomålsmail/A 1697-2023.docx", "A 1697-2023")</f>
        <v/>
      </c>
      <c r="X205">
        <f>HYPERLINK("https://klasma.github.io/Logging_BOTKYRKA/tillsyn/A 1697-2023.docx", "A 1697-2023")</f>
        <v/>
      </c>
      <c r="Y205">
        <f>HYPERLINK("https://klasma.github.io/Logging_BOTKYRKA/tillsynsmail/A 1697-2023.docx", "A 1697-2023")</f>
        <v/>
      </c>
    </row>
    <row r="206" ht="15" customHeight="1">
      <c r="A206" t="inlineStr">
        <is>
          <t>A 2992-2023</t>
        </is>
      </c>
      <c r="B206" s="1" t="n">
        <v>44945</v>
      </c>
      <c r="C206" s="1" t="n">
        <v>45186</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 "A 2992-2023")</f>
        <v/>
      </c>
      <c r="T206">
        <f>HYPERLINK("https://klasma.github.io/Logging_SALEM/kartor/A 2992-2023.png", "A 2992-2023")</f>
        <v/>
      </c>
      <c r="V206">
        <f>HYPERLINK("https://klasma.github.io/Logging_SALEM/klagomål/A 2992-2023.docx", "A 2992-2023")</f>
        <v/>
      </c>
      <c r="W206">
        <f>HYPERLINK("https://klasma.github.io/Logging_SALEM/klagomålsmail/A 2992-2023.docx", "A 2992-2023")</f>
        <v/>
      </c>
      <c r="X206">
        <f>HYPERLINK("https://klasma.github.io/Logging_SALEM/tillsyn/A 2992-2023.docx", "A 2992-2023")</f>
        <v/>
      </c>
      <c r="Y206">
        <f>HYPERLINK("https://klasma.github.io/Logging_SALEM/tillsynsmail/A 2992-2023.docx", "A 2992-2023")</f>
        <v/>
      </c>
    </row>
    <row r="207" ht="15" customHeight="1">
      <c r="A207" t="inlineStr">
        <is>
          <t>A 7341-2023</t>
        </is>
      </c>
      <c r="B207" s="1" t="n">
        <v>44971</v>
      </c>
      <c r="C207" s="1" t="n">
        <v>45186</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 "A 7341-2023")</f>
        <v/>
      </c>
      <c r="T207">
        <f>HYPERLINK("https://klasma.github.io/Logging_NORRTALJE/kartor/A 7341-2023.png", "A 7341-2023")</f>
        <v/>
      </c>
      <c r="V207">
        <f>HYPERLINK("https://klasma.github.io/Logging_NORRTALJE/klagomål/A 7341-2023.docx", "A 7341-2023")</f>
        <v/>
      </c>
      <c r="W207">
        <f>HYPERLINK("https://klasma.github.io/Logging_NORRTALJE/klagomålsmail/A 7341-2023.docx", "A 7341-2023")</f>
        <v/>
      </c>
      <c r="X207">
        <f>HYPERLINK("https://klasma.github.io/Logging_NORRTALJE/tillsyn/A 7341-2023.docx", "A 7341-2023")</f>
        <v/>
      </c>
      <c r="Y207">
        <f>HYPERLINK("https://klasma.github.io/Logging_NORRTALJE/tillsynsmail/A 7341-2023.docx", "A 7341-2023")</f>
        <v/>
      </c>
    </row>
    <row r="208" ht="15" customHeight="1">
      <c r="A208" t="inlineStr">
        <is>
          <t>A 10136-2023</t>
        </is>
      </c>
      <c r="B208" s="1" t="n">
        <v>44986</v>
      </c>
      <c r="C208" s="1" t="n">
        <v>45186</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 "A 10136-2023")</f>
        <v/>
      </c>
      <c r="T208">
        <f>HYPERLINK("https://klasma.github.io/Logging_NORRTALJE/kartor/A 10136-2023.png", "A 10136-2023")</f>
        <v/>
      </c>
      <c r="V208">
        <f>HYPERLINK("https://klasma.github.io/Logging_NORRTALJE/klagomål/A 10136-2023.docx", "A 10136-2023")</f>
        <v/>
      </c>
      <c r="W208">
        <f>HYPERLINK("https://klasma.github.io/Logging_NORRTALJE/klagomålsmail/A 10136-2023.docx", "A 10136-2023")</f>
        <v/>
      </c>
      <c r="X208">
        <f>HYPERLINK("https://klasma.github.io/Logging_NORRTALJE/tillsyn/A 10136-2023.docx", "A 10136-2023")</f>
        <v/>
      </c>
      <c r="Y208">
        <f>HYPERLINK("https://klasma.github.io/Logging_NORRTALJE/tillsynsmail/A 10136-2023.docx", "A 10136-2023")</f>
        <v/>
      </c>
    </row>
    <row r="209" ht="15" customHeight="1">
      <c r="A209" t="inlineStr">
        <is>
          <t>A 14729-2023</t>
        </is>
      </c>
      <c r="B209" s="1" t="n">
        <v>45014</v>
      </c>
      <c r="C209" s="1" t="n">
        <v>45186</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 "A 14729-2023")</f>
        <v/>
      </c>
      <c r="T209">
        <f>HYPERLINK("https://klasma.github.io/Logging_HANINGE/kartor/A 14729-2023.png", "A 14729-2023")</f>
        <v/>
      </c>
      <c r="V209">
        <f>HYPERLINK("https://klasma.github.io/Logging_HANINGE/klagomål/A 14729-2023.docx", "A 14729-2023")</f>
        <v/>
      </c>
      <c r="W209">
        <f>HYPERLINK("https://klasma.github.io/Logging_HANINGE/klagomålsmail/A 14729-2023.docx", "A 14729-2023")</f>
        <v/>
      </c>
      <c r="X209">
        <f>HYPERLINK("https://klasma.github.io/Logging_HANINGE/tillsyn/A 14729-2023.docx", "A 14729-2023")</f>
        <v/>
      </c>
      <c r="Y209">
        <f>HYPERLINK("https://klasma.github.io/Logging_HANINGE/tillsynsmail/A 14729-2023.docx", "A 14729-2023")</f>
        <v/>
      </c>
    </row>
    <row r="210" ht="15" customHeight="1">
      <c r="A210" t="inlineStr">
        <is>
          <t>A 15574-2023</t>
        </is>
      </c>
      <c r="B210" s="1" t="n">
        <v>45020</v>
      </c>
      <c r="C210" s="1" t="n">
        <v>45186</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 "A 15574-2023")</f>
        <v/>
      </c>
      <c r="T210">
        <f>HYPERLINK("https://klasma.github.io/Logging_NYKVARN/kartor/A 15574-2023.png", "A 15574-2023")</f>
        <v/>
      </c>
      <c r="V210">
        <f>HYPERLINK("https://klasma.github.io/Logging_NYKVARN/klagomål/A 15574-2023.docx", "A 15574-2023")</f>
        <v/>
      </c>
      <c r="W210">
        <f>HYPERLINK("https://klasma.github.io/Logging_NYKVARN/klagomålsmail/A 15574-2023.docx", "A 15574-2023")</f>
        <v/>
      </c>
      <c r="X210">
        <f>HYPERLINK("https://klasma.github.io/Logging_NYKVARN/tillsyn/A 15574-2023.docx", "A 15574-2023")</f>
        <v/>
      </c>
      <c r="Y210">
        <f>HYPERLINK("https://klasma.github.io/Logging_NYKVARN/tillsynsmail/A 15574-2023.docx", "A 15574-2023")</f>
        <v/>
      </c>
    </row>
    <row r="211" ht="15" customHeight="1">
      <c r="A211" t="inlineStr">
        <is>
          <t>A 23861-2023</t>
        </is>
      </c>
      <c r="B211" s="1" t="n">
        <v>45078</v>
      </c>
      <c r="C211" s="1" t="n">
        <v>45186</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 "A 23861-2023")</f>
        <v/>
      </c>
      <c r="T211">
        <f>HYPERLINK("https://klasma.github.io/Logging_NORRTALJE/kartor/A 23861-2023.png", "A 23861-2023")</f>
        <v/>
      </c>
      <c r="V211">
        <f>HYPERLINK("https://klasma.github.io/Logging_NORRTALJE/klagomål/A 23861-2023.docx", "A 23861-2023")</f>
        <v/>
      </c>
      <c r="W211">
        <f>HYPERLINK("https://klasma.github.io/Logging_NORRTALJE/klagomålsmail/A 23861-2023.docx", "A 23861-2023")</f>
        <v/>
      </c>
      <c r="X211">
        <f>HYPERLINK("https://klasma.github.io/Logging_NORRTALJE/tillsyn/A 23861-2023.docx", "A 23861-2023")</f>
        <v/>
      </c>
      <c r="Y211">
        <f>HYPERLINK("https://klasma.github.io/Logging_NORRTALJE/tillsynsmail/A 23861-2023.docx", "A 23861-2023")</f>
        <v/>
      </c>
    </row>
    <row r="212" ht="15" customHeight="1">
      <c r="A212" t="inlineStr">
        <is>
          <t>A 33165-2023</t>
        </is>
      </c>
      <c r="B212" s="1" t="n">
        <v>45126</v>
      </c>
      <c r="C212" s="1" t="n">
        <v>45186</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 "A 33165-2023")</f>
        <v/>
      </c>
      <c r="T212">
        <f>HYPERLINK("https://klasma.github.io/Logging_VARMDO/kartor/A 33165-2023.png", "A 33165-2023")</f>
        <v/>
      </c>
      <c r="V212">
        <f>HYPERLINK("https://klasma.github.io/Logging_VARMDO/klagomål/A 33165-2023.docx", "A 33165-2023")</f>
        <v/>
      </c>
      <c r="W212">
        <f>HYPERLINK("https://klasma.github.io/Logging_VARMDO/klagomålsmail/A 33165-2023.docx", "A 33165-2023")</f>
        <v/>
      </c>
      <c r="X212">
        <f>HYPERLINK("https://klasma.github.io/Logging_VARMDO/tillsyn/A 33165-2023.docx", "A 33165-2023")</f>
        <v/>
      </c>
      <c r="Y212">
        <f>HYPERLINK("https://klasma.github.io/Logging_VARMDO/tillsynsmail/A 33165-2023.docx", "A 33165-2023")</f>
        <v/>
      </c>
    </row>
    <row r="213" ht="15" customHeight="1">
      <c r="A213" t="inlineStr">
        <is>
          <t>A 33287-2023</t>
        </is>
      </c>
      <c r="B213" s="1" t="n">
        <v>45127</v>
      </c>
      <c r="C213" s="1" t="n">
        <v>45186</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 "A 33287-2023")</f>
        <v/>
      </c>
      <c r="T213">
        <f>HYPERLINK("https://klasma.github.io/Logging_NORRTALJE/kartor/A 33287-2023.png", "A 33287-2023")</f>
        <v/>
      </c>
      <c r="V213">
        <f>HYPERLINK("https://klasma.github.io/Logging_NORRTALJE/klagomål/A 33287-2023.docx", "A 33287-2023")</f>
        <v/>
      </c>
      <c r="W213">
        <f>HYPERLINK("https://klasma.github.io/Logging_NORRTALJE/klagomålsmail/A 33287-2023.docx", "A 33287-2023")</f>
        <v/>
      </c>
      <c r="X213">
        <f>HYPERLINK("https://klasma.github.io/Logging_NORRTALJE/tillsyn/A 33287-2023.docx", "A 33287-2023")</f>
        <v/>
      </c>
      <c r="Y213">
        <f>HYPERLINK("https://klasma.github.io/Logging_NORRTALJE/tillsynsmail/A 33287-2023.docx", "A 33287-2023")</f>
        <v/>
      </c>
    </row>
    <row r="214" ht="15" customHeight="1">
      <c r="A214" t="inlineStr">
        <is>
          <t>A 35937-2023</t>
        </is>
      </c>
      <c r="B214" s="1" t="n">
        <v>45148</v>
      </c>
      <c r="C214" s="1" t="n">
        <v>45186</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 "A 35937-2023")</f>
        <v/>
      </c>
      <c r="T214">
        <f>HYPERLINK("https://klasma.github.io/Logging_SODERTALJE/kartor/A 35937-2023.png", "A 35937-2023")</f>
        <v/>
      </c>
      <c r="V214">
        <f>HYPERLINK("https://klasma.github.io/Logging_SODERTALJE/klagomål/A 35937-2023.docx", "A 35937-2023")</f>
        <v/>
      </c>
      <c r="W214">
        <f>HYPERLINK("https://klasma.github.io/Logging_SODERTALJE/klagomålsmail/A 35937-2023.docx", "A 35937-2023")</f>
        <v/>
      </c>
      <c r="X214">
        <f>HYPERLINK("https://klasma.github.io/Logging_SODERTALJE/tillsyn/A 35937-2023.docx", "A 35937-2023")</f>
        <v/>
      </c>
      <c r="Y214">
        <f>HYPERLINK("https://klasma.github.io/Logging_SODERTALJE/tillsynsmail/A 35937-2023.docx", "A 35937-2023")</f>
        <v/>
      </c>
    </row>
    <row r="215" ht="15" customHeight="1">
      <c r="A215" t="inlineStr">
        <is>
          <t>A 41122-2018</t>
        </is>
      </c>
      <c r="B215" s="1" t="n">
        <v>43348</v>
      </c>
      <c r="C215" s="1" t="n">
        <v>45186</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 "A 41122-2018")</f>
        <v/>
      </c>
      <c r="T215">
        <f>HYPERLINK("https://klasma.github.io/Logging_SODERTALJE/kartor/A 41122-2018.png", "A 41122-2018")</f>
        <v/>
      </c>
      <c r="V215">
        <f>HYPERLINK("https://klasma.github.io/Logging_SODERTALJE/klagomål/A 41122-2018.docx", "A 41122-2018")</f>
        <v/>
      </c>
      <c r="W215">
        <f>HYPERLINK("https://klasma.github.io/Logging_SODERTALJE/klagomålsmail/A 41122-2018.docx", "A 41122-2018")</f>
        <v/>
      </c>
      <c r="X215">
        <f>HYPERLINK("https://klasma.github.io/Logging_SODERTALJE/tillsyn/A 41122-2018.docx", "A 41122-2018")</f>
        <v/>
      </c>
      <c r="Y215">
        <f>HYPERLINK("https://klasma.github.io/Logging_SODERTALJE/tillsynsmail/A 41122-2018.docx", "A 41122-2018")</f>
        <v/>
      </c>
    </row>
    <row r="216" ht="15" customHeight="1">
      <c r="A216" t="inlineStr">
        <is>
          <t>A 57725-2018</t>
        </is>
      </c>
      <c r="B216" s="1" t="n">
        <v>43405</v>
      </c>
      <c r="C216" s="1" t="n">
        <v>45186</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 "A 57725-2018")</f>
        <v/>
      </c>
      <c r="T216">
        <f>HYPERLINK("https://klasma.github.io/Logging_BOTKYRKA/kartor/A 57725-2018.png", "A 57725-2018")</f>
        <v/>
      </c>
      <c r="V216">
        <f>HYPERLINK("https://klasma.github.io/Logging_BOTKYRKA/klagomål/A 57725-2018.docx", "A 57725-2018")</f>
        <v/>
      </c>
      <c r="W216">
        <f>HYPERLINK("https://klasma.github.io/Logging_BOTKYRKA/klagomålsmail/A 57725-2018.docx", "A 57725-2018")</f>
        <v/>
      </c>
      <c r="X216">
        <f>HYPERLINK("https://klasma.github.io/Logging_BOTKYRKA/tillsyn/A 57725-2018.docx", "A 57725-2018")</f>
        <v/>
      </c>
      <c r="Y216">
        <f>HYPERLINK("https://klasma.github.io/Logging_BOTKYRKA/tillsynsmail/A 57725-2018.docx", "A 57725-2018")</f>
        <v/>
      </c>
    </row>
    <row r="217" ht="15" customHeight="1">
      <c r="A217" t="inlineStr">
        <is>
          <t>A 62482-2018</t>
        </is>
      </c>
      <c r="B217" s="1" t="n">
        <v>43415</v>
      </c>
      <c r="C217" s="1" t="n">
        <v>45186</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 "A 62482-2018")</f>
        <v/>
      </c>
      <c r="T217">
        <f>HYPERLINK("https://klasma.github.io/Logging_NORRTALJE/kartor/A 62482-2018.png", "A 62482-2018")</f>
        <v/>
      </c>
      <c r="V217">
        <f>HYPERLINK("https://klasma.github.io/Logging_NORRTALJE/klagomål/A 62482-2018.docx", "A 62482-2018")</f>
        <v/>
      </c>
      <c r="W217">
        <f>HYPERLINK("https://klasma.github.io/Logging_NORRTALJE/klagomålsmail/A 62482-2018.docx", "A 62482-2018")</f>
        <v/>
      </c>
      <c r="X217">
        <f>HYPERLINK("https://klasma.github.io/Logging_NORRTALJE/tillsyn/A 62482-2018.docx", "A 62482-2018")</f>
        <v/>
      </c>
      <c r="Y217">
        <f>HYPERLINK("https://klasma.github.io/Logging_NORRTALJE/tillsynsmail/A 62482-2018.docx", "A 62482-2018")</f>
        <v/>
      </c>
    </row>
    <row r="218" ht="15" customHeight="1">
      <c r="A218" t="inlineStr">
        <is>
          <t>A 62403-2018</t>
        </is>
      </c>
      <c r="B218" s="1" t="n">
        <v>43416</v>
      </c>
      <c r="C218" s="1" t="n">
        <v>45186</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 "A 62403-2018")</f>
        <v/>
      </c>
      <c r="T218">
        <f>HYPERLINK("https://klasma.github.io/Logging_NORRTALJE/kartor/A 62403-2018.png", "A 62403-2018")</f>
        <v/>
      </c>
      <c r="V218">
        <f>HYPERLINK("https://klasma.github.io/Logging_NORRTALJE/klagomål/A 62403-2018.docx", "A 62403-2018")</f>
        <v/>
      </c>
      <c r="W218">
        <f>HYPERLINK("https://klasma.github.io/Logging_NORRTALJE/klagomålsmail/A 62403-2018.docx", "A 62403-2018")</f>
        <v/>
      </c>
      <c r="X218">
        <f>HYPERLINK("https://klasma.github.io/Logging_NORRTALJE/tillsyn/A 62403-2018.docx", "A 62403-2018")</f>
        <v/>
      </c>
      <c r="Y218">
        <f>HYPERLINK("https://klasma.github.io/Logging_NORRTALJE/tillsynsmail/A 62403-2018.docx", "A 62403-2018")</f>
        <v/>
      </c>
    </row>
    <row r="219" ht="15" customHeight="1">
      <c r="A219" t="inlineStr">
        <is>
          <t>A 63522-2018</t>
        </is>
      </c>
      <c r="B219" s="1" t="n">
        <v>43416</v>
      </c>
      <c r="C219" s="1" t="n">
        <v>45186</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 "A 63522-2018")</f>
        <v/>
      </c>
      <c r="T219">
        <f>HYPERLINK("https://klasma.github.io/Logging_OSTERAKER/kartor/A 63522-2018.png", "A 63522-2018")</f>
        <v/>
      </c>
      <c r="V219">
        <f>HYPERLINK("https://klasma.github.io/Logging_OSTERAKER/klagomål/A 63522-2018.docx", "A 63522-2018")</f>
        <v/>
      </c>
      <c r="W219">
        <f>HYPERLINK("https://klasma.github.io/Logging_OSTERAKER/klagomålsmail/A 63522-2018.docx", "A 63522-2018")</f>
        <v/>
      </c>
      <c r="X219">
        <f>HYPERLINK("https://klasma.github.io/Logging_OSTERAKER/tillsyn/A 63522-2018.docx", "A 63522-2018")</f>
        <v/>
      </c>
      <c r="Y219">
        <f>HYPERLINK("https://klasma.github.io/Logging_OSTERAKER/tillsynsmail/A 63522-2018.docx", "A 63522-2018")</f>
        <v/>
      </c>
    </row>
    <row r="220" ht="15" customHeight="1">
      <c r="A220" t="inlineStr">
        <is>
          <t>A 2207-2019</t>
        </is>
      </c>
      <c r="B220" s="1" t="n">
        <v>43475</v>
      </c>
      <c r="C220" s="1" t="n">
        <v>45186</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 "A 2207-2019")</f>
        <v/>
      </c>
      <c r="T220">
        <f>HYPERLINK("https://klasma.github.io/Logging_VARMDO/kartor/A 2207-2019.png", "A 2207-2019")</f>
        <v/>
      </c>
      <c r="V220">
        <f>HYPERLINK("https://klasma.github.io/Logging_VARMDO/klagomål/A 2207-2019.docx", "A 2207-2019")</f>
        <v/>
      </c>
      <c r="W220">
        <f>HYPERLINK("https://klasma.github.io/Logging_VARMDO/klagomålsmail/A 2207-2019.docx", "A 2207-2019")</f>
        <v/>
      </c>
      <c r="X220">
        <f>HYPERLINK("https://klasma.github.io/Logging_VARMDO/tillsyn/A 2207-2019.docx", "A 2207-2019")</f>
        <v/>
      </c>
      <c r="Y220">
        <f>HYPERLINK("https://klasma.github.io/Logging_VARMDO/tillsynsmail/A 2207-2019.docx", "A 2207-2019")</f>
        <v/>
      </c>
    </row>
    <row r="221" ht="15" customHeight="1">
      <c r="A221" t="inlineStr">
        <is>
          <t>A 2647-2019</t>
        </is>
      </c>
      <c r="B221" s="1" t="n">
        <v>43478</v>
      </c>
      <c r="C221" s="1" t="n">
        <v>45186</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 "A 2647-2019")</f>
        <v/>
      </c>
      <c r="T221">
        <f>HYPERLINK("https://klasma.github.io/Logging_NORRTALJE/kartor/A 2647-2019.png", "A 2647-2019")</f>
        <v/>
      </c>
      <c r="V221">
        <f>HYPERLINK("https://klasma.github.io/Logging_NORRTALJE/klagomål/A 2647-2019.docx", "A 2647-2019")</f>
        <v/>
      </c>
      <c r="W221">
        <f>HYPERLINK("https://klasma.github.io/Logging_NORRTALJE/klagomålsmail/A 2647-2019.docx", "A 2647-2019")</f>
        <v/>
      </c>
      <c r="X221">
        <f>HYPERLINK("https://klasma.github.io/Logging_NORRTALJE/tillsyn/A 2647-2019.docx", "A 2647-2019")</f>
        <v/>
      </c>
      <c r="Y221">
        <f>HYPERLINK("https://klasma.github.io/Logging_NORRTALJE/tillsynsmail/A 2647-2019.docx", "A 2647-2019")</f>
        <v/>
      </c>
    </row>
    <row r="222" ht="15" customHeight="1">
      <c r="A222" t="inlineStr">
        <is>
          <t>A 3309-2019</t>
        </is>
      </c>
      <c r="B222" s="1" t="n">
        <v>43480</v>
      </c>
      <c r="C222" s="1" t="n">
        <v>45186</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 "A 3309-2019")</f>
        <v/>
      </c>
      <c r="T222">
        <f>HYPERLINK("https://klasma.github.io/Logging_NORRTALJE/kartor/A 3309-2019.png", "A 3309-2019")</f>
        <v/>
      </c>
      <c r="V222">
        <f>HYPERLINK("https://klasma.github.io/Logging_NORRTALJE/klagomål/A 3309-2019.docx", "A 3309-2019")</f>
        <v/>
      </c>
      <c r="W222">
        <f>HYPERLINK("https://klasma.github.io/Logging_NORRTALJE/klagomålsmail/A 3309-2019.docx", "A 3309-2019")</f>
        <v/>
      </c>
      <c r="X222">
        <f>HYPERLINK("https://klasma.github.io/Logging_NORRTALJE/tillsyn/A 3309-2019.docx", "A 3309-2019")</f>
        <v/>
      </c>
      <c r="Y222">
        <f>HYPERLINK("https://klasma.github.io/Logging_NORRTALJE/tillsynsmail/A 3309-2019.docx", "A 3309-2019")</f>
        <v/>
      </c>
    </row>
    <row r="223" ht="15" customHeight="1">
      <c r="A223" t="inlineStr">
        <is>
          <t>A 4067-2019</t>
        </is>
      </c>
      <c r="B223" s="1" t="n">
        <v>43482</v>
      </c>
      <c r="C223" s="1" t="n">
        <v>45186</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 "A 4067-2019")</f>
        <v/>
      </c>
      <c r="T223">
        <f>HYPERLINK("https://klasma.github.io/Logging_NORRTALJE/kartor/A 4067-2019.png", "A 4067-2019")</f>
        <v/>
      </c>
      <c r="V223">
        <f>HYPERLINK("https://klasma.github.io/Logging_NORRTALJE/klagomål/A 4067-2019.docx", "A 4067-2019")</f>
        <v/>
      </c>
      <c r="W223">
        <f>HYPERLINK("https://klasma.github.io/Logging_NORRTALJE/klagomålsmail/A 4067-2019.docx", "A 4067-2019")</f>
        <v/>
      </c>
      <c r="X223">
        <f>HYPERLINK("https://klasma.github.io/Logging_NORRTALJE/tillsyn/A 4067-2019.docx", "A 4067-2019")</f>
        <v/>
      </c>
      <c r="Y223">
        <f>HYPERLINK("https://klasma.github.io/Logging_NORRTALJE/tillsynsmail/A 4067-2019.docx", "A 4067-2019")</f>
        <v/>
      </c>
    </row>
    <row r="224" ht="15" customHeight="1">
      <c r="A224" t="inlineStr">
        <is>
          <t>A 4921-2019</t>
        </is>
      </c>
      <c r="B224" s="1" t="n">
        <v>43486</v>
      </c>
      <c r="C224" s="1" t="n">
        <v>45186</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 "A 4921-2019")</f>
        <v/>
      </c>
      <c r="T224">
        <f>HYPERLINK("https://klasma.github.io/Logging_VALLENTUNA/kartor/A 4921-2019.png", "A 4921-2019")</f>
        <v/>
      </c>
      <c r="V224">
        <f>HYPERLINK("https://klasma.github.io/Logging_VALLENTUNA/klagomål/A 4921-2019.docx", "A 4921-2019")</f>
        <v/>
      </c>
      <c r="W224">
        <f>HYPERLINK("https://klasma.github.io/Logging_VALLENTUNA/klagomålsmail/A 4921-2019.docx", "A 4921-2019")</f>
        <v/>
      </c>
      <c r="X224">
        <f>HYPERLINK("https://klasma.github.io/Logging_VALLENTUNA/tillsyn/A 4921-2019.docx", "A 4921-2019")</f>
        <v/>
      </c>
      <c r="Y224">
        <f>HYPERLINK("https://klasma.github.io/Logging_VALLENTUNA/tillsynsmail/A 4921-2019.docx", "A 4921-2019")</f>
        <v/>
      </c>
    </row>
    <row r="225" ht="15" customHeight="1">
      <c r="A225" t="inlineStr">
        <is>
          <t>A 4674-2019</t>
        </is>
      </c>
      <c r="B225" s="1" t="n">
        <v>43486</v>
      </c>
      <c r="C225" s="1" t="n">
        <v>45186</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 "A 4674-2019")</f>
        <v/>
      </c>
      <c r="T225">
        <f>HYPERLINK("https://klasma.github.io/Logging_VALLENTUNA/kartor/A 4674-2019.png", "A 4674-2019")</f>
        <v/>
      </c>
      <c r="V225">
        <f>HYPERLINK("https://klasma.github.io/Logging_VALLENTUNA/klagomål/A 4674-2019.docx", "A 4674-2019")</f>
        <v/>
      </c>
      <c r="W225">
        <f>HYPERLINK("https://klasma.github.io/Logging_VALLENTUNA/klagomålsmail/A 4674-2019.docx", "A 4674-2019")</f>
        <v/>
      </c>
      <c r="X225">
        <f>HYPERLINK("https://klasma.github.io/Logging_VALLENTUNA/tillsyn/A 4674-2019.docx", "A 4674-2019")</f>
        <v/>
      </c>
      <c r="Y225">
        <f>HYPERLINK("https://klasma.github.io/Logging_VALLENTUNA/tillsynsmail/A 4674-2019.docx", "A 4674-2019")</f>
        <v/>
      </c>
    </row>
    <row r="226" ht="15" customHeight="1">
      <c r="A226" t="inlineStr">
        <is>
          <t>A 5488-2019</t>
        </is>
      </c>
      <c r="B226" s="1" t="n">
        <v>43489</v>
      </c>
      <c r="C226" s="1" t="n">
        <v>45186</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 "A 5488-2019")</f>
        <v/>
      </c>
      <c r="T226">
        <f>HYPERLINK("https://klasma.github.io/Logging_NORRTALJE/kartor/A 5488-2019.png", "A 5488-2019")</f>
        <v/>
      </c>
      <c r="V226">
        <f>HYPERLINK("https://klasma.github.io/Logging_NORRTALJE/klagomål/A 5488-2019.docx", "A 5488-2019")</f>
        <v/>
      </c>
      <c r="W226">
        <f>HYPERLINK("https://klasma.github.io/Logging_NORRTALJE/klagomålsmail/A 5488-2019.docx", "A 5488-2019")</f>
        <v/>
      </c>
      <c r="X226">
        <f>HYPERLINK("https://klasma.github.io/Logging_NORRTALJE/tillsyn/A 5488-2019.docx", "A 5488-2019")</f>
        <v/>
      </c>
      <c r="Y226">
        <f>HYPERLINK("https://klasma.github.io/Logging_NORRTALJE/tillsynsmail/A 5488-2019.docx", "A 5488-2019")</f>
        <v/>
      </c>
    </row>
    <row r="227" ht="15" customHeight="1">
      <c r="A227" t="inlineStr">
        <is>
          <t>A 5502-2019</t>
        </is>
      </c>
      <c r="B227" s="1" t="n">
        <v>43489</v>
      </c>
      <c r="C227" s="1" t="n">
        <v>45186</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 "A 5502-2019")</f>
        <v/>
      </c>
      <c r="T227">
        <f>HYPERLINK("https://klasma.github.io/Logging_NORRTALJE/kartor/A 5502-2019.png", "A 5502-2019")</f>
        <v/>
      </c>
      <c r="V227">
        <f>HYPERLINK("https://klasma.github.io/Logging_NORRTALJE/klagomål/A 5502-2019.docx", "A 5502-2019")</f>
        <v/>
      </c>
      <c r="W227">
        <f>HYPERLINK("https://klasma.github.io/Logging_NORRTALJE/klagomålsmail/A 5502-2019.docx", "A 5502-2019")</f>
        <v/>
      </c>
      <c r="X227">
        <f>HYPERLINK("https://klasma.github.io/Logging_NORRTALJE/tillsyn/A 5502-2019.docx", "A 5502-2019")</f>
        <v/>
      </c>
      <c r="Y227">
        <f>HYPERLINK("https://klasma.github.io/Logging_NORRTALJE/tillsynsmail/A 5502-2019.docx", "A 5502-2019")</f>
        <v/>
      </c>
    </row>
    <row r="228" ht="15" customHeight="1">
      <c r="A228" t="inlineStr">
        <is>
          <t>A 6523-2019</t>
        </is>
      </c>
      <c r="B228" s="1" t="n">
        <v>43494</v>
      </c>
      <c r="C228" s="1" t="n">
        <v>45186</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 "A 6523-2019")</f>
        <v/>
      </c>
      <c r="T228">
        <f>HYPERLINK("https://klasma.github.io/Logging_NORRTALJE/kartor/A 6523-2019.png", "A 6523-2019")</f>
        <v/>
      </c>
      <c r="V228">
        <f>HYPERLINK("https://klasma.github.io/Logging_NORRTALJE/klagomål/A 6523-2019.docx", "A 6523-2019")</f>
        <v/>
      </c>
      <c r="W228">
        <f>HYPERLINK("https://klasma.github.io/Logging_NORRTALJE/klagomålsmail/A 6523-2019.docx", "A 6523-2019")</f>
        <v/>
      </c>
      <c r="X228">
        <f>HYPERLINK("https://klasma.github.io/Logging_NORRTALJE/tillsyn/A 6523-2019.docx", "A 6523-2019")</f>
        <v/>
      </c>
      <c r="Y228">
        <f>HYPERLINK("https://klasma.github.io/Logging_NORRTALJE/tillsynsmail/A 6523-2019.docx", "A 6523-2019")</f>
        <v/>
      </c>
    </row>
    <row r="229" ht="15" customHeight="1">
      <c r="A229" t="inlineStr">
        <is>
          <t>A 7739-2019</t>
        </is>
      </c>
      <c r="B229" s="1" t="n">
        <v>43500</v>
      </c>
      <c r="C229" s="1" t="n">
        <v>45186</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 "A 7739-2019")</f>
        <v/>
      </c>
      <c r="T229">
        <f>HYPERLINK("https://klasma.github.io/Logging_NORRTALJE/kartor/A 7739-2019.png", "A 7739-2019")</f>
        <v/>
      </c>
      <c r="V229">
        <f>HYPERLINK("https://klasma.github.io/Logging_NORRTALJE/klagomål/A 7739-2019.docx", "A 7739-2019")</f>
        <v/>
      </c>
      <c r="W229">
        <f>HYPERLINK("https://klasma.github.io/Logging_NORRTALJE/klagomålsmail/A 7739-2019.docx", "A 7739-2019")</f>
        <v/>
      </c>
      <c r="X229">
        <f>HYPERLINK("https://klasma.github.io/Logging_NORRTALJE/tillsyn/A 7739-2019.docx", "A 7739-2019")</f>
        <v/>
      </c>
      <c r="Y229">
        <f>HYPERLINK("https://klasma.github.io/Logging_NORRTALJE/tillsynsmail/A 7739-2019.docx", "A 7739-2019")</f>
        <v/>
      </c>
    </row>
    <row r="230" ht="15" customHeight="1">
      <c r="A230" t="inlineStr">
        <is>
          <t>A 8742-2019</t>
        </is>
      </c>
      <c r="B230" s="1" t="n">
        <v>43503</v>
      </c>
      <c r="C230" s="1" t="n">
        <v>45186</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 "A 8742-2019")</f>
        <v/>
      </c>
      <c r="T230">
        <f>HYPERLINK("https://klasma.github.io/Logging_NORRTALJE/kartor/A 8742-2019.png", "A 8742-2019")</f>
        <v/>
      </c>
      <c r="V230">
        <f>HYPERLINK("https://klasma.github.io/Logging_NORRTALJE/klagomål/A 8742-2019.docx", "A 8742-2019")</f>
        <v/>
      </c>
      <c r="W230">
        <f>HYPERLINK("https://klasma.github.io/Logging_NORRTALJE/klagomålsmail/A 8742-2019.docx", "A 8742-2019")</f>
        <v/>
      </c>
      <c r="X230">
        <f>HYPERLINK("https://klasma.github.io/Logging_NORRTALJE/tillsyn/A 8742-2019.docx", "A 8742-2019")</f>
        <v/>
      </c>
      <c r="Y230">
        <f>HYPERLINK("https://klasma.github.io/Logging_NORRTALJE/tillsynsmail/A 8742-2019.docx", "A 8742-2019")</f>
        <v/>
      </c>
    </row>
    <row r="231" ht="15" customHeight="1">
      <c r="A231" t="inlineStr">
        <is>
          <t>A 9041-2019</t>
        </is>
      </c>
      <c r="B231" s="1" t="n">
        <v>43504</v>
      </c>
      <c r="C231" s="1" t="n">
        <v>45186</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 "A 9041-2019")</f>
        <v/>
      </c>
      <c r="T231">
        <f>HYPERLINK("https://klasma.github.io/Logging_NORRTALJE/kartor/A 9041-2019.png", "A 9041-2019")</f>
        <v/>
      </c>
      <c r="V231">
        <f>HYPERLINK("https://klasma.github.io/Logging_NORRTALJE/klagomål/A 9041-2019.docx", "A 9041-2019")</f>
        <v/>
      </c>
      <c r="W231">
        <f>HYPERLINK("https://klasma.github.io/Logging_NORRTALJE/klagomålsmail/A 9041-2019.docx", "A 9041-2019")</f>
        <v/>
      </c>
      <c r="X231">
        <f>HYPERLINK("https://klasma.github.io/Logging_NORRTALJE/tillsyn/A 9041-2019.docx", "A 9041-2019")</f>
        <v/>
      </c>
      <c r="Y231">
        <f>HYPERLINK("https://klasma.github.io/Logging_NORRTALJE/tillsynsmail/A 9041-2019.docx", "A 9041-2019")</f>
        <v/>
      </c>
    </row>
    <row r="232" ht="15" customHeight="1">
      <c r="A232" t="inlineStr">
        <is>
          <t>A 9689-2019</t>
        </is>
      </c>
      <c r="B232" s="1" t="n">
        <v>43508</v>
      </c>
      <c r="C232" s="1" t="n">
        <v>45186</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 "A 9689-2019")</f>
        <v/>
      </c>
      <c r="T232">
        <f>HYPERLINK("https://klasma.github.io/Logging_NORRTALJE/kartor/A 9689-2019.png", "A 9689-2019")</f>
        <v/>
      </c>
      <c r="V232">
        <f>HYPERLINK("https://klasma.github.io/Logging_NORRTALJE/klagomål/A 9689-2019.docx", "A 9689-2019")</f>
        <v/>
      </c>
      <c r="W232">
        <f>HYPERLINK("https://klasma.github.io/Logging_NORRTALJE/klagomålsmail/A 9689-2019.docx", "A 9689-2019")</f>
        <v/>
      </c>
      <c r="X232">
        <f>HYPERLINK("https://klasma.github.io/Logging_NORRTALJE/tillsyn/A 9689-2019.docx", "A 9689-2019")</f>
        <v/>
      </c>
      <c r="Y232">
        <f>HYPERLINK("https://klasma.github.io/Logging_NORRTALJE/tillsynsmail/A 9689-2019.docx", "A 9689-2019")</f>
        <v/>
      </c>
    </row>
    <row r="233" ht="15" customHeight="1">
      <c r="A233" t="inlineStr">
        <is>
          <t>A 9917-2019</t>
        </is>
      </c>
      <c r="B233" s="1" t="n">
        <v>43509</v>
      </c>
      <c r="C233" s="1" t="n">
        <v>45186</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 "A 9917-2019")</f>
        <v/>
      </c>
      <c r="T233">
        <f>HYPERLINK("https://klasma.github.io/Logging_NORRTALJE/kartor/A 9917-2019.png", "A 9917-2019")</f>
        <v/>
      </c>
      <c r="V233">
        <f>HYPERLINK("https://klasma.github.io/Logging_NORRTALJE/klagomål/A 9917-2019.docx", "A 9917-2019")</f>
        <v/>
      </c>
      <c r="W233">
        <f>HYPERLINK("https://klasma.github.io/Logging_NORRTALJE/klagomålsmail/A 9917-2019.docx", "A 9917-2019")</f>
        <v/>
      </c>
      <c r="X233">
        <f>HYPERLINK("https://klasma.github.io/Logging_NORRTALJE/tillsyn/A 9917-2019.docx", "A 9917-2019")</f>
        <v/>
      </c>
      <c r="Y233">
        <f>HYPERLINK("https://klasma.github.io/Logging_NORRTALJE/tillsynsmail/A 9917-2019.docx", "A 9917-2019")</f>
        <v/>
      </c>
    </row>
    <row r="234" ht="15" customHeight="1">
      <c r="A234" t="inlineStr">
        <is>
          <t>A 10426-2019</t>
        </is>
      </c>
      <c r="B234" s="1" t="n">
        <v>43511</v>
      </c>
      <c r="C234" s="1" t="n">
        <v>45186</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 "A 10426-2019")</f>
        <v/>
      </c>
      <c r="T234">
        <f>HYPERLINK("https://klasma.github.io/Logging_NORRTALJE/kartor/A 10426-2019.png", "A 10426-2019")</f>
        <v/>
      </c>
      <c r="V234">
        <f>HYPERLINK("https://klasma.github.io/Logging_NORRTALJE/klagomål/A 10426-2019.docx", "A 10426-2019")</f>
        <v/>
      </c>
      <c r="W234">
        <f>HYPERLINK("https://klasma.github.io/Logging_NORRTALJE/klagomålsmail/A 10426-2019.docx", "A 10426-2019")</f>
        <v/>
      </c>
      <c r="X234">
        <f>HYPERLINK("https://klasma.github.io/Logging_NORRTALJE/tillsyn/A 10426-2019.docx", "A 10426-2019")</f>
        <v/>
      </c>
      <c r="Y234">
        <f>HYPERLINK("https://klasma.github.io/Logging_NORRTALJE/tillsynsmail/A 10426-2019.docx", "A 10426-2019")</f>
        <v/>
      </c>
    </row>
    <row r="235" ht="15" customHeight="1">
      <c r="A235" t="inlineStr">
        <is>
          <t>A 10981-2019</t>
        </is>
      </c>
      <c r="B235" s="1" t="n">
        <v>43515</v>
      </c>
      <c r="C235" s="1" t="n">
        <v>45186</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 "A 10981-2019")</f>
        <v/>
      </c>
      <c r="T235">
        <f>HYPERLINK("https://klasma.github.io/Logging_NORRTALJE/kartor/A 10981-2019.png", "A 10981-2019")</f>
        <v/>
      </c>
      <c r="V235">
        <f>HYPERLINK("https://klasma.github.io/Logging_NORRTALJE/klagomål/A 10981-2019.docx", "A 10981-2019")</f>
        <v/>
      </c>
      <c r="W235">
        <f>HYPERLINK("https://klasma.github.io/Logging_NORRTALJE/klagomålsmail/A 10981-2019.docx", "A 10981-2019")</f>
        <v/>
      </c>
      <c r="X235">
        <f>HYPERLINK("https://klasma.github.io/Logging_NORRTALJE/tillsyn/A 10981-2019.docx", "A 10981-2019")</f>
        <v/>
      </c>
      <c r="Y235">
        <f>HYPERLINK("https://klasma.github.io/Logging_NORRTALJE/tillsynsmail/A 10981-2019.docx", "A 10981-2019")</f>
        <v/>
      </c>
    </row>
    <row r="236" ht="15" customHeight="1">
      <c r="A236" t="inlineStr">
        <is>
          <t>A 11462-2019</t>
        </is>
      </c>
      <c r="B236" s="1" t="n">
        <v>43517</v>
      </c>
      <c r="C236" s="1" t="n">
        <v>45186</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 "A 11462-2019")</f>
        <v/>
      </c>
      <c r="T236">
        <f>HYPERLINK("https://klasma.github.io/Logging_NORRTALJE/kartor/A 11462-2019.png", "A 11462-2019")</f>
        <v/>
      </c>
      <c r="V236">
        <f>HYPERLINK("https://klasma.github.io/Logging_NORRTALJE/klagomål/A 11462-2019.docx", "A 11462-2019")</f>
        <v/>
      </c>
      <c r="W236">
        <f>HYPERLINK("https://klasma.github.io/Logging_NORRTALJE/klagomålsmail/A 11462-2019.docx", "A 11462-2019")</f>
        <v/>
      </c>
      <c r="X236">
        <f>HYPERLINK("https://klasma.github.io/Logging_NORRTALJE/tillsyn/A 11462-2019.docx", "A 11462-2019")</f>
        <v/>
      </c>
      <c r="Y236">
        <f>HYPERLINK("https://klasma.github.io/Logging_NORRTALJE/tillsynsmail/A 11462-2019.docx", "A 11462-2019")</f>
        <v/>
      </c>
    </row>
    <row r="237" ht="15" customHeight="1">
      <c r="A237" t="inlineStr">
        <is>
          <t>A 11815-2019</t>
        </is>
      </c>
      <c r="B237" s="1" t="n">
        <v>43521</v>
      </c>
      <c r="C237" s="1" t="n">
        <v>45186</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 "A 11815-2019")</f>
        <v/>
      </c>
      <c r="T237">
        <f>HYPERLINK("https://klasma.github.io/Logging_NORRTALJE/kartor/A 11815-2019.png", "A 11815-2019")</f>
        <v/>
      </c>
      <c r="V237">
        <f>HYPERLINK("https://klasma.github.io/Logging_NORRTALJE/klagomål/A 11815-2019.docx", "A 11815-2019")</f>
        <v/>
      </c>
      <c r="W237">
        <f>HYPERLINK("https://klasma.github.io/Logging_NORRTALJE/klagomålsmail/A 11815-2019.docx", "A 11815-2019")</f>
        <v/>
      </c>
      <c r="X237">
        <f>HYPERLINK("https://klasma.github.io/Logging_NORRTALJE/tillsyn/A 11815-2019.docx", "A 11815-2019")</f>
        <v/>
      </c>
      <c r="Y237">
        <f>HYPERLINK("https://klasma.github.io/Logging_NORRTALJE/tillsynsmail/A 11815-2019.docx", "A 11815-2019")</f>
        <v/>
      </c>
    </row>
    <row r="238" ht="15" customHeight="1">
      <c r="A238" t="inlineStr">
        <is>
          <t>A 13207-2019</t>
        </is>
      </c>
      <c r="B238" s="1" t="n">
        <v>43528</v>
      </c>
      <c r="C238" s="1" t="n">
        <v>45186</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 "A 13207-2019")</f>
        <v/>
      </c>
      <c r="T238">
        <f>HYPERLINK("https://klasma.github.io/Logging_NORRTALJE/kartor/A 13207-2019.png", "A 13207-2019")</f>
        <v/>
      </c>
      <c r="V238">
        <f>HYPERLINK("https://klasma.github.io/Logging_NORRTALJE/klagomål/A 13207-2019.docx", "A 13207-2019")</f>
        <v/>
      </c>
      <c r="W238">
        <f>HYPERLINK("https://klasma.github.io/Logging_NORRTALJE/klagomålsmail/A 13207-2019.docx", "A 13207-2019")</f>
        <v/>
      </c>
      <c r="X238">
        <f>HYPERLINK("https://klasma.github.io/Logging_NORRTALJE/tillsyn/A 13207-2019.docx", "A 13207-2019")</f>
        <v/>
      </c>
      <c r="Y238">
        <f>HYPERLINK("https://klasma.github.io/Logging_NORRTALJE/tillsynsmail/A 13207-2019.docx", "A 13207-2019")</f>
        <v/>
      </c>
    </row>
    <row r="239" ht="15" customHeight="1">
      <c r="A239" t="inlineStr">
        <is>
          <t>A 13444-2019</t>
        </is>
      </c>
      <c r="B239" s="1" t="n">
        <v>43529</v>
      </c>
      <c r="C239" s="1" t="n">
        <v>45186</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 "A 13444-2019")</f>
        <v/>
      </c>
      <c r="T239">
        <f>HYPERLINK("https://klasma.github.io/Logging_NORRTALJE/kartor/A 13444-2019.png", "A 13444-2019")</f>
        <v/>
      </c>
      <c r="V239">
        <f>HYPERLINK("https://klasma.github.io/Logging_NORRTALJE/klagomål/A 13444-2019.docx", "A 13444-2019")</f>
        <v/>
      </c>
      <c r="W239">
        <f>HYPERLINK("https://klasma.github.io/Logging_NORRTALJE/klagomålsmail/A 13444-2019.docx", "A 13444-2019")</f>
        <v/>
      </c>
      <c r="X239">
        <f>HYPERLINK("https://klasma.github.io/Logging_NORRTALJE/tillsyn/A 13444-2019.docx", "A 13444-2019")</f>
        <v/>
      </c>
      <c r="Y239">
        <f>HYPERLINK("https://klasma.github.io/Logging_NORRTALJE/tillsynsmail/A 13444-2019.docx", "A 13444-2019")</f>
        <v/>
      </c>
    </row>
    <row r="240" ht="15" customHeight="1">
      <c r="A240" t="inlineStr">
        <is>
          <t>A 15113-2019</t>
        </is>
      </c>
      <c r="B240" s="1" t="n">
        <v>43539</v>
      </c>
      <c r="C240" s="1" t="n">
        <v>45186</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 "A 15113-2019")</f>
        <v/>
      </c>
      <c r="T240">
        <f>HYPERLINK("https://klasma.github.io/Logging_NORRTALJE/kartor/A 15113-2019.png", "A 15113-2019")</f>
        <v/>
      </c>
      <c r="V240">
        <f>HYPERLINK("https://klasma.github.io/Logging_NORRTALJE/klagomål/A 15113-2019.docx", "A 15113-2019")</f>
        <v/>
      </c>
      <c r="W240">
        <f>HYPERLINK("https://klasma.github.io/Logging_NORRTALJE/klagomålsmail/A 15113-2019.docx", "A 15113-2019")</f>
        <v/>
      </c>
      <c r="X240">
        <f>HYPERLINK("https://klasma.github.io/Logging_NORRTALJE/tillsyn/A 15113-2019.docx", "A 15113-2019")</f>
        <v/>
      </c>
      <c r="Y240">
        <f>HYPERLINK("https://klasma.github.io/Logging_NORRTALJE/tillsynsmail/A 15113-2019.docx", "A 15113-2019")</f>
        <v/>
      </c>
    </row>
    <row r="241" ht="15" customHeight="1">
      <c r="A241" t="inlineStr">
        <is>
          <t>A 17526-2019</t>
        </is>
      </c>
      <c r="B241" s="1" t="n">
        <v>43553</v>
      </c>
      <c r="C241" s="1" t="n">
        <v>45186</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 "A 17526-2019")</f>
        <v/>
      </c>
      <c r="T241">
        <f>HYPERLINK("https://klasma.github.io/Logging_NORRTALJE/kartor/A 17526-2019.png", "A 17526-2019")</f>
        <v/>
      </c>
      <c r="V241">
        <f>HYPERLINK("https://klasma.github.io/Logging_NORRTALJE/klagomål/A 17526-2019.docx", "A 17526-2019")</f>
        <v/>
      </c>
      <c r="W241">
        <f>HYPERLINK("https://klasma.github.io/Logging_NORRTALJE/klagomålsmail/A 17526-2019.docx", "A 17526-2019")</f>
        <v/>
      </c>
      <c r="X241">
        <f>HYPERLINK("https://klasma.github.io/Logging_NORRTALJE/tillsyn/A 17526-2019.docx", "A 17526-2019")</f>
        <v/>
      </c>
      <c r="Y241">
        <f>HYPERLINK("https://klasma.github.io/Logging_NORRTALJE/tillsynsmail/A 17526-2019.docx", "A 17526-2019")</f>
        <v/>
      </c>
    </row>
    <row r="242" ht="15" customHeight="1">
      <c r="A242" t="inlineStr">
        <is>
          <t>A 20740-2019</t>
        </is>
      </c>
      <c r="B242" s="1" t="n">
        <v>43573</v>
      </c>
      <c r="C242" s="1" t="n">
        <v>45186</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 "A 20740-2019")</f>
        <v/>
      </c>
      <c r="T242">
        <f>HYPERLINK("https://klasma.github.io/Logging_NORRTALJE/kartor/A 20740-2019.png", "A 20740-2019")</f>
        <v/>
      </c>
      <c r="V242">
        <f>HYPERLINK("https://klasma.github.io/Logging_NORRTALJE/klagomål/A 20740-2019.docx", "A 20740-2019")</f>
        <v/>
      </c>
      <c r="W242">
        <f>HYPERLINK("https://klasma.github.io/Logging_NORRTALJE/klagomålsmail/A 20740-2019.docx", "A 20740-2019")</f>
        <v/>
      </c>
      <c r="X242">
        <f>HYPERLINK("https://klasma.github.io/Logging_NORRTALJE/tillsyn/A 20740-2019.docx", "A 20740-2019")</f>
        <v/>
      </c>
      <c r="Y242">
        <f>HYPERLINK("https://klasma.github.io/Logging_NORRTALJE/tillsynsmail/A 20740-2019.docx", "A 20740-2019")</f>
        <v/>
      </c>
    </row>
    <row r="243" ht="15" customHeight="1">
      <c r="A243" t="inlineStr">
        <is>
          <t>A 26275-2019</t>
        </is>
      </c>
      <c r="B243" s="1" t="n">
        <v>43611</v>
      </c>
      <c r="C243" s="1" t="n">
        <v>45186</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 "A 26275-2019")</f>
        <v/>
      </c>
      <c r="T243">
        <f>HYPERLINK("https://klasma.github.io/Logging_NORRTALJE/kartor/A 26275-2019.png", "A 26275-2019")</f>
        <v/>
      </c>
      <c r="V243">
        <f>HYPERLINK("https://klasma.github.io/Logging_NORRTALJE/klagomål/A 26275-2019.docx", "A 26275-2019")</f>
        <v/>
      </c>
      <c r="W243">
        <f>HYPERLINK("https://klasma.github.io/Logging_NORRTALJE/klagomålsmail/A 26275-2019.docx", "A 26275-2019")</f>
        <v/>
      </c>
      <c r="X243">
        <f>HYPERLINK("https://klasma.github.io/Logging_NORRTALJE/tillsyn/A 26275-2019.docx", "A 26275-2019")</f>
        <v/>
      </c>
      <c r="Y243">
        <f>HYPERLINK("https://klasma.github.io/Logging_NORRTALJE/tillsynsmail/A 26275-2019.docx", "A 26275-2019")</f>
        <v/>
      </c>
    </row>
    <row r="244" ht="15" customHeight="1">
      <c r="A244" t="inlineStr">
        <is>
          <t>A 27513-2019</t>
        </is>
      </c>
      <c r="B244" s="1" t="n">
        <v>43619</v>
      </c>
      <c r="C244" s="1" t="n">
        <v>45186</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 "A 27513-2019")</f>
        <v/>
      </c>
      <c r="T244">
        <f>HYPERLINK("https://klasma.github.io/Logging_SODERTALJE/kartor/A 27513-2019.png", "A 27513-2019")</f>
        <v/>
      </c>
      <c r="V244">
        <f>HYPERLINK("https://klasma.github.io/Logging_SODERTALJE/klagomål/A 27513-2019.docx", "A 27513-2019")</f>
        <v/>
      </c>
      <c r="W244">
        <f>HYPERLINK("https://klasma.github.io/Logging_SODERTALJE/klagomålsmail/A 27513-2019.docx", "A 27513-2019")</f>
        <v/>
      </c>
      <c r="X244">
        <f>HYPERLINK("https://klasma.github.io/Logging_SODERTALJE/tillsyn/A 27513-2019.docx", "A 27513-2019")</f>
        <v/>
      </c>
      <c r="Y244">
        <f>HYPERLINK("https://klasma.github.io/Logging_SODERTALJE/tillsynsmail/A 27513-2019.docx", "A 27513-2019")</f>
        <v/>
      </c>
    </row>
    <row r="245" ht="15" customHeight="1">
      <c r="A245" t="inlineStr">
        <is>
          <t>A 29513-2019</t>
        </is>
      </c>
      <c r="B245" s="1" t="n">
        <v>43627</v>
      </c>
      <c r="C245" s="1" t="n">
        <v>45186</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 "A 29513-2019")</f>
        <v/>
      </c>
      <c r="T245">
        <f>HYPERLINK("https://klasma.github.io/Logging_HANINGE/kartor/A 29513-2019.png", "A 29513-2019")</f>
        <v/>
      </c>
      <c r="V245">
        <f>HYPERLINK("https://klasma.github.io/Logging_HANINGE/klagomål/A 29513-2019.docx", "A 29513-2019")</f>
        <v/>
      </c>
      <c r="W245">
        <f>HYPERLINK("https://klasma.github.io/Logging_HANINGE/klagomålsmail/A 29513-2019.docx", "A 29513-2019")</f>
        <v/>
      </c>
      <c r="X245">
        <f>HYPERLINK("https://klasma.github.io/Logging_HANINGE/tillsyn/A 29513-2019.docx", "A 29513-2019")</f>
        <v/>
      </c>
      <c r="Y245">
        <f>HYPERLINK("https://klasma.github.io/Logging_HANINGE/tillsynsmail/A 29513-2019.docx", "A 29513-2019")</f>
        <v/>
      </c>
    </row>
    <row r="246" ht="15" customHeight="1">
      <c r="A246" t="inlineStr">
        <is>
          <t>A 31167-2019</t>
        </is>
      </c>
      <c r="B246" s="1" t="n">
        <v>43635</v>
      </c>
      <c r="C246" s="1" t="n">
        <v>45186</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 "A 31167-2019")</f>
        <v/>
      </c>
      <c r="T246">
        <f>HYPERLINK("https://klasma.github.io/Logging_EKERO/kartor/A 31167-2019.png", "A 31167-2019")</f>
        <v/>
      </c>
      <c r="V246">
        <f>HYPERLINK("https://klasma.github.io/Logging_EKERO/klagomål/A 31167-2019.docx", "A 31167-2019")</f>
        <v/>
      </c>
      <c r="W246">
        <f>HYPERLINK("https://klasma.github.io/Logging_EKERO/klagomålsmail/A 31167-2019.docx", "A 31167-2019")</f>
        <v/>
      </c>
      <c r="X246">
        <f>HYPERLINK("https://klasma.github.io/Logging_EKERO/tillsyn/A 31167-2019.docx", "A 31167-2019")</f>
        <v/>
      </c>
      <c r="Y246">
        <f>HYPERLINK("https://klasma.github.io/Logging_EKERO/tillsynsmail/A 31167-2019.docx", "A 31167-2019")</f>
        <v/>
      </c>
    </row>
    <row r="247" ht="15" customHeight="1">
      <c r="A247" t="inlineStr">
        <is>
          <t>A 38137-2019</t>
        </is>
      </c>
      <c r="B247" s="1" t="n">
        <v>43684</v>
      </c>
      <c r="C247" s="1" t="n">
        <v>45186</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 "A 38137-2019")</f>
        <v/>
      </c>
      <c r="T247">
        <f>HYPERLINK("https://klasma.github.io/Logging_NORRTALJE/kartor/A 38137-2019.png", "A 38137-2019")</f>
        <v/>
      </c>
      <c r="V247">
        <f>HYPERLINK("https://klasma.github.io/Logging_NORRTALJE/klagomål/A 38137-2019.docx", "A 38137-2019")</f>
        <v/>
      </c>
      <c r="W247">
        <f>HYPERLINK("https://klasma.github.io/Logging_NORRTALJE/klagomålsmail/A 38137-2019.docx", "A 38137-2019")</f>
        <v/>
      </c>
      <c r="X247">
        <f>HYPERLINK("https://klasma.github.io/Logging_NORRTALJE/tillsyn/A 38137-2019.docx", "A 38137-2019")</f>
        <v/>
      </c>
      <c r="Y247">
        <f>HYPERLINK("https://klasma.github.io/Logging_NORRTALJE/tillsynsmail/A 38137-2019.docx", "A 38137-2019")</f>
        <v/>
      </c>
    </row>
    <row r="248" ht="15" customHeight="1">
      <c r="A248" t="inlineStr">
        <is>
          <t>A 52009-2019</t>
        </is>
      </c>
      <c r="B248" s="1" t="n">
        <v>43742</v>
      </c>
      <c r="C248" s="1" t="n">
        <v>45186</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 "A 52009-2019")</f>
        <v/>
      </c>
      <c r="T248">
        <f>HYPERLINK("https://klasma.github.io/Logging_SALEM/kartor/A 52009-2019.png", "A 52009-2019")</f>
        <v/>
      </c>
      <c r="V248">
        <f>HYPERLINK("https://klasma.github.io/Logging_SALEM/klagomål/A 52009-2019.docx", "A 52009-2019")</f>
        <v/>
      </c>
      <c r="W248">
        <f>HYPERLINK("https://klasma.github.io/Logging_SALEM/klagomålsmail/A 52009-2019.docx", "A 52009-2019")</f>
        <v/>
      </c>
      <c r="X248">
        <f>HYPERLINK("https://klasma.github.io/Logging_SALEM/tillsyn/A 52009-2019.docx", "A 52009-2019")</f>
        <v/>
      </c>
      <c r="Y248">
        <f>HYPERLINK("https://klasma.github.io/Logging_SALEM/tillsynsmail/A 52009-2019.docx", "A 52009-2019")</f>
        <v/>
      </c>
    </row>
    <row r="249" ht="15" customHeight="1">
      <c r="A249" t="inlineStr">
        <is>
          <t>A 54231-2019</t>
        </is>
      </c>
      <c r="B249" s="1" t="n">
        <v>43753</v>
      </c>
      <c r="C249" s="1" t="n">
        <v>45186</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 "A 54231-2019")</f>
        <v/>
      </c>
      <c r="T249">
        <f>HYPERLINK("https://klasma.github.io/Logging_EKERO/kartor/A 54231-2019.png", "A 54231-2019")</f>
        <v/>
      </c>
      <c r="V249">
        <f>HYPERLINK("https://klasma.github.io/Logging_EKERO/klagomål/A 54231-2019.docx", "A 54231-2019")</f>
        <v/>
      </c>
      <c r="W249">
        <f>HYPERLINK("https://klasma.github.io/Logging_EKERO/klagomålsmail/A 54231-2019.docx", "A 54231-2019")</f>
        <v/>
      </c>
      <c r="X249">
        <f>HYPERLINK("https://klasma.github.io/Logging_EKERO/tillsyn/A 54231-2019.docx", "A 54231-2019")</f>
        <v/>
      </c>
      <c r="Y249">
        <f>HYPERLINK("https://klasma.github.io/Logging_EKERO/tillsynsmail/A 54231-2019.docx", "A 54231-2019")</f>
        <v/>
      </c>
    </row>
    <row r="250" ht="15" customHeight="1">
      <c r="A250" t="inlineStr">
        <is>
          <t>A 59643-2019</t>
        </is>
      </c>
      <c r="B250" s="1" t="n">
        <v>43776</v>
      </c>
      <c r="C250" s="1" t="n">
        <v>45186</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 "A 59643-2019")</f>
        <v/>
      </c>
      <c r="T250">
        <f>HYPERLINK("https://klasma.github.io/Logging_SODERTALJE/kartor/A 59643-2019.png", "A 59643-2019")</f>
        <v/>
      </c>
      <c r="U250">
        <f>HYPERLINK("https://klasma.github.io/Logging_SODERTALJE/knärot/A 59643-2019.png", "A 59643-2019")</f>
        <v/>
      </c>
      <c r="V250">
        <f>HYPERLINK("https://klasma.github.io/Logging_SODERTALJE/klagomål/A 59643-2019.docx", "A 59643-2019")</f>
        <v/>
      </c>
      <c r="W250">
        <f>HYPERLINK("https://klasma.github.io/Logging_SODERTALJE/klagomålsmail/A 59643-2019.docx", "A 59643-2019")</f>
        <v/>
      </c>
      <c r="X250">
        <f>HYPERLINK("https://klasma.github.io/Logging_SODERTALJE/tillsyn/A 59643-2019.docx", "A 59643-2019")</f>
        <v/>
      </c>
      <c r="Y250">
        <f>HYPERLINK("https://klasma.github.io/Logging_SODERTALJE/tillsynsmail/A 59643-2019.docx", "A 59643-2019")</f>
        <v/>
      </c>
    </row>
    <row r="251" ht="15" customHeight="1">
      <c r="A251" t="inlineStr">
        <is>
          <t>A 64849-2019</t>
        </is>
      </c>
      <c r="B251" s="1" t="n">
        <v>43801</v>
      </c>
      <c r="C251" s="1" t="n">
        <v>45186</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 "A 64849-2019")</f>
        <v/>
      </c>
      <c r="T251">
        <f>HYPERLINK("https://klasma.github.io/Logging_NORRTALJE/kartor/A 64849-2019.png", "A 64849-2019")</f>
        <v/>
      </c>
      <c r="V251">
        <f>HYPERLINK("https://klasma.github.io/Logging_NORRTALJE/klagomål/A 64849-2019.docx", "A 64849-2019")</f>
        <v/>
      </c>
      <c r="W251">
        <f>HYPERLINK("https://klasma.github.io/Logging_NORRTALJE/klagomålsmail/A 64849-2019.docx", "A 64849-2019")</f>
        <v/>
      </c>
      <c r="X251">
        <f>HYPERLINK("https://klasma.github.io/Logging_NORRTALJE/tillsyn/A 64849-2019.docx", "A 64849-2019")</f>
        <v/>
      </c>
      <c r="Y251">
        <f>HYPERLINK("https://klasma.github.io/Logging_NORRTALJE/tillsynsmail/A 64849-2019.docx", "A 64849-2019")</f>
        <v/>
      </c>
    </row>
    <row r="252" ht="15" customHeight="1">
      <c r="A252" t="inlineStr">
        <is>
          <t>A 68107-2019</t>
        </is>
      </c>
      <c r="B252" s="1" t="n">
        <v>43817</v>
      </c>
      <c r="C252" s="1" t="n">
        <v>45186</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 "A 68107-2019")</f>
        <v/>
      </c>
      <c r="T252">
        <f>HYPERLINK("https://klasma.github.io/Logging_VALLENTUNA/kartor/A 68107-2019.png", "A 68107-2019")</f>
        <v/>
      </c>
      <c r="V252">
        <f>HYPERLINK("https://klasma.github.io/Logging_VALLENTUNA/klagomål/A 68107-2019.docx", "A 68107-2019")</f>
        <v/>
      </c>
      <c r="W252">
        <f>HYPERLINK("https://klasma.github.io/Logging_VALLENTUNA/klagomålsmail/A 68107-2019.docx", "A 68107-2019")</f>
        <v/>
      </c>
      <c r="X252">
        <f>HYPERLINK("https://klasma.github.io/Logging_VALLENTUNA/tillsyn/A 68107-2019.docx", "A 68107-2019")</f>
        <v/>
      </c>
      <c r="Y252">
        <f>HYPERLINK("https://klasma.github.io/Logging_VALLENTUNA/tillsynsmail/A 68107-2019.docx", "A 68107-2019")</f>
        <v/>
      </c>
    </row>
    <row r="253" ht="15" customHeight="1">
      <c r="A253" t="inlineStr">
        <is>
          <t>A 68231-2019</t>
        </is>
      </c>
      <c r="B253" s="1" t="n">
        <v>43817</v>
      </c>
      <c r="C253" s="1" t="n">
        <v>45186</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 "A 68231-2019")</f>
        <v/>
      </c>
      <c r="T253">
        <f>HYPERLINK("https://klasma.github.io/Logging_HANINGE/kartor/A 68231-2019.png", "A 68231-2019")</f>
        <v/>
      </c>
      <c r="V253">
        <f>HYPERLINK("https://klasma.github.io/Logging_HANINGE/klagomål/A 68231-2019.docx", "A 68231-2019")</f>
        <v/>
      </c>
      <c r="W253">
        <f>HYPERLINK("https://klasma.github.io/Logging_HANINGE/klagomålsmail/A 68231-2019.docx", "A 68231-2019")</f>
        <v/>
      </c>
      <c r="X253">
        <f>HYPERLINK("https://klasma.github.io/Logging_HANINGE/tillsyn/A 68231-2019.docx", "A 68231-2019")</f>
        <v/>
      </c>
      <c r="Y253">
        <f>HYPERLINK("https://klasma.github.io/Logging_HANINGE/tillsynsmail/A 68231-2019.docx", "A 68231-2019")</f>
        <v/>
      </c>
    </row>
    <row r="254" ht="15" customHeight="1">
      <c r="A254" t="inlineStr">
        <is>
          <t>A 68108-2019</t>
        </is>
      </c>
      <c r="B254" s="1" t="n">
        <v>43817</v>
      </c>
      <c r="C254" s="1" t="n">
        <v>45186</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 "A 68108-2019")</f>
        <v/>
      </c>
      <c r="T254">
        <f>HYPERLINK("https://klasma.github.io/Logging_VALLENTUNA/kartor/A 68108-2019.png", "A 68108-2019")</f>
        <v/>
      </c>
      <c r="V254">
        <f>HYPERLINK("https://klasma.github.io/Logging_VALLENTUNA/klagomål/A 68108-2019.docx", "A 68108-2019")</f>
        <v/>
      </c>
      <c r="W254">
        <f>HYPERLINK("https://klasma.github.io/Logging_VALLENTUNA/klagomålsmail/A 68108-2019.docx", "A 68108-2019")</f>
        <v/>
      </c>
      <c r="X254">
        <f>HYPERLINK("https://klasma.github.io/Logging_VALLENTUNA/tillsyn/A 68108-2019.docx", "A 68108-2019")</f>
        <v/>
      </c>
      <c r="Y254">
        <f>HYPERLINK("https://klasma.github.io/Logging_VALLENTUNA/tillsynsmail/A 68108-2019.docx", "A 68108-2019")</f>
        <v/>
      </c>
    </row>
    <row r="255" ht="15" customHeight="1">
      <c r="A255" t="inlineStr">
        <is>
          <t>A 2796-2020</t>
        </is>
      </c>
      <c r="B255" s="1" t="n">
        <v>43850</v>
      </c>
      <c r="C255" s="1" t="n">
        <v>45186</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 "A 2796-2020")</f>
        <v/>
      </c>
      <c r="T255">
        <f>HYPERLINK("https://klasma.github.io/Logging_NORRTALJE/kartor/A 2796-2020.png", "A 2796-2020")</f>
        <v/>
      </c>
      <c r="V255">
        <f>HYPERLINK("https://klasma.github.io/Logging_NORRTALJE/klagomål/A 2796-2020.docx", "A 2796-2020")</f>
        <v/>
      </c>
      <c r="W255">
        <f>HYPERLINK("https://klasma.github.io/Logging_NORRTALJE/klagomålsmail/A 2796-2020.docx", "A 2796-2020")</f>
        <v/>
      </c>
      <c r="X255">
        <f>HYPERLINK("https://klasma.github.io/Logging_NORRTALJE/tillsyn/A 2796-2020.docx", "A 2796-2020")</f>
        <v/>
      </c>
      <c r="Y255">
        <f>HYPERLINK("https://klasma.github.io/Logging_NORRTALJE/tillsynsmail/A 2796-2020.docx", "A 2796-2020")</f>
        <v/>
      </c>
    </row>
    <row r="256" ht="15" customHeight="1">
      <c r="A256" t="inlineStr">
        <is>
          <t>A 7032-2020</t>
        </is>
      </c>
      <c r="B256" s="1" t="n">
        <v>43868</v>
      </c>
      <c r="C256" s="1" t="n">
        <v>45186</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 "A 7032-2020")</f>
        <v/>
      </c>
      <c r="T256">
        <f>HYPERLINK("https://klasma.github.io/Logging_EKERO/kartor/A 7032-2020.png", "A 7032-2020")</f>
        <v/>
      </c>
      <c r="V256">
        <f>HYPERLINK("https://klasma.github.io/Logging_EKERO/klagomål/A 7032-2020.docx", "A 7032-2020")</f>
        <v/>
      </c>
      <c r="W256">
        <f>HYPERLINK("https://klasma.github.io/Logging_EKERO/klagomålsmail/A 7032-2020.docx", "A 7032-2020")</f>
        <v/>
      </c>
      <c r="X256">
        <f>HYPERLINK("https://klasma.github.io/Logging_EKERO/tillsyn/A 7032-2020.docx", "A 7032-2020")</f>
        <v/>
      </c>
      <c r="Y256">
        <f>HYPERLINK("https://klasma.github.io/Logging_EKERO/tillsynsmail/A 7032-2020.docx", "A 7032-2020")</f>
        <v/>
      </c>
    </row>
    <row r="257" ht="15" customHeight="1">
      <c r="A257" t="inlineStr">
        <is>
          <t>A 7152-2020</t>
        </is>
      </c>
      <c r="B257" s="1" t="n">
        <v>43869</v>
      </c>
      <c r="C257" s="1" t="n">
        <v>45186</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 "A 7152-2020")</f>
        <v/>
      </c>
      <c r="T257">
        <f>HYPERLINK("https://klasma.github.io/Logging_NYNASHAMN/kartor/A 7152-2020.png", "A 7152-2020")</f>
        <v/>
      </c>
      <c r="V257">
        <f>HYPERLINK("https://klasma.github.io/Logging_NYNASHAMN/klagomål/A 7152-2020.docx", "A 7152-2020")</f>
        <v/>
      </c>
      <c r="W257">
        <f>HYPERLINK("https://klasma.github.io/Logging_NYNASHAMN/klagomålsmail/A 7152-2020.docx", "A 7152-2020")</f>
        <v/>
      </c>
      <c r="X257">
        <f>HYPERLINK("https://klasma.github.io/Logging_NYNASHAMN/tillsyn/A 7152-2020.docx", "A 7152-2020")</f>
        <v/>
      </c>
      <c r="Y257">
        <f>HYPERLINK("https://klasma.github.io/Logging_NYNASHAMN/tillsynsmail/A 7152-2020.docx", "A 7152-2020")</f>
        <v/>
      </c>
    </row>
    <row r="258" ht="15" customHeight="1">
      <c r="A258" t="inlineStr">
        <is>
          <t>A 9051-2020</t>
        </is>
      </c>
      <c r="B258" s="1" t="n">
        <v>43879</v>
      </c>
      <c r="C258" s="1" t="n">
        <v>45186</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 "A 9051-2020")</f>
        <v/>
      </c>
      <c r="T258">
        <f>HYPERLINK("https://klasma.github.io/Logging_NORRTALJE/kartor/A 9051-2020.png", "A 9051-2020")</f>
        <v/>
      </c>
      <c r="V258">
        <f>HYPERLINK("https://klasma.github.io/Logging_NORRTALJE/klagomål/A 9051-2020.docx", "A 9051-2020")</f>
        <v/>
      </c>
      <c r="W258">
        <f>HYPERLINK("https://klasma.github.io/Logging_NORRTALJE/klagomålsmail/A 9051-2020.docx", "A 9051-2020")</f>
        <v/>
      </c>
      <c r="X258">
        <f>HYPERLINK("https://klasma.github.io/Logging_NORRTALJE/tillsyn/A 9051-2020.docx", "A 9051-2020")</f>
        <v/>
      </c>
      <c r="Y258">
        <f>HYPERLINK("https://klasma.github.io/Logging_NORRTALJE/tillsynsmail/A 9051-2020.docx", "A 9051-2020")</f>
        <v/>
      </c>
    </row>
    <row r="259" ht="15" customHeight="1">
      <c r="A259" t="inlineStr">
        <is>
          <t>A 13326-2020</t>
        </is>
      </c>
      <c r="B259" s="1" t="n">
        <v>43894</v>
      </c>
      <c r="C259" s="1" t="n">
        <v>45186</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 "A 13326-2020")</f>
        <v/>
      </c>
      <c r="T259">
        <f>HYPERLINK("https://klasma.github.io/Logging_HUDDINGE/kartor/A 13326-2020.png", "A 13326-2020")</f>
        <v/>
      </c>
      <c r="V259">
        <f>HYPERLINK("https://klasma.github.io/Logging_HUDDINGE/klagomål/A 13326-2020.docx", "A 13326-2020")</f>
        <v/>
      </c>
      <c r="W259">
        <f>HYPERLINK("https://klasma.github.io/Logging_HUDDINGE/klagomålsmail/A 13326-2020.docx", "A 13326-2020")</f>
        <v/>
      </c>
      <c r="X259">
        <f>HYPERLINK("https://klasma.github.io/Logging_HUDDINGE/tillsyn/A 13326-2020.docx", "A 13326-2020")</f>
        <v/>
      </c>
      <c r="Y259">
        <f>HYPERLINK("https://klasma.github.io/Logging_HUDDINGE/tillsynsmail/A 13326-2020.docx", "A 13326-2020")</f>
        <v/>
      </c>
    </row>
    <row r="260" ht="15" customHeight="1">
      <c r="A260" t="inlineStr">
        <is>
          <t>A 12832-2020</t>
        </is>
      </c>
      <c r="B260" s="1" t="n">
        <v>43899</v>
      </c>
      <c r="C260" s="1" t="n">
        <v>45186</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 "A 12832-2020")</f>
        <v/>
      </c>
      <c r="T260">
        <f>HYPERLINK("https://klasma.github.io/Logging_SODERTALJE/kartor/A 12832-2020.png", "A 12832-2020")</f>
        <v/>
      </c>
      <c r="V260">
        <f>HYPERLINK("https://klasma.github.io/Logging_SODERTALJE/klagomål/A 12832-2020.docx", "A 12832-2020")</f>
        <v/>
      </c>
      <c r="W260">
        <f>HYPERLINK("https://klasma.github.io/Logging_SODERTALJE/klagomålsmail/A 12832-2020.docx", "A 12832-2020")</f>
        <v/>
      </c>
      <c r="X260">
        <f>HYPERLINK("https://klasma.github.io/Logging_SODERTALJE/tillsyn/A 12832-2020.docx", "A 12832-2020")</f>
        <v/>
      </c>
      <c r="Y260">
        <f>HYPERLINK("https://klasma.github.io/Logging_SODERTALJE/tillsynsmail/A 12832-2020.docx", "A 12832-2020")</f>
        <v/>
      </c>
    </row>
    <row r="261" ht="15" customHeight="1">
      <c r="A261" t="inlineStr">
        <is>
          <t>A 13922-2020</t>
        </is>
      </c>
      <c r="B261" s="1" t="n">
        <v>43906</v>
      </c>
      <c r="C261" s="1" t="n">
        <v>45186</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 "A 13922-2020")</f>
        <v/>
      </c>
      <c r="T261">
        <f>HYPERLINK("https://klasma.github.io/Logging_NYKVARN/kartor/A 13922-2020.png", "A 13922-2020")</f>
        <v/>
      </c>
      <c r="V261">
        <f>HYPERLINK("https://klasma.github.io/Logging_NYKVARN/klagomål/A 13922-2020.docx", "A 13922-2020")</f>
        <v/>
      </c>
      <c r="W261">
        <f>HYPERLINK("https://klasma.github.io/Logging_NYKVARN/klagomålsmail/A 13922-2020.docx", "A 13922-2020")</f>
        <v/>
      </c>
      <c r="X261">
        <f>HYPERLINK("https://klasma.github.io/Logging_NYKVARN/tillsyn/A 13922-2020.docx", "A 13922-2020")</f>
        <v/>
      </c>
      <c r="Y261">
        <f>HYPERLINK("https://klasma.github.io/Logging_NYKVARN/tillsynsmail/A 13922-2020.docx", "A 13922-2020")</f>
        <v/>
      </c>
    </row>
    <row r="262" ht="15" customHeight="1">
      <c r="A262" t="inlineStr">
        <is>
          <t>A 15312-2020</t>
        </is>
      </c>
      <c r="B262" s="1" t="n">
        <v>43913</v>
      </c>
      <c r="C262" s="1" t="n">
        <v>45186</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 "A 15312-2020")</f>
        <v/>
      </c>
      <c r="T262">
        <f>HYPERLINK("https://klasma.github.io/Logging_HANINGE/kartor/A 15312-2020.png", "A 15312-2020")</f>
        <v/>
      </c>
      <c r="V262">
        <f>HYPERLINK("https://klasma.github.io/Logging_HANINGE/klagomål/A 15312-2020.docx", "A 15312-2020")</f>
        <v/>
      </c>
      <c r="W262">
        <f>HYPERLINK("https://klasma.github.io/Logging_HANINGE/klagomålsmail/A 15312-2020.docx", "A 15312-2020")</f>
        <v/>
      </c>
      <c r="X262">
        <f>HYPERLINK("https://klasma.github.io/Logging_HANINGE/tillsyn/A 15312-2020.docx", "A 15312-2020")</f>
        <v/>
      </c>
      <c r="Y262">
        <f>HYPERLINK("https://klasma.github.io/Logging_HANINGE/tillsynsmail/A 15312-2020.docx", "A 15312-2020")</f>
        <v/>
      </c>
    </row>
    <row r="263" ht="15" customHeight="1">
      <c r="A263" t="inlineStr">
        <is>
          <t>A 16236-2020</t>
        </is>
      </c>
      <c r="B263" s="1" t="n">
        <v>43917</v>
      </c>
      <c r="C263" s="1" t="n">
        <v>45186</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 "A 16236-2020")</f>
        <v/>
      </c>
      <c r="T263">
        <f>HYPERLINK("https://klasma.github.io/Logging_BOTKYRKA/kartor/A 16236-2020.png", "A 16236-2020")</f>
        <v/>
      </c>
      <c r="V263">
        <f>HYPERLINK("https://klasma.github.io/Logging_BOTKYRKA/klagomål/A 16236-2020.docx", "A 16236-2020")</f>
        <v/>
      </c>
      <c r="W263">
        <f>HYPERLINK("https://klasma.github.io/Logging_BOTKYRKA/klagomålsmail/A 16236-2020.docx", "A 16236-2020")</f>
        <v/>
      </c>
      <c r="X263">
        <f>HYPERLINK("https://klasma.github.io/Logging_BOTKYRKA/tillsyn/A 16236-2020.docx", "A 16236-2020")</f>
        <v/>
      </c>
      <c r="Y263">
        <f>HYPERLINK("https://klasma.github.io/Logging_BOTKYRKA/tillsynsmail/A 16236-2020.docx", "A 16236-2020")</f>
        <v/>
      </c>
    </row>
    <row r="264" ht="15" customHeight="1">
      <c r="A264" t="inlineStr">
        <is>
          <t>A 18965-2020</t>
        </is>
      </c>
      <c r="B264" s="1" t="n">
        <v>43935</v>
      </c>
      <c r="C264" s="1" t="n">
        <v>45186</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 "A 18965-2020")</f>
        <v/>
      </c>
      <c r="T264">
        <f>HYPERLINK("https://klasma.github.io/Logging_NYNASHAMN/kartor/A 18965-2020.png", "A 18965-2020")</f>
        <v/>
      </c>
      <c r="V264">
        <f>HYPERLINK("https://klasma.github.io/Logging_NYNASHAMN/klagomål/A 18965-2020.docx", "A 18965-2020")</f>
        <v/>
      </c>
      <c r="W264">
        <f>HYPERLINK("https://klasma.github.io/Logging_NYNASHAMN/klagomålsmail/A 18965-2020.docx", "A 18965-2020")</f>
        <v/>
      </c>
      <c r="X264">
        <f>HYPERLINK("https://klasma.github.io/Logging_NYNASHAMN/tillsyn/A 18965-2020.docx", "A 18965-2020")</f>
        <v/>
      </c>
      <c r="Y264">
        <f>HYPERLINK("https://klasma.github.io/Logging_NYNASHAMN/tillsynsmail/A 18965-2020.docx", "A 18965-2020")</f>
        <v/>
      </c>
    </row>
    <row r="265" ht="15" customHeight="1">
      <c r="A265" t="inlineStr">
        <is>
          <t>A 21187-2020</t>
        </is>
      </c>
      <c r="B265" s="1" t="n">
        <v>43951</v>
      </c>
      <c r="C265" s="1" t="n">
        <v>45186</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 "A 21187-2020")</f>
        <v/>
      </c>
      <c r="T265">
        <f>HYPERLINK("https://klasma.github.io/Logging_HANINGE/kartor/A 21187-2020.png", "A 21187-2020")</f>
        <v/>
      </c>
      <c r="V265">
        <f>HYPERLINK("https://klasma.github.io/Logging_HANINGE/klagomål/A 21187-2020.docx", "A 21187-2020")</f>
        <v/>
      </c>
      <c r="W265">
        <f>HYPERLINK("https://klasma.github.io/Logging_HANINGE/klagomålsmail/A 21187-2020.docx", "A 21187-2020")</f>
        <v/>
      </c>
      <c r="X265">
        <f>HYPERLINK("https://klasma.github.io/Logging_HANINGE/tillsyn/A 21187-2020.docx", "A 21187-2020")</f>
        <v/>
      </c>
      <c r="Y265">
        <f>HYPERLINK("https://klasma.github.io/Logging_HANINGE/tillsynsmail/A 21187-2020.docx", "A 21187-2020")</f>
        <v/>
      </c>
    </row>
    <row r="266" ht="15" customHeight="1">
      <c r="A266" t="inlineStr">
        <is>
          <t>A 28380-2020</t>
        </is>
      </c>
      <c r="B266" s="1" t="n">
        <v>43998</v>
      </c>
      <c r="C266" s="1" t="n">
        <v>45186</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 "A 28380-2020")</f>
        <v/>
      </c>
      <c r="T266">
        <f>HYPERLINK("https://klasma.github.io/Logging_NORRTALJE/kartor/A 28380-2020.png", "A 28380-2020")</f>
        <v/>
      </c>
      <c r="V266">
        <f>HYPERLINK("https://klasma.github.io/Logging_NORRTALJE/klagomål/A 28380-2020.docx", "A 28380-2020")</f>
        <v/>
      </c>
      <c r="W266">
        <f>HYPERLINK("https://klasma.github.io/Logging_NORRTALJE/klagomålsmail/A 28380-2020.docx", "A 28380-2020")</f>
        <v/>
      </c>
      <c r="X266">
        <f>HYPERLINK("https://klasma.github.io/Logging_NORRTALJE/tillsyn/A 28380-2020.docx", "A 28380-2020")</f>
        <v/>
      </c>
      <c r="Y266">
        <f>HYPERLINK("https://klasma.github.io/Logging_NORRTALJE/tillsynsmail/A 28380-2020.docx", "A 28380-2020")</f>
        <v/>
      </c>
    </row>
    <row r="267" ht="15" customHeight="1">
      <c r="A267" t="inlineStr">
        <is>
          <t>A 32525-2020</t>
        </is>
      </c>
      <c r="B267" s="1" t="n">
        <v>44018</v>
      </c>
      <c r="C267" s="1" t="n">
        <v>45186</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 "A 32525-2020")</f>
        <v/>
      </c>
      <c r="T267">
        <f>HYPERLINK("https://klasma.github.io/Logging_HANINGE/kartor/A 32525-2020.png", "A 32525-2020")</f>
        <v/>
      </c>
      <c r="V267">
        <f>HYPERLINK("https://klasma.github.io/Logging_HANINGE/klagomål/A 32525-2020.docx", "A 32525-2020")</f>
        <v/>
      </c>
      <c r="W267">
        <f>HYPERLINK("https://klasma.github.io/Logging_HANINGE/klagomålsmail/A 32525-2020.docx", "A 32525-2020")</f>
        <v/>
      </c>
      <c r="X267">
        <f>HYPERLINK("https://klasma.github.io/Logging_HANINGE/tillsyn/A 32525-2020.docx", "A 32525-2020")</f>
        <v/>
      </c>
      <c r="Y267">
        <f>HYPERLINK("https://klasma.github.io/Logging_HANINGE/tillsynsmail/A 32525-2020.docx", "A 32525-2020")</f>
        <v/>
      </c>
    </row>
    <row r="268" ht="15" customHeight="1">
      <c r="A268" t="inlineStr">
        <is>
          <t>A 34971-2020</t>
        </is>
      </c>
      <c r="B268" s="1" t="n">
        <v>44039</v>
      </c>
      <c r="C268" s="1" t="n">
        <v>45186</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 "A 34971-2020")</f>
        <v/>
      </c>
      <c r="T268">
        <f>HYPERLINK("https://klasma.github.io/Logging_BOTKYRKA/kartor/A 34971-2020.png", "A 34971-2020")</f>
        <v/>
      </c>
      <c r="V268">
        <f>HYPERLINK("https://klasma.github.io/Logging_BOTKYRKA/klagomål/A 34971-2020.docx", "A 34971-2020")</f>
        <v/>
      </c>
      <c r="W268">
        <f>HYPERLINK("https://klasma.github.io/Logging_BOTKYRKA/klagomålsmail/A 34971-2020.docx", "A 34971-2020")</f>
        <v/>
      </c>
      <c r="X268">
        <f>HYPERLINK("https://klasma.github.io/Logging_BOTKYRKA/tillsyn/A 34971-2020.docx", "A 34971-2020")</f>
        <v/>
      </c>
      <c r="Y268">
        <f>HYPERLINK("https://klasma.github.io/Logging_BOTKYRKA/tillsynsmail/A 34971-2020.docx", "A 34971-2020")</f>
        <v/>
      </c>
    </row>
    <row r="269" ht="15" customHeight="1">
      <c r="A269" t="inlineStr">
        <is>
          <t>A 41774-2020</t>
        </is>
      </c>
      <c r="B269" s="1" t="n">
        <v>44074</v>
      </c>
      <c r="C269" s="1" t="n">
        <v>45186</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 "A 41774-2020")</f>
        <v/>
      </c>
      <c r="T269">
        <f>HYPERLINK("https://klasma.github.io/Logging_SALEM/kartor/A 41774-2020.png", "A 41774-2020")</f>
        <v/>
      </c>
      <c r="V269">
        <f>HYPERLINK("https://klasma.github.io/Logging_SALEM/klagomål/A 41774-2020.docx", "A 41774-2020")</f>
        <v/>
      </c>
      <c r="W269">
        <f>HYPERLINK("https://klasma.github.io/Logging_SALEM/klagomålsmail/A 41774-2020.docx", "A 41774-2020")</f>
        <v/>
      </c>
      <c r="X269">
        <f>HYPERLINK("https://klasma.github.io/Logging_SALEM/tillsyn/A 41774-2020.docx", "A 41774-2020")</f>
        <v/>
      </c>
      <c r="Y269">
        <f>HYPERLINK("https://klasma.github.io/Logging_SALEM/tillsynsmail/A 41774-2020.docx", "A 41774-2020")</f>
        <v/>
      </c>
    </row>
    <row r="270" ht="15" customHeight="1">
      <c r="A270" t="inlineStr">
        <is>
          <t>A 47329-2020</t>
        </is>
      </c>
      <c r="B270" s="1" t="n">
        <v>44097</v>
      </c>
      <c r="C270" s="1" t="n">
        <v>45186</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 "A 47329-2020")</f>
        <v/>
      </c>
      <c r="T270">
        <f>HYPERLINK("https://klasma.github.io/Logging_UPPLANDS-BRO/kartor/A 47329-2020.png", "A 47329-2020")</f>
        <v/>
      </c>
      <c r="V270">
        <f>HYPERLINK("https://klasma.github.io/Logging_UPPLANDS-BRO/klagomål/A 47329-2020.docx", "A 47329-2020")</f>
        <v/>
      </c>
      <c r="W270">
        <f>HYPERLINK("https://klasma.github.io/Logging_UPPLANDS-BRO/klagomålsmail/A 47329-2020.docx", "A 47329-2020")</f>
        <v/>
      </c>
      <c r="X270">
        <f>HYPERLINK("https://klasma.github.io/Logging_UPPLANDS-BRO/tillsyn/A 47329-2020.docx", "A 47329-2020")</f>
        <v/>
      </c>
      <c r="Y270">
        <f>HYPERLINK("https://klasma.github.io/Logging_UPPLANDS-BRO/tillsynsmail/A 47329-2020.docx", "A 47329-2020")</f>
        <v/>
      </c>
    </row>
    <row r="271" ht="15" customHeight="1">
      <c r="A271" t="inlineStr">
        <is>
          <t>A 48288-2020</t>
        </is>
      </c>
      <c r="B271" s="1" t="n">
        <v>44102</v>
      </c>
      <c r="C271" s="1" t="n">
        <v>45186</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 "A 48288-2020")</f>
        <v/>
      </c>
      <c r="T271">
        <f>HYPERLINK("https://klasma.github.io/Logging_NORRTALJE/kartor/A 48288-2020.png", "A 48288-2020")</f>
        <v/>
      </c>
      <c r="V271">
        <f>HYPERLINK("https://klasma.github.io/Logging_NORRTALJE/klagomål/A 48288-2020.docx", "A 48288-2020")</f>
        <v/>
      </c>
      <c r="W271">
        <f>HYPERLINK("https://klasma.github.io/Logging_NORRTALJE/klagomålsmail/A 48288-2020.docx", "A 48288-2020")</f>
        <v/>
      </c>
      <c r="X271">
        <f>HYPERLINK("https://klasma.github.io/Logging_NORRTALJE/tillsyn/A 48288-2020.docx", "A 48288-2020")</f>
        <v/>
      </c>
      <c r="Y271">
        <f>HYPERLINK("https://klasma.github.io/Logging_NORRTALJE/tillsynsmail/A 48288-2020.docx", "A 48288-2020")</f>
        <v/>
      </c>
    </row>
    <row r="272" ht="15" customHeight="1">
      <c r="A272" t="inlineStr">
        <is>
          <t>A 62846-2020</t>
        </is>
      </c>
      <c r="B272" s="1" t="n">
        <v>44161</v>
      </c>
      <c r="C272" s="1" t="n">
        <v>45186</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 "A 62846-2020")</f>
        <v/>
      </c>
      <c r="T272">
        <f>HYPERLINK("https://klasma.github.io/Logging_NORRTALJE/kartor/A 62846-2020.png", "A 62846-2020")</f>
        <v/>
      </c>
      <c r="V272">
        <f>HYPERLINK("https://klasma.github.io/Logging_NORRTALJE/klagomål/A 62846-2020.docx", "A 62846-2020")</f>
        <v/>
      </c>
      <c r="W272">
        <f>HYPERLINK("https://klasma.github.io/Logging_NORRTALJE/klagomålsmail/A 62846-2020.docx", "A 62846-2020")</f>
        <v/>
      </c>
      <c r="X272">
        <f>HYPERLINK("https://klasma.github.io/Logging_NORRTALJE/tillsyn/A 62846-2020.docx", "A 62846-2020")</f>
        <v/>
      </c>
      <c r="Y272">
        <f>HYPERLINK("https://klasma.github.io/Logging_NORRTALJE/tillsynsmail/A 62846-2020.docx", "A 62846-2020")</f>
        <v/>
      </c>
    </row>
    <row r="273" ht="15" customHeight="1">
      <c r="A273" t="inlineStr">
        <is>
          <t>A 1162-2021</t>
        </is>
      </c>
      <c r="B273" s="1" t="n">
        <v>44207</v>
      </c>
      <c r="C273" s="1" t="n">
        <v>45186</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 "A 1162-2021")</f>
        <v/>
      </c>
      <c r="T273">
        <f>HYPERLINK("https://klasma.github.io/Logging_NORRTALJE/kartor/A 1162-2021.png", "A 1162-2021")</f>
        <v/>
      </c>
      <c r="V273">
        <f>HYPERLINK("https://klasma.github.io/Logging_NORRTALJE/klagomål/A 1162-2021.docx", "A 1162-2021")</f>
        <v/>
      </c>
      <c r="W273">
        <f>HYPERLINK("https://klasma.github.io/Logging_NORRTALJE/klagomålsmail/A 1162-2021.docx", "A 1162-2021")</f>
        <v/>
      </c>
      <c r="X273">
        <f>HYPERLINK("https://klasma.github.io/Logging_NORRTALJE/tillsyn/A 1162-2021.docx", "A 1162-2021")</f>
        <v/>
      </c>
      <c r="Y273">
        <f>HYPERLINK("https://klasma.github.io/Logging_NORRTALJE/tillsynsmail/A 1162-2021.docx", "A 1162-2021")</f>
        <v/>
      </c>
    </row>
    <row r="274" ht="15" customHeight="1">
      <c r="A274" t="inlineStr">
        <is>
          <t>A 1424-2021</t>
        </is>
      </c>
      <c r="B274" s="1" t="n">
        <v>44208</v>
      </c>
      <c r="C274" s="1" t="n">
        <v>45186</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 "A 1424-2021")</f>
        <v/>
      </c>
      <c r="T274">
        <f>HYPERLINK("https://klasma.github.io/Logging_HANINGE/kartor/A 1424-2021.png", "A 1424-2021")</f>
        <v/>
      </c>
      <c r="U274">
        <f>HYPERLINK("https://klasma.github.io/Logging_HANINGE/knärot/A 1424-2021.png", "A 1424-2021")</f>
        <v/>
      </c>
      <c r="V274">
        <f>HYPERLINK("https://klasma.github.io/Logging_HANINGE/klagomål/A 1424-2021.docx", "A 1424-2021")</f>
        <v/>
      </c>
      <c r="W274">
        <f>HYPERLINK("https://klasma.github.io/Logging_HANINGE/klagomålsmail/A 1424-2021.docx", "A 1424-2021")</f>
        <v/>
      </c>
      <c r="X274">
        <f>HYPERLINK("https://klasma.github.io/Logging_HANINGE/tillsyn/A 1424-2021.docx", "A 1424-2021")</f>
        <v/>
      </c>
      <c r="Y274">
        <f>HYPERLINK("https://klasma.github.io/Logging_HANINGE/tillsynsmail/A 1424-2021.docx", "A 1424-2021")</f>
        <v/>
      </c>
    </row>
    <row r="275" ht="15" customHeight="1">
      <c r="A275" t="inlineStr">
        <is>
          <t>A 12989-2021</t>
        </is>
      </c>
      <c r="B275" s="1" t="n">
        <v>44271</v>
      </c>
      <c r="C275" s="1" t="n">
        <v>45186</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 "A 12989-2021")</f>
        <v/>
      </c>
      <c r="T275">
        <f>HYPERLINK("https://klasma.github.io/Logging_NYNASHAMN/kartor/A 12989-2021.png", "A 12989-2021")</f>
        <v/>
      </c>
      <c r="V275">
        <f>HYPERLINK("https://klasma.github.io/Logging_NYNASHAMN/klagomål/A 12989-2021.docx", "A 12989-2021")</f>
        <v/>
      </c>
      <c r="W275">
        <f>HYPERLINK("https://klasma.github.io/Logging_NYNASHAMN/klagomålsmail/A 12989-2021.docx", "A 12989-2021")</f>
        <v/>
      </c>
      <c r="X275">
        <f>HYPERLINK("https://klasma.github.io/Logging_NYNASHAMN/tillsyn/A 12989-2021.docx", "A 12989-2021")</f>
        <v/>
      </c>
      <c r="Y275">
        <f>HYPERLINK("https://klasma.github.io/Logging_NYNASHAMN/tillsynsmail/A 12989-2021.docx", "A 12989-2021")</f>
        <v/>
      </c>
    </row>
    <row r="276" ht="15" customHeight="1">
      <c r="A276" t="inlineStr">
        <is>
          <t>A 13942-2021</t>
        </is>
      </c>
      <c r="B276" s="1" t="n">
        <v>44277</v>
      </c>
      <c r="C276" s="1" t="n">
        <v>45186</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 "A 13942-2021")</f>
        <v/>
      </c>
      <c r="T276">
        <f>HYPERLINK("https://klasma.github.io/Logging_OSTERAKER/kartor/A 13942-2021.png", "A 13942-2021")</f>
        <v/>
      </c>
      <c r="V276">
        <f>HYPERLINK("https://klasma.github.io/Logging_OSTERAKER/klagomål/A 13942-2021.docx", "A 13942-2021")</f>
        <v/>
      </c>
      <c r="W276">
        <f>HYPERLINK("https://klasma.github.io/Logging_OSTERAKER/klagomålsmail/A 13942-2021.docx", "A 13942-2021")</f>
        <v/>
      </c>
      <c r="X276">
        <f>HYPERLINK("https://klasma.github.io/Logging_OSTERAKER/tillsyn/A 13942-2021.docx", "A 13942-2021")</f>
        <v/>
      </c>
      <c r="Y276">
        <f>HYPERLINK("https://klasma.github.io/Logging_OSTERAKER/tillsynsmail/A 13942-2021.docx", "A 13942-2021")</f>
        <v/>
      </c>
    </row>
    <row r="277" ht="15" customHeight="1">
      <c r="A277" t="inlineStr">
        <is>
          <t>A 16461-2021</t>
        </is>
      </c>
      <c r="B277" s="1" t="n">
        <v>44293</v>
      </c>
      <c r="C277" s="1" t="n">
        <v>45186</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 "A 16461-2021")</f>
        <v/>
      </c>
      <c r="T277">
        <f>HYPERLINK("https://klasma.github.io/Logging_SIGTUNA/kartor/A 16461-2021.png", "A 16461-2021")</f>
        <v/>
      </c>
      <c r="V277">
        <f>HYPERLINK("https://klasma.github.io/Logging_SIGTUNA/klagomål/A 16461-2021.docx", "A 16461-2021")</f>
        <v/>
      </c>
      <c r="W277">
        <f>HYPERLINK("https://klasma.github.io/Logging_SIGTUNA/klagomålsmail/A 16461-2021.docx", "A 16461-2021")</f>
        <v/>
      </c>
      <c r="X277">
        <f>HYPERLINK("https://klasma.github.io/Logging_SIGTUNA/tillsyn/A 16461-2021.docx", "A 16461-2021")</f>
        <v/>
      </c>
      <c r="Y277">
        <f>HYPERLINK("https://klasma.github.io/Logging_SIGTUNA/tillsynsmail/A 16461-2021.docx", "A 16461-2021")</f>
        <v/>
      </c>
    </row>
    <row r="278" ht="15" customHeight="1">
      <c r="A278" t="inlineStr">
        <is>
          <t>A 27757-2021</t>
        </is>
      </c>
      <c r="B278" s="1" t="n">
        <v>44354</v>
      </c>
      <c r="C278" s="1" t="n">
        <v>45186</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 "A 27757-2021")</f>
        <v/>
      </c>
      <c r="T278">
        <f>HYPERLINK("https://klasma.github.io/Logging_SODERTALJE/kartor/A 27757-2021.png", "A 27757-2021")</f>
        <v/>
      </c>
      <c r="V278">
        <f>HYPERLINK("https://klasma.github.io/Logging_SODERTALJE/klagomål/A 27757-2021.docx", "A 27757-2021")</f>
        <v/>
      </c>
      <c r="W278">
        <f>HYPERLINK("https://klasma.github.io/Logging_SODERTALJE/klagomålsmail/A 27757-2021.docx", "A 27757-2021")</f>
        <v/>
      </c>
      <c r="X278">
        <f>HYPERLINK("https://klasma.github.io/Logging_SODERTALJE/tillsyn/A 27757-2021.docx", "A 27757-2021")</f>
        <v/>
      </c>
      <c r="Y278">
        <f>HYPERLINK("https://klasma.github.io/Logging_SODERTALJE/tillsynsmail/A 27757-2021.docx", "A 27757-2021")</f>
        <v/>
      </c>
    </row>
    <row r="279" ht="15" customHeight="1">
      <c r="A279" t="inlineStr">
        <is>
          <t>A 31980-2021</t>
        </is>
      </c>
      <c r="B279" s="1" t="n">
        <v>44370</v>
      </c>
      <c r="C279" s="1" t="n">
        <v>45186</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 "A 31980-2021")</f>
        <v/>
      </c>
      <c r="T279">
        <f>HYPERLINK("https://klasma.github.io/Logging_NYNASHAMN/kartor/A 31980-2021.png", "A 31980-2021")</f>
        <v/>
      </c>
      <c r="V279">
        <f>HYPERLINK("https://klasma.github.io/Logging_NYNASHAMN/klagomål/A 31980-2021.docx", "A 31980-2021")</f>
        <v/>
      </c>
      <c r="W279">
        <f>HYPERLINK("https://klasma.github.io/Logging_NYNASHAMN/klagomålsmail/A 31980-2021.docx", "A 31980-2021")</f>
        <v/>
      </c>
      <c r="X279">
        <f>HYPERLINK("https://klasma.github.io/Logging_NYNASHAMN/tillsyn/A 31980-2021.docx", "A 31980-2021")</f>
        <v/>
      </c>
      <c r="Y279">
        <f>HYPERLINK("https://klasma.github.io/Logging_NYNASHAMN/tillsynsmail/A 31980-2021.docx", "A 31980-2021")</f>
        <v/>
      </c>
    </row>
    <row r="280" ht="15" customHeight="1">
      <c r="A280" t="inlineStr">
        <is>
          <t>A 33302-2021</t>
        </is>
      </c>
      <c r="B280" s="1" t="n">
        <v>44377</v>
      </c>
      <c r="C280" s="1" t="n">
        <v>45186</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 "A 33302-2021")</f>
        <v/>
      </c>
      <c r="T280">
        <f>HYPERLINK("https://klasma.github.io/Logging_NORRTALJE/kartor/A 33302-2021.png", "A 33302-2021")</f>
        <v/>
      </c>
      <c r="V280">
        <f>HYPERLINK("https://klasma.github.io/Logging_NORRTALJE/klagomål/A 33302-2021.docx", "A 33302-2021")</f>
        <v/>
      </c>
      <c r="W280">
        <f>HYPERLINK("https://klasma.github.io/Logging_NORRTALJE/klagomålsmail/A 33302-2021.docx", "A 33302-2021")</f>
        <v/>
      </c>
      <c r="X280">
        <f>HYPERLINK("https://klasma.github.io/Logging_NORRTALJE/tillsyn/A 33302-2021.docx", "A 33302-2021")</f>
        <v/>
      </c>
      <c r="Y280">
        <f>HYPERLINK("https://klasma.github.io/Logging_NORRTALJE/tillsynsmail/A 33302-2021.docx", "A 33302-2021")</f>
        <v/>
      </c>
    </row>
    <row r="281" ht="15" customHeight="1">
      <c r="A281" t="inlineStr">
        <is>
          <t>A 37100-2021</t>
        </is>
      </c>
      <c r="B281" s="1" t="n">
        <v>44396</v>
      </c>
      <c r="C281" s="1" t="n">
        <v>45186</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 "A 37100-2021")</f>
        <v/>
      </c>
      <c r="T281">
        <f>HYPERLINK("https://klasma.github.io/Logging_NYNASHAMN/kartor/A 37100-2021.png", "A 37100-2021")</f>
        <v/>
      </c>
      <c r="V281">
        <f>HYPERLINK("https://klasma.github.io/Logging_NYNASHAMN/klagomål/A 37100-2021.docx", "A 37100-2021")</f>
        <v/>
      </c>
      <c r="W281">
        <f>HYPERLINK("https://klasma.github.io/Logging_NYNASHAMN/klagomålsmail/A 37100-2021.docx", "A 37100-2021")</f>
        <v/>
      </c>
      <c r="X281">
        <f>HYPERLINK("https://klasma.github.io/Logging_NYNASHAMN/tillsyn/A 37100-2021.docx", "A 37100-2021")</f>
        <v/>
      </c>
      <c r="Y281">
        <f>HYPERLINK("https://klasma.github.io/Logging_NYNASHAMN/tillsynsmail/A 37100-2021.docx", "A 37100-2021")</f>
        <v/>
      </c>
    </row>
    <row r="282" ht="15" customHeight="1">
      <c r="A282" t="inlineStr">
        <is>
          <t>A 37678-2021</t>
        </is>
      </c>
      <c r="B282" s="1" t="n">
        <v>44400</v>
      </c>
      <c r="C282" s="1" t="n">
        <v>45186</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 "A 37678-2021")</f>
        <v/>
      </c>
      <c r="T282">
        <f>HYPERLINK("https://klasma.github.io/Logging_SODERTALJE/kartor/A 37678-2021.png", "A 37678-2021")</f>
        <v/>
      </c>
      <c r="V282">
        <f>HYPERLINK("https://klasma.github.io/Logging_SODERTALJE/klagomål/A 37678-2021.docx", "A 37678-2021")</f>
        <v/>
      </c>
      <c r="W282">
        <f>HYPERLINK("https://klasma.github.io/Logging_SODERTALJE/klagomålsmail/A 37678-2021.docx", "A 37678-2021")</f>
        <v/>
      </c>
      <c r="X282">
        <f>HYPERLINK("https://klasma.github.io/Logging_SODERTALJE/tillsyn/A 37678-2021.docx", "A 37678-2021")</f>
        <v/>
      </c>
      <c r="Y282">
        <f>HYPERLINK("https://klasma.github.io/Logging_SODERTALJE/tillsynsmail/A 37678-2021.docx", "A 37678-2021")</f>
        <v/>
      </c>
    </row>
    <row r="283" ht="15" customHeight="1">
      <c r="A283" t="inlineStr">
        <is>
          <t>A 41934-2021</t>
        </is>
      </c>
      <c r="B283" s="1" t="n">
        <v>44425</v>
      </c>
      <c r="C283" s="1" t="n">
        <v>45186</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 "A 41934-2021")</f>
        <v/>
      </c>
      <c r="T283">
        <f>HYPERLINK("https://klasma.github.io/Logging_VALLENTUNA/kartor/A 41934-2021.png", "A 41934-2021")</f>
        <v/>
      </c>
      <c r="V283">
        <f>HYPERLINK("https://klasma.github.io/Logging_VALLENTUNA/klagomål/A 41934-2021.docx", "A 41934-2021")</f>
        <v/>
      </c>
      <c r="W283">
        <f>HYPERLINK("https://klasma.github.io/Logging_VALLENTUNA/klagomålsmail/A 41934-2021.docx", "A 41934-2021")</f>
        <v/>
      </c>
      <c r="X283">
        <f>HYPERLINK("https://klasma.github.io/Logging_VALLENTUNA/tillsyn/A 41934-2021.docx", "A 41934-2021")</f>
        <v/>
      </c>
      <c r="Y283">
        <f>HYPERLINK("https://klasma.github.io/Logging_VALLENTUNA/tillsynsmail/A 41934-2021.docx", "A 41934-2021")</f>
        <v/>
      </c>
    </row>
    <row r="284" ht="15" customHeight="1">
      <c r="A284" t="inlineStr">
        <is>
          <t>A 42050-2021</t>
        </is>
      </c>
      <c r="B284" s="1" t="n">
        <v>44426</v>
      </c>
      <c r="C284" s="1" t="n">
        <v>45186</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 "A 42050-2021")</f>
        <v/>
      </c>
      <c r="T284">
        <f>HYPERLINK("https://klasma.github.io/Logging_NYNASHAMN/kartor/A 42050-2021.png", "A 42050-2021")</f>
        <v/>
      </c>
      <c r="V284">
        <f>HYPERLINK("https://klasma.github.io/Logging_NYNASHAMN/klagomål/A 42050-2021.docx", "A 42050-2021")</f>
        <v/>
      </c>
      <c r="W284">
        <f>HYPERLINK("https://klasma.github.io/Logging_NYNASHAMN/klagomålsmail/A 42050-2021.docx", "A 42050-2021")</f>
        <v/>
      </c>
      <c r="X284">
        <f>HYPERLINK("https://klasma.github.io/Logging_NYNASHAMN/tillsyn/A 42050-2021.docx", "A 42050-2021")</f>
        <v/>
      </c>
      <c r="Y284">
        <f>HYPERLINK("https://klasma.github.io/Logging_NYNASHAMN/tillsynsmail/A 42050-2021.docx", "A 42050-2021")</f>
        <v/>
      </c>
    </row>
    <row r="285" ht="15" customHeight="1">
      <c r="A285" t="inlineStr">
        <is>
          <t>A 55263-2021</t>
        </is>
      </c>
      <c r="B285" s="1" t="n">
        <v>44475</v>
      </c>
      <c r="C285" s="1" t="n">
        <v>45186</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 "A 55263-2021")</f>
        <v/>
      </c>
      <c r="T285">
        <f>HYPERLINK("https://klasma.github.io/Logging_SODERTALJE/kartor/A 55263-2021.png", "A 55263-2021")</f>
        <v/>
      </c>
      <c r="V285">
        <f>HYPERLINK("https://klasma.github.io/Logging_SODERTALJE/klagomål/A 55263-2021.docx", "A 55263-2021")</f>
        <v/>
      </c>
      <c r="W285">
        <f>HYPERLINK("https://klasma.github.io/Logging_SODERTALJE/klagomålsmail/A 55263-2021.docx", "A 55263-2021")</f>
        <v/>
      </c>
      <c r="X285">
        <f>HYPERLINK("https://klasma.github.io/Logging_SODERTALJE/tillsyn/A 55263-2021.docx", "A 55263-2021")</f>
        <v/>
      </c>
      <c r="Y285">
        <f>HYPERLINK("https://klasma.github.io/Logging_SODERTALJE/tillsynsmail/A 55263-2021.docx", "A 55263-2021")</f>
        <v/>
      </c>
    </row>
    <row r="286" ht="15" customHeight="1">
      <c r="A286" t="inlineStr">
        <is>
          <t>A 58888-2021</t>
        </is>
      </c>
      <c r="B286" s="1" t="n">
        <v>44489</v>
      </c>
      <c r="C286" s="1" t="n">
        <v>45186</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 "A 58888-2021")</f>
        <v/>
      </c>
      <c r="T286">
        <f>HYPERLINK("https://klasma.github.io/Logging_NORRTALJE/kartor/A 58888-2021.png", "A 58888-2021")</f>
        <v/>
      </c>
      <c r="V286">
        <f>HYPERLINK("https://klasma.github.io/Logging_NORRTALJE/klagomål/A 58888-2021.docx", "A 58888-2021")</f>
        <v/>
      </c>
      <c r="W286">
        <f>HYPERLINK("https://klasma.github.io/Logging_NORRTALJE/klagomålsmail/A 58888-2021.docx", "A 58888-2021")</f>
        <v/>
      </c>
      <c r="X286">
        <f>HYPERLINK("https://klasma.github.io/Logging_NORRTALJE/tillsyn/A 58888-2021.docx", "A 58888-2021")</f>
        <v/>
      </c>
      <c r="Y286">
        <f>HYPERLINK("https://klasma.github.io/Logging_NORRTALJE/tillsynsmail/A 58888-2021.docx", "A 58888-2021")</f>
        <v/>
      </c>
    </row>
    <row r="287" ht="15" customHeight="1">
      <c r="A287" t="inlineStr">
        <is>
          <t>A 67278-2021</t>
        </is>
      </c>
      <c r="B287" s="1" t="n">
        <v>44523</v>
      </c>
      <c r="C287" s="1" t="n">
        <v>45186</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 "A 67278-2021")</f>
        <v/>
      </c>
      <c r="T287">
        <f>HYPERLINK("https://klasma.github.io/Logging_OSTERAKER/kartor/A 67278-2021.png", "A 67278-2021")</f>
        <v/>
      </c>
      <c r="V287">
        <f>HYPERLINK("https://klasma.github.io/Logging_OSTERAKER/klagomål/A 67278-2021.docx", "A 67278-2021")</f>
        <v/>
      </c>
      <c r="W287">
        <f>HYPERLINK("https://klasma.github.io/Logging_OSTERAKER/klagomålsmail/A 67278-2021.docx", "A 67278-2021")</f>
        <v/>
      </c>
      <c r="X287">
        <f>HYPERLINK("https://klasma.github.io/Logging_OSTERAKER/tillsyn/A 67278-2021.docx", "A 67278-2021")</f>
        <v/>
      </c>
      <c r="Y287">
        <f>HYPERLINK("https://klasma.github.io/Logging_OSTERAKER/tillsynsmail/A 67278-2021.docx", "A 67278-2021")</f>
        <v/>
      </c>
    </row>
    <row r="288" ht="15" customHeight="1">
      <c r="A288" t="inlineStr">
        <is>
          <t>A 68883-2021</t>
        </is>
      </c>
      <c r="B288" s="1" t="n">
        <v>44526</v>
      </c>
      <c r="C288" s="1" t="n">
        <v>45186</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 "A 68883-2021")</f>
        <v/>
      </c>
      <c r="T288">
        <f>HYPERLINK("https://klasma.github.io/Logging_HANINGE/kartor/A 68883-2021.png", "A 68883-2021")</f>
        <v/>
      </c>
      <c r="V288">
        <f>HYPERLINK("https://klasma.github.io/Logging_HANINGE/klagomål/A 68883-2021.docx", "A 68883-2021")</f>
        <v/>
      </c>
      <c r="W288">
        <f>HYPERLINK("https://klasma.github.io/Logging_HANINGE/klagomålsmail/A 68883-2021.docx", "A 68883-2021")</f>
        <v/>
      </c>
      <c r="X288">
        <f>HYPERLINK("https://klasma.github.io/Logging_HANINGE/tillsyn/A 68883-2021.docx", "A 68883-2021")</f>
        <v/>
      </c>
      <c r="Y288">
        <f>HYPERLINK("https://klasma.github.io/Logging_HANINGE/tillsynsmail/A 68883-2021.docx", "A 68883-2021")</f>
        <v/>
      </c>
    </row>
    <row r="289" ht="15" customHeight="1">
      <c r="A289" t="inlineStr">
        <is>
          <t>A 68692-2021</t>
        </is>
      </c>
      <c r="B289" s="1" t="n">
        <v>44529</v>
      </c>
      <c r="C289" s="1" t="n">
        <v>45186</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 "A 68692-2021")</f>
        <v/>
      </c>
      <c r="T289">
        <f>HYPERLINK("https://klasma.github.io/Logging_NORRTALJE/kartor/A 68692-2021.png", "A 68692-2021")</f>
        <v/>
      </c>
      <c r="V289">
        <f>HYPERLINK("https://klasma.github.io/Logging_NORRTALJE/klagomål/A 68692-2021.docx", "A 68692-2021")</f>
        <v/>
      </c>
      <c r="W289">
        <f>HYPERLINK("https://klasma.github.io/Logging_NORRTALJE/klagomålsmail/A 68692-2021.docx", "A 68692-2021")</f>
        <v/>
      </c>
      <c r="X289">
        <f>HYPERLINK("https://klasma.github.io/Logging_NORRTALJE/tillsyn/A 68692-2021.docx", "A 68692-2021")</f>
        <v/>
      </c>
      <c r="Y289">
        <f>HYPERLINK("https://klasma.github.io/Logging_NORRTALJE/tillsynsmail/A 68692-2021.docx", "A 68692-2021")</f>
        <v/>
      </c>
    </row>
    <row r="290" ht="15" customHeight="1">
      <c r="A290" t="inlineStr">
        <is>
          <t>A 71315-2021</t>
        </is>
      </c>
      <c r="B290" s="1" t="n">
        <v>44539</v>
      </c>
      <c r="C290" s="1" t="n">
        <v>45186</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 "A 71315-2021")</f>
        <v/>
      </c>
      <c r="T290">
        <f>HYPERLINK("https://klasma.github.io/Logging_VARMDO/kartor/A 71315-2021.png", "A 71315-2021")</f>
        <v/>
      </c>
      <c r="V290">
        <f>HYPERLINK("https://klasma.github.io/Logging_VARMDO/klagomål/A 71315-2021.docx", "A 71315-2021")</f>
        <v/>
      </c>
      <c r="W290">
        <f>HYPERLINK("https://klasma.github.io/Logging_VARMDO/klagomålsmail/A 71315-2021.docx", "A 71315-2021")</f>
        <v/>
      </c>
      <c r="X290">
        <f>HYPERLINK("https://klasma.github.io/Logging_VARMDO/tillsyn/A 71315-2021.docx", "A 71315-2021")</f>
        <v/>
      </c>
      <c r="Y290">
        <f>HYPERLINK("https://klasma.github.io/Logging_VARMDO/tillsynsmail/A 71315-2021.docx", "A 71315-2021")</f>
        <v/>
      </c>
    </row>
    <row r="291" ht="15" customHeight="1">
      <c r="A291" t="inlineStr">
        <is>
          <t>A 73773-2021</t>
        </is>
      </c>
      <c r="B291" s="1" t="n">
        <v>44552</v>
      </c>
      <c r="C291" s="1" t="n">
        <v>45186</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 "A 73773-2021")</f>
        <v/>
      </c>
      <c r="T291">
        <f>HYPERLINK("https://klasma.github.io/Logging_UPPLANDS-BRO/kartor/A 73773-2021.png", "A 73773-2021")</f>
        <v/>
      </c>
      <c r="V291">
        <f>HYPERLINK("https://klasma.github.io/Logging_UPPLANDS-BRO/klagomål/A 73773-2021.docx", "A 73773-2021")</f>
        <v/>
      </c>
      <c r="W291">
        <f>HYPERLINK("https://klasma.github.io/Logging_UPPLANDS-BRO/klagomålsmail/A 73773-2021.docx", "A 73773-2021")</f>
        <v/>
      </c>
      <c r="X291">
        <f>HYPERLINK("https://klasma.github.io/Logging_UPPLANDS-BRO/tillsyn/A 73773-2021.docx", "A 73773-2021")</f>
        <v/>
      </c>
      <c r="Y291">
        <f>HYPERLINK("https://klasma.github.io/Logging_UPPLANDS-BRO/tillsynsmail/A 73773-2021.docx", "A 73773-2021")</f>
        <v/>
      </c>
    </row>
    <row r="292" ht="15" customHeight="1">
      <c r="A292" t="inlineStr">
        <is>
          <t>A 73787-2021</t>
        </is>
      </c>
      <c r="B292" s="1" t="n">
        <v>44552</v>
      </c>
      <c r="C292" s="1" t="n">
        <v>45186</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 "A 73787-2021")</f>
        <v/>
      </c>
      <c r="T292">
        <f>HYPERLINK("https://klasma.github.io/Logging_UPPLANDS-BRO/kartor/A 73787-2021.png", "A 73787-2021")</f>
        <v/>
      </c>
      <c r="V292">
        <f>HYPERLINK("https://klasma.github.io/Logging_UPPLANDS-BRO/klagomål/A 73787-2021.docx", "A 73787-2021")</f>
        <v/>
      </c>
      <c r="W292">
        <f>HYPERLINK("https://klasma.github.io/Logging_UPPLANDS-BRO/klagomålsmail/A 73787-2021.docx", "A 73787-2021")</f>
        <v/>
      </c>
      <c r="X292">
        <f>HYPERLINK("https://klasma.github.io/Logging_UPPLANDS-BRO/tillsyn/A 73787-2021.docx", "A 73787-2021")</f>
        <v/>
      </c>
      <c r="Y292">
        <f>HYPERLINK("https://klasma.github.io/Logging_UPPLANDS-BRO/tillsynsmail/A 73787-2021.docx", "A 73787-2021")</f>
        <v/>
      </c>
    </row>
    <row r="293" ht="15" customHeight="1">
      <c r="A293" t="inlineStr">
        <is>
          <t>A 131-2022</t>
        </is>
      </c>
      <c r="B293" s="1" t="n">
        <v>44560</v>
      </c>
      <c r="C293" s="1" t="n">
        <v>45186</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 "A 131-2022")</f>
        <v/>
      </c>
      <c r="T293">
        <f>HYPERLINK("https://klasma.github.io/Logging_VALLENTUNA/kartor/A 131-2022.png", "A 131-2022")</f>
        <v/>
      </c>
      <c r="V293">
        <f>HYPERLINK("https://klasma.github.io/Logging_VALLENTUNA/klagomål/A 131-2022.docx", "A 131-2022")</f>
        <v/>
      </c>
      <c r="W293">
        <f>HYPERLINK("https://klasma.github.io/Logging_VALLENTUNA/klagomålsmail/A 131-2022.docx", "A 131-2022")</f>
        <v/>
      </c>
      <c r="X293">
        <f>HYPERLINK("https://klasma.github.io/Logging_VALLENTUNA/tillsyn/A 131-2022.docx", "A 131-2022")</f>
        <v/>
      </c>
      <c r="Y293">
        <f>HYPERLINK("https://klasma.github.io/Logging_VALLENTUNA/tillsynsmail/A 131-2022.docx", "A 131-2022")</f>
        <v/>
      </c>
    </row>
    <row r="294" ht="15" customHeight="1">
      <c r="A294" t="inlineStr">
        <is>
          <t>A 21-2022</t>
        </is>
      </c>
      <c r="B294" s="1" t="n">
        <v>44560</v>
      </c>
      <c r="C294" s="1" t="n">
        <v>45186</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 "A 21-2022")</f>
        <v/>
      </c>
      <c r="T294">
        <f>HYPERLINK("https://klasma.github.io/Logging_VALLENTUNA/kartor/A 21-2022.png", "A 21-2022")</f>
        <v/>
      </c>
      <c r="V294">
        <f>HYPERLINK("https://klasma.github.io/Logging_VALLENTUNA/klagomål/A 21-2022.docx", "A 21-2022")</f>
        <v/>
      </c>
      <c r="W294">
        <f>HYPERLINK("https://klasma.github.io/Logging_VALLENTUNA/klagomålsmail/A 21-2022.docx", "A 21-2022")</f>
        <v/>
      </c>
      <c r="X294">
        <f>HYPERLINK("https://klasma.github.io/Logging_VALLENTUNA/tillsyn/A 21-2022.docx", "A 21-2022")</f>
        <v/>
      </c>
      <c r="Y294">
        <f>HYPERLINK("https://klasma.github.io/Logging_VALLENTUNA/tillsynsmail/A 21-2022.docx", "A 21-2022")</f>
        <v/>
      </c>
    </row>
    <row r="295" ht="15" customHeight="1">
      <c r="A295" t="inlineStr">
        <is>
          <t>A 1547-2022</t>
        </is>
      </c>
      <c r="B295" s="1" t="n">
        <v>44573</v>
      </c>
      <c r="C295" s="1" t="n">
        <v>45186</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 "A 1547-2022")</f>
        <v/>
      </c>
      <c r="T295">
        <f>HYPERLINK("https://klasma.github.io/Logging_NORRTALJE/kartor/A 1547-2022.png", "A 1547-2022")</f>
        <v/>
      </c>
      <c r="V295">
        <f>HYPERLINK("https://klasma.github.io/Logging_NORRTALJE/klagomål/A 1547-2022.docx", "A 1547-2022")</f>
        <v/>
      </c>
      <c r="W295">
        <f>HYPERLINK("https://klasma.github.io/Logging_NORRTALJE/klagomålsmail/A 1547-2022.docx", "A 1547-2022")</f>
        <v/>
      </c>
      <c r="X295">
        <f>HYPERLINK("https://klasma.github.io/Logging_NORRTALJE/tillsyn/A 1547-2022.docx", "A 1547-2022")</f>
        <v/>
      </c>
      <c r="Y295">
        <f>HYPERLINK("https://klasma.github.io/Logging_NORRTALJE/tillsynsmail/A 1547-2022.docx", "A 1547-2022")</f>
        <v/>
      </c>
    </row>
    <row r="296" ht="15" customHeight="1">
      <c r="A296" t="inlineStr">
        <is>
          <t>A 1946-2022</t>
        </is>
      </c>
      <c r="B296" s="1" t="n">
        <v>44575</v>
      </c>
      <c r="C296" s="1" t="n">
        <v>45186</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 "A 1946-2022")</f>
        <v/>
      </c>
      <c r="T296">
        <f>HYPERLINK("https://klasma.github.io/Logging_SODERTALJE/kartor/A 1946-2022.png", "A 1946-2022")</f>
        <v/>
      </c>
      <c r="V296">
        <f>HYPERLINK("https://klasma.github.io/Logging_SODERTALJE/klagomål/A 1946-2022.docx", "A 1946-2022")</f>
        <v/>
      </c>
      <c r="W296">
        <f>HYPERLINK("https://klasma.github.io/Logging_SODERTALJE/klagomålsmail/A 1946-2022.docx", "A 1946-2022")</f>
        <v/>
      </c>
      <c r="X296">
        <f>HYPERLINK("https://klasma.github.io/Logging_SODERTALJE/tillsyn/A 1946-2022.docx", "A 1946-2022")</f>
        <v/>
      </c>
      <c r="Y296">
        <f>HYPERLINK("https://klasma.github.io/Logging_SODERTALJE/tillsynsmail/A 1946-2022.docx", "A 1946-2022")</f>
        <v/>
      </c>
    </row>
    <row r="297" ht="15" customHeight="1">
      <c r="A297" t="inlineStr">
        <is>
          <t>A 2722-2022</t>
        </is>
      </c>
      <c r="B297" s="1" t="n">
        <v>44580</v>
      </c>
      <c r="C297" s="1" t="n">
        <v>45186</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 "A 2722-2022")</f>
        <v/>
      </c>
      <c r="T297">
        <f>HYPERLINK("https://klasma.github.io/Logging_HANINGE/kartor/A 2722-2022.png", "A 2722-2022")</f>
        <v/>
      </c>
      <c r="V297">
        <f>HYPERLINK("https://klasma.github.io/Logging_HANINGE/klagomål/A 2722-2022.docx", "A 2722-2022")</f>
        <v/>
      </c>
      <c r="W297">
        <f>HYPERLINK("https://klasma.github.io/Logging_HANINGE/klagomålsmail/A 2722-2022.docx", "A 2722-2022")</f>
        <v/>
      </c>
      <c r="X297">
        <f>HYPERLINK("https://klasma.github.io/Logging_HANINGE/tillsyn/A 2722-2022.docx", "A 2722-2022")</f>
        <v/>
      </c>
      <c r="Y297">
        <f>HYPERLINK("https://klasma.github.io/Logging_HANINGE/tillsynsmail/A 2722-2022.docx", "A 2722-2022")</f>
        <v/>
      </c>
    </row>
    <row r="298" ht="15" customHeight="1">
      <c r="A298" t="inlineStr">
        <is>
          <t>A 3218-2022</t>
        </is>
      </c>
      <c r="B298" s="1" t="n">
        <v>44582</v>
      </c>
      <c r="C298" s="1" t="n">
        <v>45186</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 "A 3218-2022")</f>
        <v/>
      </c>
      <c r="T298">
        <f>HYPERLINK("https://klasma.github.io/Logging_EKERO/kartor/A 3218-2022.png", "A 3218-2022")</f>
        <v/>
      </c>
      <c r="V298">
        <f>HYPERLINK("https://klasma.github.io/Logging_EKERO/klagomål/A 3218-2022.docx", "A 3218-2022")</f>
        <v/>
      </c>
      <c r="W298">
        <f>HYPERLINK("https://klasma.github.io/Logging_EKERO/klagomålsmail/A 3218-2022.docx", "A 3218-2022")</f>
        <v/>
      </c>
      <c r="X298">
        <f>HYPERLINK("https://klasma.github.io/Logging_EKERO/tillsyn/A 3218-2022.docx", "A 3218-2022")</f>
        <v/>
      </c>
      <c r="Y298">
        <f>HYPERLINK("https://klasma.github.io/Logging_EKERO/tillsynsmail/A 3218-2022.docx", "A 3218-2022")</f>
        <v/>
      </c>
    </row>
    <row r="299" ht="15" customHeight="1">
      <c r="A299" t="inlineStr">
        <is>
          <t>A 7172-2022</t>
        </is>
      </c>
      <c r="B299" s="1" t="n">
        <v>44604</v>
      </c>
      <c r="C299" s="1" t="n">
        <v>45186</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 "A 7172-2022")</f>
        <v/>
      </c>
      <c r="T299">
        <f>HYPERLINK("https://klasma.github.io/Logging_NORRTALJE/kartor/A 7172-2022.png", "A 7172-2022")</f>
        <v/>
      </c>
      <c r="U299">
        <f>HYPERLINK("https://klasma.github.io/Logging_NORRTALJE/knärot/A 7172-2022.png", "A 7172-2022")</f>
        <v/>
      </c>
      <c r="V299">
        <f>HYPERLINK("https://klasma.github.io/Logging_NORRTALJE/klagomål/A 7172-2022.docx", "A 7172-2022")</f>
        <v/>
      </c>
      <c r="W299">
        <f>HYPERLINK("https://klasma.github.io/Logging_NORRTALJE/klagomålsmail/A 7172-2022.docx", "A 7172-2022")</f>
        <v/>
      </c>
      <c r="X299">
        <f>HYPERLINK("https://klasma.github.io/Logging_NORRTALJE/tillsyn/A 7172-2022.docx", "A 7172-2022")</f>
        <v/>
      </c>
      <c r="Y299">
        <f>HYPERLINK("https://klasma.github.io/Logging_NORRTALJE/tillsynsmail/A 7172-2022.docx", "A 7172-2022")</f>
        <v/>
      </c>
    </row>
    <row r="300" ht="15" customHeight="1">
      <c r="A300" t="inlineStr">
        <is>
          <t>A 7285-2022</t>
        </is>
      </c>
      <c r="B300" s="1" t="n">
        <v>44606</v>
      </c>
      <c r="C300" s="1" t="n">
        <v>45186</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 "A 7285-2022")</f>
        <v/>
      </c>
      <c r="T300">
        <f>HYPERLINK("https://klasma.github.io/Logging_UPPLANDS-BRO/kartor/A 7285-2022.png", "A 7285-2022")</f>
        <v/>
      </c>
      <c r="V300">
        <f>HYPERLINK("https://klasma.github.io/Logging_UPPLANDS-BRO/klagomål/A 7285-2022.docx", "A 7285-2022")</f>
        <v/>
      </c>
      <c r="W300">
        <f>HYPERLINK("https://klasma.github.io/Logging_UPPLANDS-BRO/klagomålsmail/A 7285-2022.docx", "A 7285-2022")</f>
        <v/>
      </c>
      <c r="X300">
        <f>HYPERLINK("https://klasma.github.io/Logging_UPPLANDS-BRO/tillsyn/A 7285-2022.docx", "A 7285-2022")</f>
        <v/>
      </c>
      <c r="Y300">
        <f>HYPERLINK("https://klasma.github.io/Logging_UPPLANDS-BRO/tillsynsmail/A 7285-2022.docx", "A 7285-2022")</f>
        <v/>
      </c>
    </row>
    <row r="301" ht="15" customHeight="1">
      <c r="A301" t="inlineStr">
        <is>
          <t>A 8285-2022</t>
        </is>
      </c>
      <c r="B301" s="1" t="n">
        <v>44610</v>
      </c>
      <c r="C301" s="1" t="n">
        <v>45186</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 "A 8285-2022")</f>
        <v/>
      </c>
      <c r="T301">
        <f>HYPERLINK("https://klasma.github.io/Logging_NYKVARN/kartor/A 8285-2022.png", "A 8285-2022")</f>
        <v/>
      </c>
      <c r="V301">
        <f>HYPERLINK("https://klasma.github.io/Logging_NYKVARN/klagomål/A 8285-2022.docx", "A 8285-2022")</f>
        <v/>
      </c>
      <c r="W301">
        <f>HYPERLINK("https://klasma.github.io/Logging_NYKVARN/klagomålsmail/A 8285-2022.docx", "A 8285-2022")</f>
        <v/>
      </c>
      <c r="X301">
        <f>HYPERLINK("https://klasma.github.io/Logging_NYKVARN/tillsyn/A 8285-2022.docx", "A 8285-2022")</f>
        <v/>
      </c>
      <c r="Y301">
        <f>HYPERLINK("https://klasma.github.io/Logging_NYKVARN/tillsynsmail/A 8285-2022.docx", "A 8285-2022")</f>
        <v/>
      </c>
    </row>
    <row r="302" ht="15" customHeight="1">
      <c r="A302" t="inlineStr">
        <is>
          <t>A 8500-2022</t>
        </is>
      </c>
      <c r="B302" s="1" t="n">
        <v>44613</v>
      </c>
      <c r="C302" s="1" t="n">
        <v>45186</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 "A 8500-2022")</f>
        <v/>
      </c>
      <c r="T302">
        <f>HYPERLINK("https://klasma.github.io/Logging_VALLENTUNA/kartor/A 8500-2022.png", "A 8500-2022")</f>
        <v/>
      </c>
      <c r="V302">
        <f>HYPERLINK("https://klasma.github.io/Logging_VALLENTUNA/klagomål/A 8500-2022.docx", "A 8500-2022")</f>
        <v/>
      </c>
      <c r="W302">
        <f>HYPERLINK("https://klasma.github.io/Logging_VALLENTUNA/klagomålsmail/A 8500-2022.docx", "A 8500-2022")</f>
        <v/>
      </c>
      <c r="X302">
        <f>HYPERLINK("https://klasma.github.io/Logging_VALLENTUNA/tillsyn/A 8500-2022.docx", "A 8500-2022")</f>
        <v/>
      </c>
      <c r="Y302">
        <f>HYPERLINK("https://klasma.github.io/Logging_VALLENTUNA/tillsynsmail/A 8500-2022.docx", "A 8500-2022")</f>
        <v/>
      </c>
    </row>
    <row r="303" ht="15" customHeight="1">
      <c r="A303" t="inlineStr">
        <is>
          <t>A 9445-2022</t>
        </is>
      </c>
      <c r="B303" s="1" t="n">
        <v>44616</v>
      </c>
      <c r="C303" s="1" t="n">
        <v>45186</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 "A 9445-2022")</f>
        <v/>
      </c>
      <c r="T303">
        <f>HYPERLINK("https://klasma.github.io/Logging_VALLENTUNA/kartor/A 9445-2022.png", "A 9445-2022")</f>
        <v/>
      </c>
      <c r="V303">
        <f>HYPERLINK("https://klasma.github.io/Logging_VALLENTUNA/klagomål/A 9445-2022.docx", "A 9445-2022")</f>
        <v/>
      </c>
      <c r="W303">
        <f>HYPERLINK("https://klasma.github.io/Logging_VALLENTUNA/klagomålsmail/A 9445-2022.docx", "A 9445-2022")</f>
        <v/>
      </c>
      <c r="X303">
        <f>HYPERLINK("https://klasma.github.io/Logging_VALLENTUNA/tillsyn/A 9445-2022.docx", "A 9445-2022")</f>
        <v/>
      </c>
      <c r="Y303">
        <f>HYPERLINK("https://klasma.github.io/Logging_VALLENTUNA/tillsynsmail/A 9445-2022.docx", "A 9445-2022")</f>
        <v/>
      </c>
    </row>
    <row r="304" ht="15" customHeight="1">
      <c r="A304" t="inlineStr">
        <is>
          <t>A 9714-2022</t>
        </is>
      </c>
      <c r="B304" s="1" t="n">
        <v>44617</v>
      </c>
      <c r="C304" s="1" t="n">
        <v>45186</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 "A 9714-2022")</f>
        <v/>
      </c>
      <c r="T304">
        <f>HYPERLINK("https://klasma.github.io/Logging_NYKVARN/kartor/A 9714-2022.png", "A 9714-2022")</f>
        <v/>
      </c>
      <c r="V304">
        <f>HYPERLINK("https://klasma.github.io/Logging_NYKVARN/klagomål/A 9714-2022.docx", "A 9714-2022")</f>
        <v/>
      </c>
      <c r="W304">
        <f>HYPERLINK("https://klasma.github.io/Logging_NYKVARN/klagomålsmail/A 9714-2022.docx", "A 9714-2022")</f>
        <v/>
      </c>
      <c r="X304">
        <f>HYPERLINK("https://klasma.github.io/Logging_NYKVARN/tillsyn/A 9714-2022.docx", "A 9714-2022")</f>
        <v/>
      </c>
      <c r="Y304">
        <f>HYPERLINK("https://klasma.github.io/Logging_NYKVARN/tillsynsmail/A 9714-2022.docx", "A 9714-2022")</f>
        <v/>
      </c>
    </row>
    <row r="305" ht="15" customHeight="1">
      <c r="A305" t="inlineStr">
        <is>
          <t>A 9747-2022</t>
        </is>
      </c>
      <c r="B305" s="1" t="n">
        <v>44618</v>
      </c>
      <c r="C305" s="1" t="n">
        <v>45186</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 "A 9747-2022")</f>
        <v/>
      </c>
      <c r="T305">
        <f>HYPERLINK("https://klasma.github.io/Logging_VALLENTUNA/kartor/A 9747-2022.png", "A 9747-2022")</f>
        <v/>
      </c>
      <c r="V305">
        <f>HYPERLINK("https://klasma.github.io/Logging_VALLENTUNA/klagomål/A 9747-2022.docx", "A 9747-2022")</f>
        <v/>
      </c>
      <c r="W305">
        <f>HYPERLINK("https://klasma.github.io/Logging_VALLENTUNA/klagomålsmail/A 9747-2022.docx", "A 9747-2022")</f>
        <v/>
      </c>
      <c r="X305">
        <f>HYPERLINK("https://klasma.github.io/Logging_VALLENTUNA/tillsyn/A 9747-2022.docx", "A 9747-2022")</f>
        <v/>
      </c>
      <c r="Y305">
        <f>HYPERLINK("https://klasma.github.io/Logging_VALLENTUNA/tillsynsmail/A 9747-2022.docx", "A 9747-2022")</f>
        <v/>
      </c>
    </row>
    <row r="306" ht="15" customHeight="1">
      <c r="A306" t="inlineStr">
        <is>
          <t>A 9955-2022</t>
        </is>
      </c>
      <c r="B306" s="1" t="n">
        <v>44620</v>
      </c>
      <c r="C306" s="1" t="n">
        <v>45186</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 "A 9955-2022")</f>
        <v/>
      </c>
      <c r="T306">
        <f>HYPERLINK("https://klasma.github.io/Logging_NORRTALJE/kartor/A 9955-2022.png", "A 9955-2022")</f>
        <v/>
      </c>
      <c r="V306">
        <f>HYPERLINK("https://klasma.github.io/Logging_NORRTALJE/klagomål/A 9955-2022.docx", "A 9955-2022")</f>
        <v/>
      </c>
      <c r="W306">
        <f>HYPERLINK("https://klasma.github.io/Logging_NORRTALJE/klagomålsmail/A 9955-2022.docx", "A 9955-2022")</f>
        <v/>
      </c>
      <c r="X306">
        <f>HYPERLINK("https://klasma.github.io/Logging_NORRTALJE/tillsyn/A 9955-2022.docx", "A 9955-2022")</f>
        <v/>
      </c>
      <c r="Y306">
        <f>HYPERLINK("https://klasma.github.io/Logging_NORRTALJE/tillsynsmail/A 9955-2022.docx", "A 9955-2022")</f>
        <v/>
      </c>
    </row>
    <row r="307" ht="15" customHeight="1">
      <c r="A307" t="inlineStr">
        <is>
          <t>A 10469-2022</t>
        </is>
      </c>
      <c r="B307" s="1" t="n">
        <v>44623</v>
      </c>
      <c r="C307" s="1" t="n">
        <v>45186</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 "A 10469-2022")</f>
        <v/>
      </c>
      <c r="T307">
        <f>HYPERLINK("https://klasma.github.io/Logging_BOTKYRKA/kartor/A 10469-2022.png", "A 10469-2022")</f>
        <v/>
      </c>
      <c r="V307">
        <f>HYPERLINK("https://klasma.github.io/Logging_BOTKYRKA/klagomål/A 10469-2022.docx", "A 10469-2022")</f>
        <v/>
      </c>
      <c r="W307">
        <f>HYPERLINK("https://klasma.github.io/Logging_BOTKYRKA/klagomålsmail/A 10469-2022.docx", "A 10469-2022")</f>
        <v/>
      </c>
      <c r="X307">
        <f>HYPERLINK("https://klasma.github.io/Logging_BOTKYRKA/tillsyn/A 10469-2022.docx", "A 10469-2022")</f>
        <v/>
      </c>
      <c r="Y307">
        <f>HYPERLINK("https://klasma.github.io/Logging_BOTKYRKA/tillsynsmail/A 10469-2022.docx", "A 10469-2022")</f>
        <v/>
      </c>
    </row>
    <row r="308" ht="15" customHeight="1">
      <c r="A308" t="inlineStr">
        <is>
          <t>A 10712-2022</t>
        </is>
      </c>
      <c r="B308" s="1" t="n">
        <v>44626</v>
      </c>
      <c r="C308" s="1" t="n">
        <v>45186</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 "A 10712-2022")</f>
        <v/>
      </c>
      <c r="T308">
        <f>HYPERLINK("https://klasma.github.io/Logging_NORRTALJE/kartor/A 10712-2022.png", "A 10712-2022")</f>
        <v/>
      </c>
      <c r="V308">
        <f>HYPERLINK("https://klasma.github.io/Logging_NORRTALJE/klagomål/A 10712-2022.docx", "A 10712-2022")</f>
        <v/>
      </c>
      <c r="W308">
        <f>HYPERLINK("https://klasma.github.io/Logging_NORRTALJE/klagomålsmail/A 10712-2022.docx", "A 10712-2022")</f>
        <v/>
      </c>
      <c r="X308">
        <f>HYPERLINK("https://klasma.github.io/Logging_NORRTALJE/tillsyn/A 10712-2022.docx", "A 10712-2022")</f>
        <v/>
      </c>
      <c r="Y308">
        <f>HYPERLINK("https://klasma.github.io/Logging_NORRTALJE/tillsynsmail/A 10712-2022.docx", "A 10712-2022")</f>
        <v/>
      </c>
    </row>
    <row r="309" ht="15" customHeight="1">
      <c r="A309" t="inlineStr">
        <is>
          <t>A 12215-2022</t>
        </is>
      </c>
      <c r="B309" s="1" t="n">
        <v>44637</v>
      </c>
      <c r="C309" s="1" t="n">
        <v>45186</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 "A 12215-2022")</f>
        <v/>
      </c>
      <c r="T309">
        <f>HYPERLINK("https://klasma.github.io/Logging_NORRTALJE/kartor/A 12215-2022.png", "A 12215-2022")</f>
        <v/>
      </c>
      <c r="V309">
        <f>HYPERLINK("https://klasma.github.io/Logging_NORRTALJE/klagomål/A 12215-2022.docx", "A 12215-2022")</f>
        <v/>
      </c>
      <c r="W309">
        <f>HYPERLINK("https://klasma.github.io/Logging_NORRTALJE/klagomålsmail/A 12215-2022.docx", "A 12215-2022")</f>
        <v/>
      </c>
      <c r="X309">
        <f>HYPERLINK("https://klasma.github.io/Logging_NORRTALJE/tillsyn/A 12215-2022.docx", "A 12215-2022")</f>
        <v/>
      </c>
      <c r="Y309">
        <f>HYPERLINK("https://klasma.github.io/Logging_NORRTALJE/tillsynsmail/A 12215-2022.docx", "A 12215-2022")</f>
        <v/>
      </c>
    </row>
    <row r="310" ht="15" customHeight="1">
      <c r="A310" t="inlineStr">
        <is>
          <t>A 13891-2022</t>
        </is>
      </c>
      <c r="B310" s="1" t="n">
        <v>44646</v>
      </c>
      <c r="C310" s="1" t="n">
        <v>45186</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 "A 13891-2022")</f>
        <v/>
      </c>
      <c r="T310">
        <f>HYPERLINK("https://klasma.github.io/Logging_EKERO/kartor/A 13891-2022.png", "A 13891-2022")</f>
        <v/>
      </c>
      <c r="V310">
        <f>HYPERLINK("https://klasma.github.io/Logging_EKERO/klagomål/A 13891-2022.docx", "A 13891-2022")</f>
        <v/>
      </c>
      <c r="W310">
        <f>HYPERLINK("https://klasma.github.io/Logging_EKERO/klagomålsmail/A 13891-2022.docx", "A 13891-2022")</f>
        <v/>
      </c>
      <c r="X310">
        <f>HYPERLINK("https://klasma.github.io/Logging_EKERO/tillsyn/A 13891-2022.docx", "A 13891-2022")</f>
        <v/>
      </c>
      <c r="Y310">
        <f>HYPERLINK("https://klasma.github.io/Logging_EKERO/tillsynsmail/A 13891-2022.docx", "A 13891-2022")</f>
        <v/>
      </c>
    </row>
    <row r="311" ht="15" customHeight="1">
      <c r="A311" t="inlineStr">
        <is>
          <t>A 14720-2022</t>
        </is>
      </c>
      <c r="B311" s="1" t="n">
        <v>44656</v>
      </c>
      <c r="C311" s="1" t="n">
        <v>45186</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 "A 14720-2022")</f>
        <v/>
      </c>
      <c r="T311">
        <f>HYPERLINK("https://klasma.github.io/Logging_NORRTALJE/kartor/A 14720-2022.png", "A 14720-2022")</f>
        <v/>
      </c>
      <c r="V311">
        <f>HYPERLINK("https://klasma.github.io/Logging_NORRTALJE/klagomål/A 14720-2022.docx", "A 14720-2022")</f>
        <v/>
      </c>
      <c r="W311">
        <f>HYPERLINK("https://klasma.github.io/Logging_NORRTALJE/klagomålsmail/A 14720-2022.docx", "A 14720-2022")</f>
        <v/>
      </c>
      <c r="X311">
        <f>HYPERLINK("https://klasma.github.io/Logging_NORRTALJE/tillsyn/A 14720-2022.docx", "A 14720-2022")</f>
        <v/>
      </c>
      <c r="Y311">
        <f>HYPERLINK("https://klasma.github.io/Logging_NORRTALJE/tillsynsmail/A 14720-2022.docx", "A 14720-2022")</f>
        <v/>
      </c>
    </row>
    <row r="312" ht="15" customHeight="1">
      <c r="A312" t="inlineStr">
        <is>
          <t>A 16309-2022</t>
        </is>
      </c>
      <c r="B312" s="1" t="n">
        <v>44670</v>
      </c>
      <c r="C312" s="1" t="n">
        <v>45186</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 "A 16309-2022")</f>
        <v/>
      </c>
      <c r="T312">
        <f>HYPERLINK("https://klasma.github.io/Logging_NYNASHAMN/kartor/A 16309-2022.png", "A 16309-2022")</f>
        <v/>
      </c>
      <c r="V312">
        <f>HYPERLINK("https://klasma.github.io/Logging_NYNASHAMN/klagomål/A 16309-2022.docx", "A 16309-2022")</f>
        <v/>
      </c>
      <c r="W312">
        <f>HYPERLINK("https://klasma.github.io/Logging_NYNASHAMN/klagomålsmail/A 16309-2022.docx", "A 16309-2022")</f>
        <v/>
      </c>
      <c r="X312">
        <f>HYPERLINK("https://klasma.github.io/Logging_NYNASHAMN/tillsyn/A 16309-2022.docx", "A 16309-2022")</f>
        <v/>
      </c>
      <c r="Y312">
        <f>HYPERLINK("https://klasma.github.io/Logging_NYNASHAMN/tillsynsmail/A 16309-2022.docx", "A 16309-2022")</f>
        <v/>
      </c>
    </row>
    <row r="313" ht="15" customHeight="1">
      <c r="A313" t="inlineStr">
        <is>
          <t>A 16539-2022</t>
        </is>
      </c>
      <c r="B313" s="1" t="n">
        <v>44672</v>
      </c>
      <c r="C313" s="1" t="n">
        <v>45186</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 "A 16539-2022")</f>
        <v/>
      </c>
      <c r="T313">
        <f>HYPERLINK("https://klasma.github.io/Logging_NORRTALJE/kartor/A 16539-2022.png", "A 16539-2022")</f>
        <v/>
      </c>
      <c r="V313">
        <f>HYPERLINK("https://klasma.github.io/Logging_NORRTALJE/klagomål/A 16539-2022.docx", "A 16539-2022")</f>
        <v/>
      </c>
      <c r="W313">
        <f>HYPERLINK("https://klasma.github.io/Logging_NORRTALJE/klagomålsmail/A 16539-2022.docx", "A 16539-2022")</f>
        <v/>
      </c>
      <c r="X313">
        <f>HYPERLINK("https://klasma.github.io/Logging_NORRTALJE/tillsyn/A 16539-2022.docx", "A 16539-2022")</f>
        <v/>
      </c>
      <c r="Y313">
        <f>HYPERLINK("https://klasma.github.io/Logging_NORRTALJE/tillsynsmail/A 16539-2022.docx", "A 16539-2022")</f>
        <v/>
      </c>
    </row>
    <row r="314" ht="15" customHeight="1">
      <c r="A314" t="inlineStr">
        <is>
          <t>A 18100-2022</t>
        </is>
      </c>
      <c r="B314" s="1" t="n">
        <v>44684</v>
      </c>
      <c r="C314" s="1" t="n">
        <v>45186</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 "A 18100-2022")</f>
        <v/>
      </c>
      <c r="T314">
        <f>HYPERLINK("https://klasma.github.io/Logging_BOTKYRKA/kartor/A 18100-2022.png", "A 18100-2022")</f>
        <v/>
      </c>
      <c r="V314">
        <f>HYPERLINK("https://klasma.github.io/Logging_BOTKYRKA/klagomål/A 18100-2022.docx", "A 18100-2022")</f>
        <v/>
      </c>
      <c r="W314">
        <f>HYPERLINK("https://klasma.github.io/Logging_BOTKYRKA/klagomålsmail/A 18100-2022.docx", "A 18100-2022")</f>
        <v/>
      </c>
      <c r="X314">
        <f>HYPERLINK("https://klasma.github.io/Logging_BOTKYRKA/tillsyn/A 18100-2022.docx", "A 18100-2022")</f>
        <v/>
      </c>
      <c r="Y314">
        <f>HYPERLINK("https://klasma.github.io/Logging_BOTKYRKA/tillsynsmail/A 18100-2022.docx", "A 18100-2022")</f>
        <v/>
      </c>
    </row>
    <row r="315" ht="15" customHeight="1">
      <c r="A315" t="inlineStr">
        <is>
          <t>A 20456-2022</t>
        </is>
      </c>
      <c r="B315" s="1" t="n">
        <v>44699</v>
      </c>
      <c r="C315" s="1" t="n">
        <v>45186</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 "A 20456-2022")</f>
        <v/>
      </c>
      <c r="T315">
        <f>HYPERLINK("https://klasma.github.io/Logging_NYKVARN/kartor/A 20456-2022.png", "A 20456-2022")</f>
        <v/>
      </c>
      <c r="V315">
        <f>HYPERLINK("https://klasma.github.io/Logging_NYKVARN/klagomål/A 20456-2022.docx", "A 20456-2022")</f>
        <v/>
      </c>
      <c r="W315">
        <f>HYPERLINK("https://klasma.github.io/Logging_NYKVARN/klagomålsmail/A 20456-2022.docx", "A 20456-2022")</f>
        <v/>
      </c>
      <c r="X315">
        <f>HYPERLINK("https://klasma.github.io/Logging_NYKVARN/tillsyn/A 20456-2022.docx", "A 20456-2022")</f>
        <v/>
      </c>
      <c r="Y315">
        <f>HYPERLINK("https://klasma.github.io/Logging_NYKVARN/tillsynsmail/A 20456-2022.docx", "A 20456-2022")</f>
        <v/>
      </c>
    </row>
    <row r="316" ht="15" customHeight="1">
      <c r="A316" t="inlineStr">
        <is>
          <t>A 21150-2022</t>
        </is>
      </c>
      <c r="B316" s="1" t="n">
        <v>44704</v>
      </c>
      <c r="C316" s="1" t="n">
        <v>45186</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 "A 21150-2022")</f>
        <v/>
      </c>
      <c r="T316">
        <f>HYPERLINK("https://klasma.github.io/Logging_NORRTALJE/kartor/A 21150-2022.png", "A 21150-2022")</f>
        <v/>
      </c>
      <c r="V316">
        <f>HYPERLINK("https://klasma.github.io/Logging_NORRTALJE/klagomål/A 21150-2022.docx", "A 21150-2022")</f>
        <v/>
      </c>
      <c r="W316">
        <f>HYPERLINK("https://klasma.github.io/Logging_NORRTALJE/klagomålsmail/A 21150-2022.docx", "A 21150-2022")</f>
        <v/>
      </c>
      <c r="X316">
        <f>HYPERLINK("https://klasma.github.io/Logging_NORRTALJE/tillsyn/A 21150-2022.docx", "A 21150-2022")</f>
        <v/>
      </c>
      <c r="Y316">
        <f>HYPERLINK("https://klasma.github.io/Logging_NORRTALJE/tillsynsmail/A 21150-2022.docx", "A 21150-2022")</f>
        <v/>
      </c>
    </row>
    <row r="317" ht="15" customHeight="1">
      <c r="A317" t="inlineStr">
        <is>
          <t>A 22172-2022</t>
        </is>
      </c>
      <c r="B317" s="1" t="n">
        <v>44712</v>
      </c>
      <c r="C317" s="1" t="n">
        <v>45186</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 "A 22172-2022")</f>
        <v/>
      </c>
      <c r="T317">
        <f>HYPERLINK("https://klasma.github.io/Logging_OSTERAKER/kartor/A 22172-2022.png", "A 22172-2022")</f>
        <v/>
      </c>
      <c r="V317">
        <f>HYPERLINK("https://klasma.github.io/Logging_OSTERAKER/klagomål/A 22172-2022.docx", "A 22172-2022")</f>
        <v/>
      </c>
      <c r="W317">
        <f>HYPERLINK("https://klasma.github.io/Logging_OSTERAKER/klagomålsmail/A 22172-2022.docx", "A 22172-2022")</f>
        <v/>
      </c>
      <c r="X317">
        <f>HYPERLINK("https://klasma.github.io/Logging_OSTERAKER/tillsyn/A 22172-2022.docx", "A 22172-2022")</f>
        <v/>
      </c>
      <c r="Y317">
        <f>HYPERLINK("https://klasma.github.io/Logging_OSTERAKER/tillsynsmail/A 22172-2022.docx", "A 22172-2022")</f>
        <v/>
      </c>
    </row>
    <row r="318" ht="15" customHeight="1">
      <c r="A318" t="inlineStr">
        <is>
          <t>A 30154-2022</t>
        </is>
      </c>
      <c r="B318" s="1" t="n">
        <v>44757</v>
      </c>
      <c r="C318" s="1" t="n">
        <v>45186</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 "A 30154-2022")</f>
        <v/>
      </c>
      <c r="T318">
        <f>HYPERLINK("https://klasma.github.io/Logging_VARMDO/kartor/A 30154-2022.png", "A 30154-2022")</f>
        <v/>
      </c>
      <c r="V318">
        <f>HYPERLINK("https://klasma.github.io/Logging_VARMDO/klagomål/A 30154-2022.docx", "A 30154-2022")</f>
        <v/>
      </c>
      <c r="W318">
        <f>HYPERLINK("https://klasma.github.io/Logging_VARMDO/klagomålsmail/A 30154-2022.docx", "A 30154-2022")</f>
        <v/>
      </c>
      <c r="X318">
        <f>HYPERLINK("https://klasma.github.io/Logging_VARMDO/tillsyn/A 30154-2022.docx", "A 30154-2022")</f>
        <v/>
      </c>
      <c r="Y318">
        <f>HYPERLINK("https://klasma.github.io/Logging_VARMDO/tillsynsmail/A 30154-2022.docx", "A 30154-2022")</f>
        <v/>
      </c>
    </row>
    <row r="319" ht="15" customHeight="1">
      <c r="A319" t="inlineStr">
        <is>
          <t>A 30693-2022</t>
        </is>
      </c>
      <c r="B319" s="1" t="n">
        <v>44763</v>
      </c>
      <c r="C319" s="1" t="n">
        <v>45186</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 "A 30693-2022")</f>
        <v/>
      </c>
      <c r="T319">
        <f>HYPERLINK("https://klasma.github.io/Logging_NORRTALJE/kartor/A 30693-2022.png", "A 30693-2022")</f>
        <v/>
      </c>
      <c r="V319">
        <f>HYPERLINK("https://klasma.github.io/Logging_NORRTALJE/klagomål/A 30693-2022.docx", "A 30693-2022")</f>
        <v/>
      </c>
      <c r="W319">
        <f>HYPERLINK("https://klasma.github.io/Logging_NORRTALJE/klagomålsmail/A 30693-2022.docx", "A 30693-2022")</f>
        <v/>
      </c>
      <c r="X319">
        <f>HYPERLINK("https://klasma.github.io/Logging_NORRTALJE/tillsyn/A 30693-2022.docx", "A 30693-2022")</f>
        <v/>
      </c>
      <c r="Y319">
        <f>HYPERLINK("https://klasma.github.io/Logging_NORRTALJE/tillsynsmail/A 30693-2022.docx", "A 30693-2022")</f>
        <v/>
      </c>
    </row>
    <row r="320" ht="15" customHeight="1">
      <c r="A320" t="inlineStr">
        <is>
          <t>A 31194-2022</t>
        </is>
      </c>
      <c r="B320" s="1" t="n">
        <v>44770</v>
      </c>
      <c r="C320" s="1" t="n">
        <v>45186</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 "A 31194-2022")</f>
        <v/>
      </c>
      <c r="T320">
        <f>HYPERLINK("https://klasma.github.io/Logging_NORRTALJE/kartor/A 31194-2022.png", "A 31194-2022")</f>
        <v/>
      </c>
      <c r="V320">
        <f>HYPERLINK("https://klasma.github.io/Logging_NORRTALJE/klagomål/A 31194-2022.docx", "A 31194-2022")</f>
        <v/>
      </c>
      <c r="W320">
        <f>HYPERLINK("https://klasma.github.io/Logging_NORRTALJE/klagomålsmail/A 31194-2022.docx", "A 31194-2022")</f>
        <v/>
      </c>
      <c r="X320">
        <f>HYPERLINK("https://klasma.github.io/Logging_NORRTALJE/tillsyn/A 31194-2022.docx", "A 31194-2022")</f>
        <v/>
      </c>
      <c r="Y320">
        <f>HYPERLINK("https://klasma.github.io/Logging_NORRTALJE/tillsynsmail/A 31194-2022.docx", "A 31194-2022")</f>
        <v/>
      </c>
    </row>
    <row r="321" ht="15" customHeight="1">
      <c r="A321" t="inlineStr">
        <is>
          <t>A 34823-2022</t>
        </is>
      </c>
      <c r="B321" s="1" t="n">
        <v>44796</v>
      </c>
      <c r="C321" s="1" t="n">
        <v>45186</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 "A 34823-2022")</f>
        <v/>
      </c>
      <c r="T321">
        <f>HYPERLINK("https://klasma.github.io/Logging_HANINGE/kartor/A 34823-2022.png", "A 34823-2022")</f>
        <v/>
      </c>
      <c r="V321">
        <f>HYPERLINK("https://klasma.github.io/Logging_HANINGE/klagomål/A 34823-2022.docx", "A 34823-2022")</f>
        <v/>
      </c>
      <c r="W321">
        <f>HYPERLINK("https://klasma.github.io/Logging_HANINGE/klagomålsmail/A 34823-2022.docx", "A 34823-2022")</f>
        <v/>
      </c>
      <c r="X321">
        <f>HYPERLINK("https://klasma.github.io/Logging_HANINGE/tillsyn/A 34823-2022.docx", "A 34823-2022")</f>
        <v/>
      </c>
      <c r="Y321">
        <f>HYPERLINK("https://klasma.github.io/Logging_HANINGE/tillsynsmail/A 34823-2022.docx", "A 34823-2022")</f>
        <v/>
      </c>
    </row>
    <row r="322" ht="15" customHeight="1">
      <c r="A322" t="inlineStr">
        <is>
          <t>A 37004-2022</t>
        </is>
      </c>
      <c r="B322" s="1" t="n">
        <v>44806</v>
      </c>
      <c r="C322" s="1" t="n">
        <v>45186</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 "A 37004-2022")</f>
        <v/>
      </c>
      <c r="T322">
        <f>HYPERLINK("https://klasma.github.io/Logging_HANINGE/kartor/A 37004-2022.png", "A 37004-2022")</f>
        <v/>
      </c>
      <c r="V322">
        <f>HYPERLINK("https://klasma.github.io/Logging_HANINGE/klagomål/A 37004-2022.docx", "A 37004-2022")</f>
        <v/>
      </c>
      <c r="W322">
        <f>HYPERLINK("https://klasma.github.io/Logging_HANINGE/klagomålsmail/A 37004-2022.docx", "A 37004-2022")</f>
        <v/>
      </c>
      <c r="X322">
        <f>HYPERLINK("https://klasma.github.io/Logging_HANINGE/tillsyn/A 37004-2022.docx", "A 37004-2022")</f>
        <v/>
      </c>
      <c r="Y322">
        <f>HYPERLINK("https://klasma.github.io/Logging_HANINGE/tillsynsmail/A 37004-2022.docx", "A 37004-2022")</f>
        <v/>
      </c>
    </row>
    <row r="323" ht="15" customHeight="1">
      <c r="A323" t="inlineStr">
        <is>
          <t>A 37522-2022</t>
        </is>
      </c>
      <c r="B323" s="1" t="n">
        <v>44809</v>
      </c>
      <c r="C323" s="1" t="n">
        <v>45186</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 "A 37522-2022")</f>
        <v/>
      </c>
      <c r="T323">
        <f>HYPERLINK("https://klasma.github.io/Logging_NORRTALJE/kartor/A 37522-2022.png", "A 37522-2022")</f>
        <v/>
      </c>
      <c r="V323">
        <f>HYPERLINK("https://klasma.github.io/Logging_NORRTALJE/klagomål/A 37522-2022.docx", "A 37522-2022")</f>
        <v/>
      </c>
      <c r="W323">
        <f>HYPERLINK("https://klasma.github.io/Logging_NORRTALJE/klagomålsmail/A 37522-2022.docx", "A 37522-2022")</f>
        <v/>
      </c>
      <c r="X323">
        <f>HYPERLINK("https://klasma.github.io/Logging_NORRTALJE/tillsyn/A 37522-2022.docx", "A 37522-2022")</f>
        <v/>
      </c>
      <c r="Y323">
        <f>HYPERLINK("https://klasma.github.io/Logging_NORRTALJE/tillsynsmail/A 37522-2022.docx", "A 37522-2022")</f>
        <v/>
      </c>
    </row>
    <row r="324" ht="15" customHeight="1">
      <c r="A324" t="inlineStr">
        <is>
          <t>A 38452-2022</t>
        </is>
      </c>
      <c r="B324" s="1" t="n">
        <v>44813</v>
      </c>
      <c r="C324" s="1" t="n">
        <v>45186</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 "A 38452-2022")</f>
        <v/>
      </c>
      <c r="T324">
        <f>HYPERLINK("https://klasma.github.io/Logging_SODERTALJE/kartor/A 38452-2022.png", "A 38452-2022")</f>
        <v/>
      </c>
      <c r="V324">
        <f>HYPERLINK("https://klasma.github.io/Logging_SODERTALJE/klagomål/A 38452-2022.docx", "A 38452-2022")</f>
        <v/>
      </c>
      <c r="W324">
        <f>HYPERLINK("https://klasma.github.io/Logging_SODERTALJE/klagomålsmail/A 38452-2022.docx", "A 38452-2022")</f>
        <v/>
      </c>
      <c r="X324">
        <f>HYPERLINK("https://klasma.github.io/Logging_SODERTALJE/tillsyn/A 38452-2022.docx", "A 38452-2022")</f>
        <v/>
      </c>
      <c r="Y324">
        <f>HYPERLINK("https://klasma.github.io/Logging_SODERTALJE/tillsynsmail/A 38452-2022.docx", "A 38452-2022")</f>
        <v/>
      </c>
    </row>
    <row r="325" ht="15" customHeight="1">
      <c r="A325" t="inlineStr">
        <is>
          <t>A 38597-2022</t>
        </is>
      </c>
      <c r="B325" s="1" t="n">
        <v>44813</v>
      </c>
      <c r="C325" s="1" t="n">
        <v>45186</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 "A 38597-2022")</f>
        <v/>
      </c>
      <c r="T325">
        <f>HYPERLINK("https://klasma.github.io/Logging_NORRTALJE/kartor/A 38597-2022.png", "A 38597-2022")</f>
        <v/>
      </c>
      <c r="V325">
        <f>HYPERLINK("https://klasma.github.io/Logging_NORRTALJE/klagomål/A 38597-2022.docx", "A 38597-2022")</f>
        <v/>
      </c>
      <c r="W325">
        <f>HYPERLINK("https://klasma.github.io/Logging_NORRTALJE/klagomålsmail/A 38597-2022.docx", "A 38597-2022")</f>
        <v/>
      </c>
      <c r="X325">
        <f>HYPERLINK("https://klasma.github.io/Logging_NORRTALJE/tillsyn/A 38597-2022.docx", "A 38597-2022")</f>
        <v/>
      </c>
      <c r="Y325">
        <f>HYPERLINK("https://klasma.github.io/Logging_NORRTALJE/tillsynsmail/A 38597-2022.docx", "A 38597-2022")</f>
        <v/>
      </c>
    </row>
    <row r="326" ht="15" customHeight="1">
      <c r="A326" t="inlineStr">
        <is>
          <t>A 39636-2022</t>
        </is>
      </c>
      <c r="B326" s="1" t="n">
        <v>44818</v>
      </c>
      <c r="C326" s="1" t="n">
        <v>45186</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 "A 39636-2022")</f>
        <v/>
      </c>
      <c r="T326">
        <f>HYPERLINK("https://klasma.github.io/Logging_HANINGE/kartor/A 39636-2022.png", "A 39636-2022")</f>
        <v/>
      </c>
      <c r="V326">
        <f>HYPERLINK("https://klasma.github.io/Logging_HANINGE/klagomål/A 39636-2022.docx", "A 39636-2022")</f>
        <v/>
      </c>
      <c r="W326">
        <f>HYPERLINK("https://klasma.github.io/Logging_HANINGE/klagomålsmail/A 39636-2022.docx", "A 39636-2022")</f>
        <v/>
      </c>
      <c r="X326">
        <f>HYPERLINK("https://klasma.github.io/Logging_HANINGE/tillsyn/A 39636-2022.docx", "A 39636-2022")</f>
        <v/>
      </c>
      <c r="Y326">
        <f>HYPERLINK("https://klasma.github.io/Logging_HANINGE/tillsynsmail/A 39636-2022.docx", "A 39636-2022")</f>
        <v/>
      </c>
    </row>
    <row r="327" ht="15" customHeight="1">
      <c r="A327" t="inlineStr">
        <is>
          <t>A 40672-2022</t>
        </is>
      </c>
      <c r="B327" s="1" t="n">
        <v>44824</v>
      </c>
      <c r="C327" s="1" t="n">
        <v>45186</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 "A 40672-2022")</f>
        <v/>
      </c>
      <c r="T327">
        <f>HYPERLINK("https://klasma.github.io/Logging_NORRTALJE/kartor/A 40672-2022.png", "A 40672-2022")</f>
        <v/>
      </c>
      <c r="V327">
        <f>HYPERLINK("https://klasma.github.io/Logging_NORRTALJE/klagomål/A 40672-2022.docx", "A 40672-2022")</f>
        <v/>
      </c>
      <c r="W327">
        <f>HYPERLINK("https://klasma.github.io/Logging_NORRTALJE/klagomålsmail/A 40672-2022.docx", "A 40672-2022")</f>
        <v/>
      </c>
      <c r="X327">
        <f>HYPERLINK("https://klasma.github.io/Logging_NORRTALJE/tillsyn/A 40672-2022.docx", "A 40672-2022")</f>
        <v/>
      </c>
      <c r="Y327">
        <f>HYPERLINK("https://klasma.github.io/Logging_NORRTALJE/tillsynsmail/A 40672-2022.docx", "A 40672-2022")</f>
        <v/>
      </c>
    </row>
    <row r="328" ht="15" customHeight="1">
      <c r="A328" t="inlineStr">
        <is>
          <t>A 44709-2022</t>
        </is>
      </c>
      <c r="B328" s="1" t="n">
        <v>44839</v>
      </c>
      <c r="C328" s="1" t="n">
        <v>45186</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 "A 44709-2022")</f>
        <v/>
      </c>
      <c r="T328">
        <f>HYPERLINK("https://klasma.github.io/Logging_NORRTALJE/kartor/A 44709-2022.png", "A 44709-2022")</f>
        <v/>
      </c>
      <c r="V328">
        <f>HYPERLINK("https://klasma.github.io/Logging_NORRTALJE/klagomål/A 44709-2022.docx", "A 44709-2022")</f>
        <v/>
      </c>
      <c r="W328">
        <f>HYPERLINK("https://klasma.github.io/Logging_NORRTALJE/klagomålsmail/A 44709-2022.docx", "A 44709-2022")</f>
        <v/>
      </c>
      <c r="X328">
        <f>HYPERLINK("https://klasma.github.io/Logging_NORRTALJE/tillsyn/A 44709-2022.docx", "A 44709-2022")</f>
        <v/>
      </c>
      <c r="Y328">
        <f>HYPERLINK("https://klasma.github.io/Logging_NORRTALJE/tillsynsmail/A 44709-2022.docx", "A 44709-2022")</f>
        <v/>
      </c>
    </row>
    <row r="329" ht="15" customHeight="1">
      <c r="A329" t="inlineStr">
        <is>
          <t>A 44958-2022</t>
        </is>
      </c>
      <c r="B329" s="1" t="n">
        <v>44841</v>
      </c>
      <c r="C329" s="1" t="n">
        <v>45186</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 "A 44958-2022")</f>
        <v/>
      </c>
      <c r="T329">
        <f>HYPERLINK("https://klasma.github.io/Logging_SODERTALJE/kartor/A 44958-2022.png", "A 44958-2022")</f>
        <v/>
      </c>
      <c r="V329">
        <f>HYPERLINK("https://klasma.github.io/Logging_SODERTALJE/klagomål/A 44958-2022.docx", "A 44958-2022")</f>
        <v/>
      </c>
      <c r="W329">
        <f>HYPERLINK("https://klasma.github.io/Logging_SODERTALJE/klagomålsmail/A 44958-2022.docx", "A 44958-2022")</f>
        <v/>
      </c>
      <c r="X329">
        <f>HYPERLINK("https://klasma.github.io/Logging_SODERTALJE/tillsyn/A 44958-2022.docx", "A 44958-2022")</f>
        <v/>
      </c>
      <c r="Y329">
        <f>HYPERLINK("https://klasma.github.io/Logging_SODERTALJE/tillsynsmail/A 44958-2022.docx", "A 44958-2022")</f>
        <v/>
      </c>
    </row>
    <row r="330" ht="15" customHeight="1">
      <c r="A330" t="inlineStr">
        <is>
          <t>A 47898-2022</t>
        </is>
      </c>
      <c r="B330" s="1" t="n">
        <v>44855</v>
      </c>
      <c r="C330" s="1" t="n">
        <v>45186</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 "A 47898-2022")</f>
        <v/>
      </c>
      <c r="T330">
        <f>HYPERLINK("https://klasma.github.io/Logging_NORRTALJE/kartor/A 47898-2022.png", "A 47898-2022")</f>
        <v/>
      </c>
      <c r="V330">
        <f>HYPERLINK("https://klasma.github.io/Logging_NORRTALJE/klagomål/A 47898-2022.docx", "A 47898-2022")</f>
        <v/>
      </c>
      <c r="W330">
        <f>HYPERLINK("https://klasma.github.io/Logging_NORRTALJE/klagomålsmail/A 47898-2022.docx", "A 47898-2022")</f>
        <v/>
      </c>
      <c r="X330">
        <f>HYPERLINK("https://klasma.github.io/Logging_NORRTALJE/tillsyn/A 47898-2022.docx", "A 47898-2022")</f>
        <v/>
      </c>
      <c r="Y330">
        <f>HYPERLINK("https://klasma.github.io/Logging_NORRTALJE/tillsynsmail/A 47898-2022.docx", "A 47898-2022")</f>
        <v/>
      </c>
    </row>
    <row r="331" ht="15" customHeight="1">
      <c r="A331" t="inlineStr">
        <is>
          <t>A 50854-2022</t>
        </is>
      </c>
      <c r="B331" s="1" t="n">
        <v>44863</v>
      </c>
      <c r="C331" s="1" t="n">
        <v>45186</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 "A 50854-2022")</f>
        <v/>
      </c>
      <c r="T331">
        <f>HYPERLINK("https://klasma.github.io/Logging_NORRTALJE/kartor/A 50854-2022.png", "A 50854-2022")</f>
        <v/>
      </c>
      <c r="V331">
        <f>HYPERLINK("https://klasma.github.io/Logging_NORRTALJE/klagomål/A 50854-2022.docx", "A 50854-2022")</f>
        <v/>
      </c>
      <c r="W331">
        <f>HYPERLINK("https://klasma.github.io/Logging_NORRTALJE/klagomålsmail/A 50854-2022.docx", "A 50854-2022")</f>
        <v/>
      </c>
      <c r="X331">
        <f>HYPERLINK("https://klasma.github.io/Logging_NORRTALJE/tillsyn/A 50854-2022.docx", "A 50854-2022")</f>
        <v/>
      </c>
      <c r="Y331">
        <f>HYPERLINK("https://klasma.github.io/Logging_NORRTALJE/tillsynsmail/A 50854-2022.docx", "A 50854-2022")</f>
        <v/>
      </c>
    </row>
    <row r="332" ht="15" customHeight="1">
      <c r="A332" t="inlineStr">
        <is>
          <t>A 51189-2022</t>
        </is>
      </c>
      <c r="B332" s="1" t="n">
        <v>44865</v>
      </c>
      <c r="C332" s="1" t="n">
        <v>45186</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 "A 51189-2022")</f>
        <v/>
      </c>
      <c r="T332">
        <f>HYPERLINK("https://klasma.github.io/Logging_SIGTUNA/kartor/A 51189-2022.png", "A 51189-2022")</f>
        <v/>
      </c>
      <c r="V332">
        <f>HYPERLINK("https://klasma.github.io/Logging_SIGTUNA/klagomål/A 51189-2022.docx", "A 51189-2022")</f>
        <v/>
      </c>
      <c r="W332">
        <f>HYPERLINK("https://klasma.github.io/Logging_SIGTUNA/klagomålsmail/A 51189-2022.docx", "A 51189-2022")</f>
        <v/>
      </c>
      <c r="X332">
        <f>HYPERLINK("https://klasma.github.io/Logging_SIGTUNA/tillsyn/A 51189-2022.docx", "A 51189-2022")</f>
        <v/>
      </c>
      <c r="Y332">
        <f>HYPERLINK("https://klasma.github.io/Logging_SIGTUNA/tillsynsmail/A 51189-2022.docx", "A 51189-2022")</f>
        <v/>
      </c>
    </row>
    <row r="333" ht="15" customHeight="1">
      <c r="A333" t="inlineStr">
        <is>
          <t>A 61732-2022</t>
        </is>
      </c>
      <c r="B333" s="1" t="n">
        <v>44917</v>
      </c>
      <c r="C333" s="1" t="n">
        <v>45186</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 "A 61732-2022")</f>
        <v/>
      </c>
      <c r="T333">
        <f>HYPERLINK("https://klasma.github.io/Logging_OSTERAKER/kartor/A 61732-2022.png", "A 61732-2022")</f>
        <v/>
      </c>
      <c r="V333">
        <f>HYPERLINK("https://klasma.github.io/Logging_OSTERAKER/klagomål/A 61732-2022.docx", "A 61732-2022")</f>
        <v/>
      </c>
      <c r="W333">
        <f>HYPERLINK("https://klasma.github.io/Logging_OSTERAKER/klagomålsmail/A 61732-2022.docx", "A 61732-2022")</f>
        <v/>
      </c>
      <c r="X333">
        <f>HYPERLINK("https://klasma.github.io/Logging_OSTERAKER/tillsyn/A 61732-2022.docx", "A 61732-2022")</f>
        <v/>
      </c>
      <c r="Y333">
        <f>HYPERLINK("https://klasma.github.io/Logging_OSTERAKER/tillsynsmail/A 61732-2022.docx", "A 61732-2022")</f>
        <v/>
      </c>
    </row>
    <row r="334" ht="15" customHeight="1">
      <c r="A334" t="inlineStr">
        <is>
          <t>A 1691-2023</t>
        </is>
      </c>
      <c r="B334" s="1" t="n">
        <v>44938</v>
      </c>
      <c r="C334" s="1" t="n">
        <v>45186</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 "A 1691-2023")</f>
        <v/>
      </c>
      <c r="T334">
        <f>HYPERLINK("https://klasma.github.io/Logging_BOTKYRKA/kartor/A 1691-2023.png", "A 1691-2023")</f>
        <v/>
      </c>
      <c r="V334">
        <f>HYPERLINK("https://klasma.github.io/Logging_BOTKYRKA/klagomål/A 1691-2023.docx", "A 1691-2023")</f>
        <v/>
      </c>
      <c r="W334">
        <f>HYPERLINK("https://klasma.github.io/Logging_BOTKYRKA/klagomålsmail/A 1691-2023.docx", "A 1691-2023")</f>
        <v/>
      </c>
      <c r="X334">
        <f>HYPERLINK("https://klasma.github.io/Logging_BOTKYRKA/tillsyn/A 1691-2023.docx", "A 1691-2023")</f>
        <v/>
      </c>
      <c r="Y334">
        <f>HYPERLINK("https://klasma.github.io/Logging_BOTKYRKA/tillsynsmail/A 1691-2023.docx", "A 1691-2023")</f>
        <v/>
      </c>
    </row>
    <row r="335" ht="15" customHeight="1">
      <c r="A335" t="inlineStr">
        <is>
          <t>A 2987-2023</t>
        </is>
      </c>
      <c r="B335" s="1" t="n">
        <v>44945</v>
      </c>
      <c r="C335" s="1" t="n">
        <v>45186</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 "A 2987-2023")</f>
        <v/>
      </c>
      <c r="T335">
        <f>HYPERLINK("https://klasma.github.io/Logging_SALEM/kartor/A 2987-2023.png", "A 2987-2023")</f>
        <v/>
      </c>
      <c r="V335">
        <f>HYPERLINK("https://klasma.github.io/Logging_SALEM/klagomål/A 2987-2023.docx", "A 2987-2023")</f>
        <v/>
      </c>
      <c r="W335">
        <f>HYPERLINK("https://klasma.github.io/Logging_SALEM/klagomålsmail/A 2987-2023.docx", "A 2987-2023")</f>
        <v/>
      </c>
      <c r="X335">
        <f>HYPERLINK("https://klasma.github.io/Logging_SALEM/tillsyn/A 2987-2023.docx", "A 2987-2023")</f>
        <v/>
      </c>
      <c r="Y335">
        <f>HYPERLINK("https://klasma.github.io/Logging_SALEM/tillsynsmail/A 2987-2023.docx", "A 2987-2023")</f>
        <v/>
      </c>
    </row>
    <row r="336" ht="15" customHeight="1">
      <c r="A336" t="inlineStr">
        <is>
          <t>A 3919-2023</t>
        </is>
      </c>
      <c r="B336" s="1" t="n">
        <v>44952</v>
      </c>
      <c r="C336" s="1" t="n">
        <v>45186</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 "A 3919-2023")</f>
        <v/>
      </c>
      <c r="T336">
        <f>HYPERLINK("https://klasma.github.io/Logging_OSTERAKER/kartor/A 3919-2023.png", "A 3919-2023")</f>
        <v/>
      </c>
      <c r="V336">
        <f>HYPERLINK("https://klasma.github.io/Logging_OSTERAKER/klagomål/A 3919-2023.docx", "A 3919-2023")</f>
        <v/>
      </c>
      <c r="W336">
        <f>HYPERLINK("https://klasma.github.io/Logging_OSTERAKER/klagomålsmail/A 3919-2023.docx", "A 3919-2023")</f>
        <v/>
      </c>
      <c r="X336">
        <f>HYPERLINK("https://klasma.github.io/Logging_OSTERAKER/tillsyn/A 3919-2023.docx", "A 3919-2023")</f>
        <v/>
      </c>
      <c r="Y336">
        <f>HYPERLINK("https://klasma.github.io/Logging_OSTERAKER/tillsynsmail/A 3919-2023.docx", "A 3919-2023")</f>
        <v/>
      </c>
    </row>
    <row r="337" ht="15" customHeight="1">
      <c r="A337" t="inlineStr">
        <is>
          <t>A 4595-2023</t>
        </is>
      </c>
      <c r="B337" s="1" t="n">
        <v>44956</v>
      </c>
      <c r="C337" s="1" t="n">
        <v>45186</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 "A 4595-2023")</f>
        <v/>
      </c>
      <c r="T337">
        <f>HYPERLINK("https://klasma.github.io/Logging_NORRTALJE/kartor/A 4595-2023.png", "A 4595-2023")</f>
        <v/>
      </c>
      <c r="V337">
        <f>HYPERLINK("https://klasma.github.io/Logging_NORRTALJE/klagomål/A 4595-2023.docx", "A 4595-2023")</f>
        <v/>
      </c>
      <c r="W337">
        <f>HYPERLINK("https://klasma.github.io/Logging_NORRTALJE/klagomålsmail/A 4595-2023.docx", "A 4595-2023")</f>
        <v/>
      </c>
      <c r="X337">
        <f>HYPERLINK("https://klasma.github.io/Logging_NORRTALJE/tillsyn/A 4595-2023.docx", "A 4595-2023")</f>
        <v/>
      </c>
      <c r="Y337">
        <f>HYPERLINK("https://klasma.github.io/Logging_NORRTALJE/tillsynsmail/A 4595-2023.docx", "A 4595-2023")</f>
        <v/>
      </c>
    </row>
    <row r="338" ht="15" customHeight="1">
      <c r="A338" t="inlineStr">
        <is>
          <t>A 5574-2023</t>
        </is>
      </c>
      <c r="B338" s="1" t="n">
        <v>44960</v>
      </c>
      <c r="C338" s="1" t="n">
        <v>45186</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 "A 5574-2023")</f>
        <v/>
      </c>
      <c r="T338">
        <f>HYPERLINK("https://klasma.github.io/Logging_BOTKYRKA/kartor/A 5574-2023.png", "A 5574-2023")</f>
        <v/>
      </c>
      <c r="V338">
        <f>HYPERLINK("https://klasma.github.io/Logging_BOTKYRKA/klagomål/A 5574-2023.docx", "A 5574-2023")</f>
        <v/>
      </c>
      <c r="W338">
        <f>HYPERLINK("https://klasma.github.io/Logging_BOTKYRKA/klagomålsmail/A 5574-2023.docx", "A 5574-2023")</f>
        <v/>
      </c>
      <c r="X338">
        <f>HYPERLINK("https://klasma.github.io/Logging_BOTKYRKA/tillsyn/A 5574-2023.docx", "A 5574-2023")</f>
        <v/>
      </c>
      <c r="Y338">
        <f>HYPERLINK("https://klasma.github.io/Logging_BOTKYRKA/tillsynsmail/A 5574-2023.docx", "A 5574-2023")</f>
        <v/>
      </c>
    </row>
    <row r="339" ht="15" customHeight="1">
      <c r="A339" t="inlineStr">
        <is>
          <t>A 6435-2023</t>
        </is>
      </c>
      <c r="B339" s="1" t="n">
        <v>44965</v>
      </c>
      <c r="C339" s="1" t="n">
        <v>45186</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 "A 6435-2023")</f>
        <v/>
      </c>
      <c r="T339">
        <f>HYPERLINK("https://klasma.github.io/Logging_NYNASHAMN/kartor/A 6435-2023.png", "A 6435-2023")</f>
        <v/>
      </c>
      <c r="V339">
        <f>HYPERLINK("https://klasma.github.io/Logging_NYNASHAMN/klagomål/A 6435-2023.docx", "A 6435-2023")</f>
        <v/>
      </c>
      <c r="W339">
        <f>HYPERLINK("https://klasma.github.io/Logging_NYNASHAMN/klagomålsmail/A 6435-2023.docx", "A 6435-2023")</f>
        <v/>
      </c>
      <c r="X339">
        <f>HYPERLINK("https://klasma.github.io/Logging_NYNASHAMN/tillsyn/A 6435-2023.docx", "A 6435-2023")</f>
        <v/>
      </c>
      <c r="Y339">
        <f>HYPERLINK("https://klasma.github.io/Logging_NYNASHAMN/tillsynsmail/A 6435-2023.docx", "A 6435-2023")</f>
        <v/>
      </c>
    </row>
    <row r="340" ht="15" customHeight="1">
      <c r="A340" t="inlineStr">
        <is>
          <t>A 6381-2023</t>
        </is>
      </c>
      <c r="B340" s="1" t="n">
        <v>44965</v>
      </c>
      <c r="C340" s="1" t="n">
        <v>45186</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 "A 6381-2023")</f>
        <v/>
      </c>
      <c r="T340">
        <f>HYPERLINK("https://klasma.github.io/Logging_NORRTALJE/kartor/A 6381-2023.png", "A 6381-2023")</f>
        <v/>
      </c>
      <c r="V340">
        <f>HYPERLINK("https://klasma.github.io/Logging_NORRTALJE/klagomål/A 6381-2023.docx", "A 6381-2023")</f>
        <v/>
      </c>
      <c r="W340">
        <f>HYPERLINK("https://klasma.github.io/Logging_NORRTALJE/klagomålsmail/A 6381-2023.docx", "A 6381-2023")</f>
        <v/>
      </c>
      <c r="X340">
        <f>HYPERLINK("https://klasma.github.io/Logging_NORRTALJE/tillsyn/A 6381-2023.docx", "A 6381-2023")</f>
        <v/>
      </c>
      <c r="Y340">
        <f>HYPERLINK("https://klasma.github.io/Logging_NORRTALJE/tillsynsmail/A 6381-2023.docx", "A 6381-2023")</f>
        <v/>
      </c>
    </row>
    <row r="341" ht="15" customHeight="1">
      <c r="A341" t="inlineStr">
        <is>
          <t>A 7540-2023</t>
        </is>
      </c>
      <c r="B341" s="1" t="n">
        <v>44972</v>
      </c>
      <c r="C341" s="1" t="n">
        <v>45186</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 "A 7540-2023")</f>
        <v/>
      </c>
      <c r="T341">
        <f>HYPERLINK("https://klasma.github.io/Logging_NYNASHAMN/kartor/A 7540-2023.png", "A 7540-2023")</f>
        <v/>
      </c>
      <c r="V341">
        <f>HYPERLINK("https://klasma.github.io/Logging_NYNASHAMN/klagomål/A 7540-2023.docx", "A 7540-2023")</f>
        <v/>
      </c>
      <c r="W341">
        <f>HYPERLINK("https://klasma.github.io/Logging_NYNASHAMN/klagomålsmail/A 7540-2023.docx", "A 7540-2023")</f>
        <v/>
      </c>
      <c r="X341">
        <f>HYPERLINK("https://klasma.github.io/Logging_NYNASHAMN/tillsyn/A 7540-2023.docx", "A 7540-2023")</f>
        <v/>
      </c>
      <c r="Y341">
        <f>HYPERLINK("https://klasma.github.io/Logging_NYNASHAMN/tillsynsmail/A 7540-2023.docx", "A 7540-2023")</f>
        <v/>
      </c>
    </row>
    <row r="342" ht="15" customHeight="1">
      <c r="A342" t="inlineStr">
        <is>
          <t>A 7890-2023</t>
        </is>
      </c>
      <c r="B342" s="1" t="n">
        <v>44973</v>
      </c>
      <c r="C342" s="1" t="n">
        <v>45186</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 "A 7890-2023")</f>
        <v/>
      </c>
      <c r="T342">
        <f>HYPERLINK("https://klasma.github.io/Logging_VALLENTUNA/kartor/A 7890-2023.png", "A 7890-2023")</f>
        <v/>
      </c>
      <c r="V342">
        <f>HYPERLINK("https://klasma.github.io/Logging_VALLENTUNA/klagomål/A 7890-2023.docx", "A 7890-2023")</f>
        <v/>
      </c>
      <c r="W342">
        <f>HYPERLINK("https://klasma.github.io/Logging_VALLENTUNA/klagomålsmail/A 7890-2023.docx", "A 7890-2023")</f>
        <v/>
      </c>
      <c r="X342">
        <f>HYPERLINK("https://klasma.github.io/Logging_VALLENTUNA/tillsyn/A 7890-2023.docx", "A 7890-2023")</f>
        <v/>
      </c>
      <c r="Y342">
        <f>HYPERLINK("https://klasma.github.io/Logging_VALLENTUNA/tillsynsmail/A 7890-2023.docx", "A 7890-2023")</f>
        <v/>
      </c>
    </row>
    <row r="343" ht="15" customHeight="1">
      <c r="A343" t="inlineStr">
        <is>
          <t>A 7955-2023</t>
        </is>
      </c>
      <c r="B343" s="1" t="n">
        <v>44973</v>
      </c>
      <c r="C343" s="1" t="n">
        <v>45186</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 "A 7955-2023")</f>
        <v/>
      </c>
      <c r="T343">
        <f>HYPERLINK("https://klasma.github.io/Logging_UPPLANDS-BRO/kartor/A 7955-2023.png", "A 7955-2023")</f>
        <v/>
      </c>
      <c r="V343">
        <f>HYPERLINK("https://klasma.github.io/Logging_UPPLANDS-BRO/klagomål/A 7955-2023.docx", "A 7955-2023")</f>
        <v/>
      </c>
      <c r="W343">
        <f>HYPERLINK("https://klasma.github.io/Logging_UPPLANDS-BRO/klagomålsmail/A 7955-2023.docx", "A 7955-2023")</f>
        <v/>
      </c>
      <c r="X343">
        <f>HYPERLINK("https://klasma.github.io/Logging_UPPLANDS-BRO/tillsyn/A 7955-2023.docx", "A 7955-2023")</f>
        <v/>
      </c>
      <c r="Y343">
        <f>HYPERLINK("https://klasma.github.io/Logging_UPPLANDS-BRO/tillsynsmail/A 7955-2023.docx", "A 7955-2023")</f>
        <v/>
      </c>
    </row>
    <row r="344" ht="15" customHeight="1">
      <c r="A344" t="inlineStr">
        <is>
          <t>A 8149-2023</t>
        </is>
      </c>
      <c r="B344" s="1" t="n">
        <v>44974</v>
      </c>
      <c r="C344" s="1" t="n">
        <v>45186</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 "A 8149-2023")</f>
        <v/>
      </c>
      <c r="T344">
        <f>HYPERLINK("https://klasma.github.io/Logging_SIGTUNA/kartor/A 8149-2023.png", "A 8149-2023")</f>
        <v/>
      </c>
      <c r="V344">
        <f>HYPERLINK("https://klasma.github.io/Logging_SIGTUNA/klagomål/A 8149-2023.docx", "A 8149-2023")</f>
        <v/>
      </c>
      <c r="W344">
        <f>HYPERLINK("https://klasma.github.io/Logging_SIGTUNA/klagomålsmail/A 8149-2023.docx", "A 8149-2023")</f>
        <v/>
      </c>
      <c r="X344">
        <f>HYPERLINK("https://klasma.github.io/Logging_SIGTUNA/tillsyn/A 8149-2023.docx", "A 8149-2023")</f>
        <v/>
      </c>
      <c r="Y344">
        <f>HYPERLINK("https://klasma.github.io/Logging_SIGTUNA/tillsynsmail/A 8149-2023.docx", "A 8149-2023")</f>
        <v/>
      </c>
    </row>
    <row r="345" ht="15" customHeight="1">
      <c r="A345" t="inlineStr">
        <is>
          <t>A 9214-2023</t>
        </is>
      </c>
      <c r="B345" s="1" t="n">
        <v>44980</v>
      </c>
      <c r="C345" s="1" t="n">
        <v>45186</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 "A 9214-2023")</f>
        <v/>
      </c>
      <c r="T345">
        <f>HYPERLINK("https://klasma.github.io/Logging_NORRTALJE/kartor/A 9214-2023.png", "A 9214-2023")</f>
        <v/>
      </c>
      <c r="V345">
        <f>HYPERLINK("https://klasma.github.io/Logging_NORRTALJE/klagomål/A 9214-2023.docx", "A 9214-2023")</f>
        <v/>
      </c>
      <c r="W345">
        <f>HYPERLINK("https://klasma.github.io/Logging_NORRTALJE/klagomålsmail/A 9214-2023.docx", "A 9214-2023")</f>
        <v/>
      </c>
      <c r="X345">
        <f>HYPERLINK("https://klasma.github.io/Logging_NORRTALJE/tillsyn/A 9214-2023.docx", "A 9214-2023")</f>
        <v/>
      </c>
      <c r="Y345">
        <f>HYPERLINK("https://klasma.github.io/Logging_NORRTALJE/tillsynsmail/A 9214-2023.docx", "A 9214-2023")</f>
        <v/>
      </c>
    </row>
    <row r="346" ht="15" customHeight="1">
      <c r="A346" t="inlineStr">
        <is>
          <t>A 9268-2023</t>
        </is>
      </c>
      <c r="B346" s="1" t="n">
        <v>44980</v>
      </c>
      <c r="C346" s="1" t="n">
        <v>45186</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 "A 9268-2023")</f>
        <v/>
      </c>
      <c r="T346">
        <f>HYPERLINK("https://klasma.github.io/Logging_NYNASHAMN/kartor/A 9268-2023.png", "A 9268-2023")</f>
        <v/>
      </c>
      <c r="V346">
        <f>HYPERLINK("https://klasma.github.io/Logging_NYNASHAMN/klagomål/A 9268-2023.docx", "A 9268-2023")</f>
        <v/>
      </c>
      <c r="W346">
        <f>HYPERLINK("https://klasma.github.io/Logging_NYNASHAMN/klagomålsmail/A 9268-2023.docx", "A 9268-2023")</f>
        <v/>
      </c>
      <c r="X346">
        <f>HYPERLINK("https://klasma.github.io/Logging_NYNASHAMN/tillsyn/A 9268-2023.docx", "A 9268-2023")</f>
        <v/>
      </c>
      <c r="Y346">
        <f>HYPERLINK("https://klasma.github.io/Logging_NYNASHAMN/tillsynsmail/A 9268-2023.docx", "A 9268-2023")</f>
        <v/>
      </c>
    </row>
    <row r="347" ht="15" customHeight="1">
      <c r="A347" t="inlineStr">
        <is>
          <t>A 9271-2023</t>
        </is>
      </c>
      <c r="B347" s="1" t="n">
        <v>44980</v>
      </c>
      <c r="C347" s="1" t="n">
        <v>45186</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 "A 9271-2023")</f>
        <v/>
      </c>
      <c r="T347">
        <f>HYPERLINK("https://klasma.github.io/Logging_NORRTALJE/kartor/A 9271-2023.png", "A 9271-2023")</f>
        <v/>
      </c>
      <c r="V347">
        <f>HYPERLINK("https://klasma.github.io/Logging_NORRTALJE/klagomål/A 9271-2023.docx", "A 9271-2023")</f>
        <v/>
      </c>
      <c r="W347">
        <f>HYPERLINK("https://klasma.github.io/Logging_NORRTALJE/klagomålsmail/A 9271-2023.docx", "A 9271-2023")</f>
        <v/>
      </c>
      <c r="X347">
        <f>HYPERLINK("https://klasma.github.io/Logging_NORRTALJE/tillsyn/A 9271-2023.docx", "A 9271-2023")</f>
        <v/>
      </c>
      <c r="Y347">
        <f>HYPERLINK("https://klasma.github.io/Logging_NORRTALJE/tillsynsmail/A 9271-2023.docx", "A 9271-2023")</f>
        <v/>
      </c>
    </row>
    <row r="348" ht="15" customHeight="1">
      <c r="A348" t="inlineStr">
        <is>
          <t>A 9522-2023</t>
        </is>
      </c>
      <c r="B348" s="1" t="n">
        <v>44981</v>
      </c>
      <c r="C348" s="1" t="n">
        <v>45186</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 "A 9522-2023")</f>
        <v/>
      </c>
      <c r="T348">
        <f>HYPERLINK("https://klasma.github.io/Logging_NORRTALJE/kartor/A 9522-2023.png", "A 9522-2023")</f>
        <v/>
      </c>
      <c r="V348">
        <f>HYPERLINK("https://klasma.github.io/Logging_NORRTALJE/klagomål/A 9522-2023.docx", "A 9522-2023")</f>
        <v/>
      </c>
      <c r="W348">
        <f>HYPERLINK("https://klasma.github.io/Logging_NORRTALJE/klagomålsmail/A 9522-2023.docx", "A 9522-2023")</f>
        <v/>
      </c>
      <c r="X348">
        <f>HYPERLINK("https://klasma.github.io/Logging_NORRTALJE/tillsyn/A 9522-2023.docx", "A 9522-2023")</f>
        <v/>
      </c>
      <c r="Y348">
        <f>HYPERLINK("https://klasma.github.io/Logging_NORRTALJE/tillsynsmail/A 9522-2023.docx", "A 9522-2023")</f>
        <v/>
      </c>
    </row>
    <row r="349" ht="15" customHeight="1">
      <c r="A349" t="inlineStr">
        <is>
          <t>A 11244-2023</t>
        </is>
      </c>
      <c r="B349" s="1" t="n">
        <v>44992</v>
      </c>
      <c r="C349" s="1" t="n">
        <v>45186</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 "A 11244-2023")</f>
        <v/>
      </c>
      <c r="T349">
        <f>HYPERLINK("https://klasma.github.io/Logging_VALLENTUNA/kartor/A 11244-2023.png", "A 11244-2023")</f>
        <v/>
      </c>
      <c r="V349">
        <f>HYPERLINK("https://klasma.github.io/Logging_VALLENTUNA/klagomål/A 11244-2023.docx", "A 11244-2023")</f>
        <v/>
      </c>
      <c r="W349">
        <f>HYPERLINK("https://klasma.github.io/Logging_VALLENTUNA/klagomålsmail/A 11244-2023.docx", "A 11244-2023")</f>
        <v/>
      </c>
      <c r="X349">
        <f>HYPERLINK("https://klasma.github.io/Logging_VALLENTUNA/tillsyn/A 11244-2023.docx", "A 11244-2023")</f>
        <v/>
      </c>
      <c r="Y349">
        <f>HYPERLINK("https://klasma.github.io/Logging_VALLENTUNA/tillsynsmail/A 11244-2023.docx", "A 11244-2023")</f>
        <v/>
      </c>
    </row>
    <row r="350" ht="15" customHeight="1">
      <c r="A350" t="inlineStr">
        <is>
          <t>A 11429-2023</t>
        </is>
      </c>
      <c r="B350" s="1" t="n">
        <v>44993</v>
      </c>
      <c r="C350" s="1" t="n">
        <v>45186</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 "A 11429-2023")</f>
        <v/>
      </c>
      <c r="T350">
        <f>HYPERLINK("https://klasma.github.io/Logging_NORRTALJE/kartor/A 11429-2023.png", "A 11429-2023")</f>
        <v/>
      </c>
      <c r="V350">
        <f>HYPERLINK("https://klasma.github.io/Logging_NORRTALJE/klagomål/A 11429-2023.docx", "A 11429-2023")</f>
        <v/>
      </c>
      <c r="W350">
        <f>HYPERLINK("https://klasma.github.io/Logging_NORRTALJE/klagomålsmail/A 11429-2023.docx", "A 11429-2023")</f>
        <v/>
      </c>
      <c r="X350">
        <f>HYPERLINK("https://klasma.github.io/Logging_NORRTALJE/tillsyn/A 11429-2023.docx", "A 11429-2023")</f>
        <v/>
      </c>
      <c r="Y350">
        <f>HYPERLINK("https://klasma.github.io/Logging_NORRTALJE/tillsynsmail/A 11429-2023.docx", "A 11429-2023")</f>
        <v/>
      </c>
    </row>
    <row r="351" ht="15" customHeight="1">
      <c r="A351" t="inlineStr">
        <is>
          <t>A 13794-2023</t>
        </is>
      </c>
      <c r="B351" s="1" t="n">
        <v>45007</v>
      </c>
      <c r="C351" s="1" t="n">
        <v>45186</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 "A 13794-2023")</f>
        <v/>
      </c>
      <c r="T351">
        <f>HYPERLINK("https://klasma.github.io/Logging_EKERO/kartor/A 13794-2023.png", "A 13794-2023")</f>
        <v/>
      </c>
      <c r="V351">
        <f>HYPERLINK("https://klasma.github.io/Logging_EKERO/klagomål/A 13794-2023.docx", "A 13794-2023")</f>
        <v/>
      </c>
      <c r="W351">
        <f>HYPERLINK("https://klasma.github.io/Logging_EKERO/klagomålsmail/A 13794-2023.docx", "A 13794-2023")</f>
        <v/>
      </c>
      <c r="X351">
        <f>HYPERLINK("https://klasma.github.io/Logging_EKERO/tillsyn/A 13794-2023.docx", "A 13794-2023")</f>
        <v/>
      </c>
      <c r="Y351">
        <f>HYPERLINK("https://klasma.github.io/Logging_EKERO/tillsynsmail/A 13794-2023.docx", "A 13794-2023")</f>
        <v/>
      </c>
    </row>
    <row r="352" ht="15" customHeight="1">
      <c r="A352" t="inlineStr">
        <is>
          <t>A 15644-2023</t>
        </is>
      </c>
      <c r="B352" s="1" t="n">
        <v>45021</v>
      </c>
      <c r="C352" s="1" t="n">
        <v>45186</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 "A 15644-2023")</f>
        <v/>
      </c>
      <c r="T352">
        <f>HYPERLINK("https://klasma.github.io/Logging_NORRTALJE/kartor/A 15644-2023.png", "A 15644-2023")</f>
        <v/>
      </c>
      <c r="V352">
        <f>HYPERLINK("https://klasma.github.io/Logging_NORRTALJE/klagomål/A 15644-2023.docx", "A 15644-2023")</f>
        <v/>
      </c>
      <c r="W352">
        <f>HYPERLINK("https://klasma.github.io/Logging_NORRTALJE/klagomålsmail/A 15644-2023.docx", "A 15644-2023")</f>
        <v/>
      </c>
      <c r="X352">
        <f>HYPERLINK("https://klasma.github.io/Logging_NORRTALJE/tillsyn/A 15644-2023.docx", "A 15644-2023")</f>
        <v/>
      </c>
      <c r="Y352">
        <f>HYPERLINK("https://klasma.github.io/Logging_NORRTALJE/tillsynsmail/A 15644-2023.docx", "A 15644-2023")</f>
        <v/>
      </c>
    </row>
    <row r="353" ht="15" customHeight="1">
      <c r="A353" t="inlineStr">
        <is>
          <t>A 18216-2023</t>
        </is>
      </c>
      <c r="B353" s="1" t="n">
        <v>45041</v>
      </c>
      <c r="C353" s="1" t="n">
        <v>45186</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 "A 18216-2023")</f>
        <v/>
      </c>
      <c r="T353">
        <f>HYPERLINK("https://klasma.github.io/Logging_NORRTALJE/kartor/A 18216-2023.png", "A 18216-2023")</f>
        <v/>
      </c>
      <c r="V353">
        <f>HYPERLINK("https://klasma.github.io/Logging_NORRTALJE/klagomål/A 18216-2023.docx", "A 18216-2023")</f>
        <v/>
      </c>
      <c r="W353">
        <f>HYPERLINK("https://klasma.github.io/Logging_NORRTALJE/klagomålsmail/A 18216-2023.docx", "A 18216-2023")</f>
        <v/>
      </c>
      <c r="X353">
        <f>HYPERLINK("https://klasma.github.io/Logging_NORRTALJE/tillsyn/A 18216-2023.docx", "A 18216-2023")</f>
        <v/>
      </c>
      <c r="Y353">
        <f>HYPERLINK("https://klasma.github.io/Logging_NORRTALJE/tillsynsmail/A 18216-2023.docx", "A 18216-2023")</f>
        <v/>
      </c>
    </row>
    <row r="354" ht="15" customHeight="1">
      <c r="A354" t="inlineStr">
        <is>
          <t>A 19489-2023</t>
        </is>
      </c>
      <c r="B354" s="1" t="n">
        <v>45050</v>
      </c>
      <c r="C354" s="1" t="n">
        <v>45186</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 "A 19489-2023")</f>
        <v/>
      </c>
      <c r="T354">
        <f>HYPERLINK("https://klasma.github.io/Logging_NYKVARN/kartor/A 19489-2023.png", "A 19489-2023")</f>
        <v/>
      </c>
      <c r="V354">
        <f>HYPERLINK("https://klasma.github.io/Logging_NYKVARN/klagomål/A 19489-2023.docx", "A 19489-2023")</f>
        <v/>
      </c>
      <c r="W354">
        <f>HYPERLINK("https://klasma.github.io/Logging_NYKVARN/klagomålsmail/A 19489-2023.docx", "A 19489-2023")</f>
        <v/>
      </c>
      <c r="X354">
        <f>HYPERLINK("https://klasma.github.io/Logging_NYKVARN/tillsyn/A 19489-2023.docx", "A 19489-2023")</f>
        <v/>
      </c>
      <c r="Y354">
        <f>HYPERLINK("https://klasma.github.io/Logging_NYKVARN/tillsynsmail/A 19489-2023.docx", "A 19489-2023")</f>
        <v/>
      </c>
    </row>
    <row r="355" ht="15" customHeight="1">
      <c r="A355" t="inlineStr">
        <is>
          <t>A 24233-2023</t>
        </is>
      </c>
      <c r="B355" s="1" t="n">
        <v>45076</v>
      </c>
      <c r="C355" s="1" t="n">
        <v>45186</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 "A 24233-2023")</f>
        <v/>
      </c>
      <c r="T355">
        <f>HYPERLINK("https://klasma.github.io/Logging_HUDDINGE/kartor/A 24233-2023.png", "A 24233-2023")</f>
        <v/>
      </c>
      <c r="V355">
        <f>HYPERLINK("https://klasma.github.io/Logging_HUDDINGE/klagomål/A 24233-2023.docx", "A 24233-2023")</f>
        <v/>
      </c>
      <c r="W355">
        <f>HYPERLINK("https://klasma.github.io/Logging_HUDDINGE/klagomålsmail/A 24233-2023.docx", "A 24233-2023")</f>
        <v/>
      </c>
      <c r="X355">
        <f>HYPERLINK("https://klasma.github.io/Logging_HUDDINGE/tillsyn/A 24233-2023.docx", "A 24233-2023")</f>
        <v/>
      </c>
      <c r="Y355">
        <f>HYPERLINK("https://klasma.github.io/Logging_HUDDINGE/tillsynsmail/A 24233-2023.docx", "A 24233-2023")</f>
        <v/>
      </c>
    </row>
    <row r="356" ht="15" customHeight="1">
      <c r="A356" t="inlineStr">
        <is>
          <t>A 23829-2023</t>
        </is>
      </c>
      <c r="B356" s="1" t="n">
        <v>45078</v>
      </c>
      <c r="C356" s="1" t="n">
        <v>45186</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 "A 23829-2023")</f>
        <v/>
      </c>
      <c r="T356">
        <f>HYPERLINK("https://klasma.github.io/Logging_BOTKYRKA/kartor/A 23829-2023.png", "A 23829-2023")</f>
        <v/>
      </c>
      <c r="V356">
        <f>HYPERLINK("https://klasma.github.io/Logging_BOTKYRKA/klagomål/A 23829-2023.docx", "A 23829-2023")</f>
        <v/>
      </c>
      <c r="W356">
        <f>HYPERLINK("https://klasma.github.io/Logging_BOTKYRKA/klagomålsmail/A 23829-2023.docx", "A 23829-2023")</f>
        <v/>
      </c>
      <c r="X356">
        <f>HYPERLINK("https://klasma.github.io/Logging_BOTKYRKA/tillsyn/A 23829-2023.docx", "A 23829-2023")</f>
        <v/>
      </c>
      <c r="Y356">
        <f>HYPERLINK("https://klasma.github.io/Logging_BOTKYRKA/tillsynsmail/A 23829-2023.docx", "A 23829-2023")</f>
        <v/>
      </c>
    </row>
    <row r="357" ht="15" customHeight="1">
      <c r="A357" t="inlineStr">
        <is>
          <t>A 23823-2023</t>
        </is>
      </c>
      <c r="B357" s="1" t="n">
        <v>45078</v>
      </c>
      <c r="C357" s="1" t="n">
        <v>45186</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 "A 23823-2023")</f>
        <v/>
      </c>
      <c r="T357">
        <f>HYPERLINK("https://klasma.github.io/Logging_SALEM/kartor/A 23823-2023.png", "A 23823-2023")</f>
        <v/>
      </c>
      <c r="V357">
        <f>HYPERLINK("https://klasma.github.io/Logging_SALEM/klagomål/A 23823-2023.docx", "A 23823-2023")</f>
        <v/>
      </c>
      <c r="W357">
        <f>HYPERLINK("https://klasma.github.io/Logging_SALEM/klagomålsmail/A 23823-2023.docx", "A 23823-2023")</f>
        <v/>
      </c>
      <c r="X357">
        <f>HYPERLINK("https://klasma.github.io/Logging_SALEM/tillsyn/A 23823-2023.docx", "A 23823-2023")</f>
        <v/>
      </c>
      <c r="Y357">
        <f>HYPERLINK("https://klasma.github.io/Logging_SALEM/tillsynsmail/A 23823-2023.docx", "A 23823-2023")</f>
        <v/>
      </c>
    </row>
    <row r="358" ht="15" customHeight="1">
      <c r="A358" t="inlineStr">
        <is>
          <t>A 24535-2023</t>
        </is>
      </c>
      <c r="B358" s="1" t="n">
        <v>45082</v>
      </c>
      <c r="C358" s="1" t="n">
        <v>45186</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 "A 24535-2023")</f>
        <v/>
      </c>
      <c r="T358">
        <f>HYPERLINK("https://klasma.github.io/Logging_NORRTALJE/kartor/A 24535-2023.png", "A 24535-2023")</f>
        <v/>
      </c>
      <c r="V358">
        <f>HYPERLINK("https://klasma.github.io/Logging_NORRTALJE/klagomål/A 24535-2023.docx", "A 24535-2023")</f>
        <v/>
      </c>
      <c r="W358">
        <f>HYPERLINK("https://klasma.github.io/Logging_NORRTALJE/klagomålsmail/A 24535-2023.docx", "A 24535-2023")</f>
        <v/>
      </c>
      <c r="X358">
        <f>HYPERLINK("https://klasma.github.io/Logging_NORRTALJE/tillsyn/A 24535-2023.docx", "A 24535-2023")</f>
        <v/>
      </c>
      <c r="Y358">
        <f>HYPERLINK("https://klasma.github.io/Logging_NORRTALJE/tillsynsmail/A 24535-2023.docx", "A 24535-2023")</f>
        <v/>
      </c>
    </row>
    <row r="359" ht="15" customHeight="1">
      <c r="A359" t="inlineStr">
        <is>
          <t>A 26635-2023</t>
        </is>
      </c>
      <c r="B359" s="1" t="n">
        <v>45092</v>
      </c>
      <c r="C359" s="1" t="n">
        <v>45186</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 "A 26635-2023")</f>
        <v/>
      </c>
      <c r="T359">
        <f>HYPERLINK("https://klasma.github.io/Logging_NORRTALJE/kartor/A 26635-2023.png", "A 26635-2023")</f>
        <v/>
      </c>
      <c r="V359">
        <f>HYPERLINK("https://klasma.github.io/Logging_NORRTALJE/klagomål/A 26635-2023.docx", "A 26635-2023")</f>
        <v/>
      </c>
      <c r="W359">
        <f>HYPERLINK("https://klasma.github.io/Logging_NORRTALJE/klagomålsmail/A 26635-2023.docx", "A 26635-2023")</f>
        <v/>
      </c>
      <c r="X359">
        <f>HYPERLINK("https://klasma.github.io/Logging_NORRTALJE/tillsyn/A 26635-2023.docx", "A 26635-2023")</f>
        <v/>
      </c>
      <c r="Y359">
        <f>HYPERLINK("https://klasma.github.io/Logging_NORRTALJE/tillsynsmail/A 26635-2023.docx", "A 26635-2023")</f>
        <v/>
      </c>
    </row>
    <row r="360" ht="15" customHeight="1">
      <c r="A360" t="inlineStr">
        <is>
          <t>A 31142-2023</t>
        </is>
      </c>
      <c r="B360" s="1" t="n">
        <v>45113</v>
      </c>
      <c r="C360" s="1" t="n">
        <v>45186</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 "A 31142-2023")</f>
        <v/>
      </c>
      <c r="T360">
        <f>HYPERLINK("https://klasma.github.io/Logging_NYNASHAMN/kartor/A 31142-2023.png", "A 31142-2023")</f>
        <v/>
      </c>
      <c r="V360">
        <f>HYPERLINK("https://klasma.github.io/Logging_NYNASHAMN/klagomål/A 31142-2023.docx", "A 31142-2023")</f>
        <v/>
      </c>
      <c r="W360">
        <f>HYPERLINK("https://klasma.github.io/Logging_NYNASHAMN/klagomålsmail/A 31142-2023.docx", "A 31142-2023")</f>
        <v/>
      </c>
      <c r="X360">
        <f>HYPERLINK("https://klasma.github.io/Logging_NYNASHAMN/tillsyn/A 31142-2023.docx", "A 31142-2023")</f>
        <v/>
      </c>
      <c r="Y360">
        <f>HYPERLINK("https://klasma.github.io/Logging_NYNASHAMN/tillsynsmail/A 31142-2023.docx", "A 31142-2023")</f>
        <v/>
      </c>
    </row>
    <row r="361" ht="15" customHeight="1">
      <c r="A361" t="inlineStr">
        <is>
          <t>A 31828-2023</t>
        </is>
      </c>
      <c r="B361" s="1" t="n">
        <v>45118</v>
      </c>
      <c r="C361" s="1" t="n">
        <v>45186</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 "A 31828-2023")</f>
        <v/>
      </c>
      <c r="T361">
        <f>HYPERLINK("https://klasma.github.io/Logging_NYNASHAMN/kartor/A 31828-2023.png", "A 31828-2023")</f>
        <v/>
      </c>
      <c r="V361">
        <f>HYPERLINK("https://klasma.github.io/Logging_NYNASHAMN/klagomål/A 31828-2023.docx", "A 31828-2023")</f>
        <v/>
      </c>
      <c r="W361">
        <f>HYPERLINK("https://klasma.github.io/Logging_NYNASHAMN/klagomålsmail/A 31828-2023.docx", "A 31828-2023")</f>
        <v/>
      </c>
      <c r="X361">
        <f>HYPERLINK("https://klasma.github.io/Logging_NYNASHAMN/tillsyn/A 31828-2023.docx", "A 31828-2023")</f>
        <v/>
      </c>
      <c r="Y361">
        <f>HYPERLINK("https://klasma.github.io/Logging_NYNASHAMN/tillsynsmail/A 31828-2023.docx", "A 31828-2023")</f>
        <v/>
      </c>
    </row>
    <row r="362" ht="15" customHeight="1">
      <c r="A362" t="inlineStr">
        <is>
          <t>A 33528-2023</t>
        </is>
      </c>
      <c r="B362" s="1" t="n">
        <v>45131</v>
      </c>
      <c r="C362" s="1" t="n">
        <v>45186</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 "A 33528-2023")</f>
        <v/>
      </c>
      <c r="T362">
        <f>HYPERLINK("https://klasma.github.io/Logging_NYNASHAMN/kartor/A 33528-2023.png", "A 33528-2023")</f>
        <v/>
      </c>
      <c r="V362">
        <f>HYPERLINK("https://klasma.github.io/Logging_NYNASHAMN/klagomål/A 33528-2023.docx", "A 33528-2023")</f>
        <v/>
      </c>
      <c r="W362">
        <f>HYPERLINK("https://klasma.github.io/Logging_NYNASHAMN/klagomålsmail/A 33528-2023.docx", "A 33528-2023")</f>
        <v/>
      </c>
      <c r="X362">
        <f>HYPERLINK("https://klasma.github.io/Logging_NYNASHAMN/tillsyn/A 33528-2023.docx", "A 33528-2023")</f>
        <v/>
      </c>
      <c r="Y362">
        <f>HYPERLINK("https://klasma.github.io/Logging_NYNASHAMN/tillsynsmail/A 33528-2023.docx", "A 33528-2023")</f>
        <v/>
      </c>
    </row>
    <row r="363" ht="15" customHeight="1">
      <c r="A363" t="inlineStr">
        <is>
          <t>A 35155-2023</t>
        </is>
      </c>
      <c r="B363" s="1" t="n">
        <v>45145</v>
      </c>
      <c r="C363" s="1" t="n">
        <v>45186</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 "A 35155-2023")</f>
        <v/>
      </c>
      <c r="T363">
        <f>HYPERLINK("https://klasma.github.io/Logging_SODERTALJE/kartor/A 35155-2023.png", "A 35155-2023")</f>
        <v/>
      </c>
      <c r="V363">
        <f>HYPERLINK("https://klasma.github.io/Logging_SODERTALJE/klagomål/A 35155-2023.docx", "A 35155-2023")</f>
        <v/>
      </c>
      <c r="W363">
        <f>HYPERLINK("https://klasma.github.io/Logging_SODERTALJE/klagomålsmail/A 35155-2023.docx", "A 35155-2023")</f>
        <v/>
      </c>
      <c r="X363">
        <f>HYPERLINK("https://klasma.github.io/Logging_SODERTALJE/tillsyn/A 35155-2023.docx", "A 35155-2023")</f>
        <v/>
      </c>
      <c r="Y363">
        <f>HYPERLINK("https://klasma.github.io/Logging_SODERTALJE/tillsynsmail/A 35155-2023.docx", "A 35155-2023")</f>
        <v/>
      </c>
    </row>
    <row r="364" ht="15" customHeight="1">
      <c r="A364" t="inlineStr">
        <is>
          <t>A 35649-2023</t>
        </is>
      </c>
      <c r="B364" s="1" t="n">
        <v>45146</v>
      </c>
      <c r="C364" s="1" t="n">
        <v>45186</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 "A 35649-2023")</f>
        <v/>
      </c>
      <c r="T364">
        <f>HYPERLINK("https://klasma.github.io/Logging_NORRTALJE/kartor/A 35649-2023.png", "A 35649-2023")</f>
        <v/>
      </c>
      <c r="V364">
        <f>HYPERLINK("https://klasma.github.io/Logging_NORRTALJE/klagomål/A 35649-2023.docx", "A 35649-2023")</f>
        <v/>
      </c>
      <c r="W364">
        <f>HYPERLINK("https://klasma.github.io/Logging_NORRTALJE/klagomålsmail/A 35649-2023.docx", "A 35649-2023")</f>
        <v/>
      </c>
      <c r="X364">
        <f>HYPERLINK("https://klasma.github.io/Logging_NORRTALJE/tillsyn/A 35649-2023.docx", "A 35649-2023")</f>
        <v/>
      </c>
      <c r="Y364">
        <f>HYPERLINK("https://klasma.github.io/Logging_NORRTALJE/tillsynsmail/A 35649-2023.docx", "A 35649-2023")</f>
        <v/>
      </c>
    </row>
    <row r="365" ht="15" customHeight="1">
      <c r="A365" t="inlineStr">
        <is>
          <t>A 38276-2023</t>
        </is>
      </c>
      <c r="B365" s="1" t="n">
        <v>45160</v>
      </c>
      <c r="C365" s="1" t="n">
        <v>45186</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 "A 38276-2023")</f>
        <v/>
      </c>
      <c r="T365">
        <f>HYPERLINK("https://klasma.github.io/Logging_SIGTUNA/kartor/A 38276-2023.png", "A 38276-2023")</f>
        <v/>
      </c>
      <c r="V365">
        <f>HYPERLINK("https://klasma.github.io/Logging_SIGTUNA/klagomål/A 38276-2023.docx", "A 38276-2023")</f>
        <v/>
      </c>
      <c r="W365">
        <f>HYPERLINK("https://klasma.github.io/Logging_SIGTUNA/klagomålsmail/A 38276-2023.docx", "A 38276-2023")</f>
        <v/>
      </c>
      <c r="X365">
        <f>HYPERLINK("https://klasma.github.io/Logging_SIGTUNA/tillsyn/A 38276-2023.docx", "A 38276-2023")</f>
        <v/>
      </c>
      <c r="Y365">
        <f>HYPERLINK("https://klasma.github.io/Logging_SIGTUNA/tillsynsmail/A 38276-2023.docx", "A 38276-2023")</f>
        <v/>
      </c>
    </row>
    <row r="366" ht="15" customHeight="1">
      <c r="A366" t="inlineStr">
        <is>
          <t>A 39613-2023</t>
        </is>
      </c>
      <c r="B366" s="1" t="n">
        <v>45163</v>
      </c>
      <c r="C366" s="1" t="n">
        <v>45186</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 "A 39613-2023")</f>
        <v/>
      </c>
      <c r="T366">
        <f>HYPERLINK("https://klasma.github.io/Logging_SIGTUNA/kartor/A 39613-2023.png", "A 39613-2023")</f>
        <v/>
      </c>
      <c r="V366">
        <f>HYPERLINK("https://klasma.github.io/Logging_SIGTUNA/klagomål/A 39613-2023.docx", "A 39613-2023")</f>
        <v/>
      </c>
      <c r="W366">
        <f>HYPERLINK("https://klasma.github.io/Logging_SIGTUNA/klagomålsmail/A 39613-2023.docx", "A 39613-2023")</f>
        <v/>
      </c>
      <c r="X366">
        <f>HYPERLINK("https://klasma.github.io/Logging_SIGTUNA/tillsyn/A 39613-2023.docx", "A 39613-2023")</f>
        <v/>
      </c>
      <c r="Y366">
        <f>HYPERLINK("https://klasma.github.io/Logging_SIGTUNA/tillsynsmail/A 39613-2023.docx", "A 39613-2023")</f>
        <v/>
      </c>
    </row>
    <row r="367" ht="15" customHeight="1">
      <c r="A367" t="inlineStr">
        <is>
          <t>A 39716-2023</t>
        </is>
      </c>
      <c r="B367" s="1" t="n">
        <v>45166</v>
      </c>
      <c r="C367" s="1" t="n">
        <v>45186</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 "A 39716-2023")</f>
        <v/>
      </c>
      <c r="T367">
        <f>HYPERLINK("https://klasma.github.io/Logging_SIGTUNA/kartor/A 39716-2023.png", "A 39716-2023")</f>
        <v/>
      </c>
      <c r="V367">
        <f>HYPERLINK("https://klasma.github.io/Logging_SIGTUNA/klagomål/A 39716-2023.docx", "A 39716-2023")</f>
        <v/>
      </c>
      <c r="W367">
        <f>HYPERLINK("https://klasma.github.io/Logging_SIGTUNA/klagomålsmail/A 39716-2023.docx", "A 39716-2023")</f>
        <v/>
      </c>
      <c r="X367">
        <f>HYPERLINK("https://klasma.github.io/Logging_SIGTUNA/tillsyn/A 39716-2023.docx", "A 39716-2023")</f>
        <v/>
      </c>
      <c r="Y367">
        <f>HYPERLINK("https://klasma.github.io/Logging_SIGTUNA/tillsynsmail/A 39716-2023.docx", "A 39716-2023")</f>
        <v/>
      </c>
    </row>
    <row r="368" ht="15" customHeight="1">
      <c r="A368" t="inlineStr">
        <is>
          <t>A 43354-2023</t>
        </is>
      </c>
      <c r="B368" s="1" t="n">
        <v>45183</v>
      </c>
      <c r="C368" s="1" t="n">
        <v>45186</v>
      </c>
      <c r="D368" t="inlineStr">
        <is>
          <t>STOCKHOLMS LÄN</t>
        </is>
      </c>
      <c r="E368" t="inlineStr">
        <is>
          <t>NORRTÄLJE</t>
        </is>
      </c>
      <c r="F368" t="inlineStr">
        <is>
          <t>Holmen skog AB</t>
        </is>
      </c>
      <c r="G368" t="n">
        <v>9.9</v>
      </c>
      <c r="H368" t="n">
        <v>0</v>
      </c>
      <c r="I368" t="n">
        <v>1</v>
      </c>
      <c r="J368" t="n">
        <v>0</v>
      </c>
      <c r="K368" t="n">
        <v>0</v>
      </c>
      <c r="L368" t="n">
        <v>0</v>
      </c>
      <c r="M368" t="n">
        <v>0</v>
      </c>
      <c r="N368" t="n">
        <v>0</v>
      </c>
      <c r="O368" t="n">
        <v>0</v>
      </c>
      <c r="P368" t="n">
        <v>0</v>
      </c>
      <c r="Q368" t="n">
        <v>1</v>
      </c>
      <c r="R368" s="2" t="inlineStr">
        <is>
          <t>Tibast</t>
        </is>
      </c>
      <c r="S368">
        <f>HYPERLINK("https://klasma.github.io/Logging_NORRTALJE/artfynd/A 43354-2023.xlsx", "A 43354-2023")</f>
        <v/>
      </c>
      <c r="T368">
        <f>HYPERLINK("https://klasma.github.io/Logging_NORRTALJE/kartor/A 43354-2023.png", "A 43354-2023")</f>
        <v/>
      </c>
      <c r="V368">
        <f>HYPERLINK("https://klasma.github.io/Logging_NORRTALJE/klagomål/A 43354-2023.docx", "A 43354-2023")</f>
        <v/>
      </c>
      <c r="W368">
        <f>HYPERLINK("https://klasma.github.io/Logging_NORRTALJE/klagomålsmail/A 43354-2023.docx", "A 43354-2023")</f>
        <v/>
      </c>
      <c r="X368">
        <f>HYPERLINK("https://klasma.github.io/Logging_NORRTALJE/tillsyn/A 43354-2023.docx", "A 43354-2023")</f>
        <v/>
      </c>
      <c r="Y368">
        <f>HYPERLINK("https://klasma.github.io/Logging_NORRTALJE/tillsynsmail/A 43354-2023.docx", "A 43354-2023")</f>
        <v/>
      </c>
    </row>
    <row r="369" ht="15" customHeight="1">
      <c r="A369" t="inlineStr">
        <is>
          <t>A 34215-2018</t>
        </is>
      </c>
      <c r="B369" s="1" t="n">
        <v>43318</v>
      </c>
      <c r="C369" s="1" t="n">
        <v>45186</v>
      </c>
      <c r="D369" t="inlineStr">
        <is>
          <t>STOCKHOLMS LÄN</t>
        </is>
      </c>
      <c r="E369" t="inlineStr">
        <is>
          <t>NORRTÄLJE</t>
        </is>
      </c>
      <c r="G369" t="n">
        <v>4.1</v>
      </c>
      <c r="H369" t="n">
        <v>0</v>
      </c>
      <c r="I369" t="n">
        <v>0</v>
      </c>
      <c r="J369" t="n">
        <v>0</v>
      </c>
      <c r="K369" t="n">
        <v>0</v>
      </c>
      <c r="L369" t="n">
        <v>0</v>
      </c>
      <c r="M369" t="n">
        <v>0</v>
      </c>
      <c r="N369" t="n">
        <v>0</v>
      </c>
      <c r="O369" t="n">
        <v>0</v>
      </c>
      <c r="P369" t="n">
        <v>0</v>
      </c>
      <c r="Q369" t="n">
        <v>0</v>
      </c>
      <c r="R369" s="2" t="inlineStr"/>
    </row>
    <row r="370" ht="15" customHeight="1">
      <c r="A370" t="inlineStr">
        <is>
          <t>A 41863-2018</t>
        </is>
      </c>
      <c r="B370" s="1" t="n">
        <v>43342</v>
      </c>
      <c r="C370" s="1" t="n">
        <v>45186</v>
      </c>
      <c r="D370" t="inlineStr">
        <is>
          <t>STOCKHOLMS LÄN</t>
        </is>
      </c>
      <c r="E370" t="inlineStr">
        <is>
          <t>VÄRMDÖ</t>
        </is>
      </c>
      <c r="G370" t="n">
        <v>1.2</v>
      </c>
      <c r="H370" t="n">
        <v>0</v>
      </c>
      <c r="I370" t="n">
        <v>0</v>
      </c>
      <c r="J370" t="n">
        <v>0</v>
      </c>
      <c r="K370" t="n">
        <v>0</v>
      </c>
      <c r="L370" t="n">
        <v>0</v>
      </c>
      <c r="M370" t="n">
        <v>0</v>
      </c>
      <c r="N370" t="n">
        <v>0</v>
      </c>
      <c r="O370" t="n">
        <v>0</v>
      </c>
      <c r="P370" t="n">
        <v>0</v>
      </c>
      <c r="Q370" t="n">
        <v>0</v>
      </c>
      <c r="R370" s="2" t="inlineStr"/>
    </row>
    <row r="371" ht="15" customHeight="1">
      <c r="A371" t="inlineStr">
        <is>
          <t>A 40357-2018</t>
        </is>
      </c>
      <c r="B371" s="1" t="n">
        <v>43345</v>
      </c>
      <c r="C371" s="1" t="n">
        <v>45186</v>
      </c>
      <c r="D371" t="inlineStr">
        <is>
          <t>STOCKHOLMS LÄN</t>
        </is>
      </c>
      <c r="E371" t="inlineStr">
        <is>
          <t>NYNÄSHAMN</t>
        </is>
      </c>
      <c r="G371" t="n">
        <v>0.4</v>
      </c>
      <c r="H371" t="n">
        <v>0</v>
      </c>
      <c r="I371" t="n">
        <v>0</v>
      </c>
      <c r="J371" t="n">
        <v>0</v>
      </c>
      <c r="K371" t="n">
        <v>0</v>
      </c>
      <c r="L371" t="n">
        <v>0</v>
      </c>
      <c r="M371" t="n">
        <v>0</v>
      </c>
      <c r="N371" t="n">
        <v>0</v>
      </c>
      <c r="O371" t="n">
        <v>0</v>
      </c>
      <c r="P371" t="n">
        <v>0</v>
      </c>
      <c r="Q371" t="n">
        <v>0</v>
      </c>
      <c r="R371" s="2" t="inlineStr"/>
    </row>
    <row r="372" ht="15" customHeight="1">
      <c r="A372" t="inlineStr">
        <is>
          <t>A 41609-2018</t>
        </is>
      </c>
      <c r="B372" s="1" t="n">
        <v>43349</v>
      </c>
      <c r="C372" s="1" t="n">
        <v>45186</v>
      </c>
      <c r="D372" t="inlineStr">
        <is>
          <t>STOCKHOLMS LÄN</t>
        </is>
      </c>
      <c r="E372" t="inlineStr">
        <is>
          <t>NORRTÄLJE</t>
        </is>
      </c>
      <c r="G372" t="n">
        <v>3</v>
      </c>
      <c r="H372" t="n">
        <v>0</v>
      </c>
      <c r="I372" t="n">
        <v>0</v>
      </c>
      <c r="J372" t="n">
        <v>0</v>
      </c>
      <c r="K372" t="n">
        <v>0</v>
      </c>
      <c r="L372" t="n">
        <v>0</v>
      </c>
      <c r="M372" t="n">
        <v>0</v>
      </c>
      <c r="N372" t="n">
        <v>0</v>
      </c>
      <c r="O372" t="n">
        <v>0</v>
      </c>
      <c r="P372" t="n">
        <v>0</v>
      </c>
      <c r="Q372" t="n">
        <v>0</v>
      </c>
      <c r="R372" s="2" t="inlineStr"/>
    </row>
    <row r="373" ht="15" customHeight="1">
      <c r="A373" t="inlineStr">
        <is>
          <t>A 44575-2018</t>
        </is>
      </c>
      <c r="B373" s="1" t="n">
        <v>43361</v>
      </c>
      <c r="C373" s="1" t="n">
        <v>45186</v>
      </c>
      <c r="D373" t="inlineStr">
        <is>
          <t>STOCKHOLMS LÄN</t>
        </is>
      </c>
      <c r="E373" t="inlineStr">
        <is>
          <t>NORRTÄLJE</t>
        </is>
      </c>
      <c r="G373" t="n">
        <v>9.9</v>
      </c>
      <c r="H373" t="n">
        <v>0</v>
      </c>
      <c r="I373" t="n">
        <v>0</v>
      </c>
      <c r="J373" t="n">
        <v>0</v>
      </c>
      <c r="K373" t="n">
        <v>0</v>
      </c>
      <c r="L373" t="n">
        <v>0</v>
      </c>
      <c r="M373" t="n">
        <v>0</v>
      </c>
      <c r="N373" t="n">
        <v>0</v>
      </c>
      <c r="O373" t="n">
        <v>0</v>
      </c>
      <c r="P373" t="n">
        <v>0</v>
      </c>
      <c r="Q373" t="n">
        <v>0</v>
      </c>
      <c r="R373" s="2" t="inlineStr"/>
    </row>
    <row r="374" ht="15" customHeight="1">
      <c r="A374" t="inlineStr">
        <is>
          <t>A 44554-2018</t>
        </is>
      </c>
      <c r="B374" s="1" t="n">
        <v>43361</v>
      </c>
      <c r="C374" s="1" t="n">
        <v>45186</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54110-2018</t>
        </is>
      </c>
      <c r="B375" s="1" t="n">
        <v>43389</v>
      </c>
      <c r="C375" s="1" t="n">
        <v>45186</v>
      </c>
      <c r="D375" t="inlineStr">
        <is>
          <t>STOCKHOLMS LÄN</t>
        </is>
      </c>
      <c r="E375" t="inlineStr">
        <is>
          <t>ÖSTERÅKER</t>
        </is>
      </c>
      <c r="G375" t="n">
        <v>0.5</v>
      </c>
      <c r="H375" t="n">
        <v>0</v>
      </c>
      <c r="I375" t="n">
        <v>0</v>
      </c>
      <c r="J375" t="n">
        <v>0</v>
      </c>
      <c r="K375" t="n">
        <v>0</v>
      </c>
      <c r="L375" t="n">
        <v>0</v>
      </c>
      <c r="M375" t="n">
        <v>0</v>
      </c>
      <c r="N375" t="n">
        <v>0</v>
      </c>
      <c r="O375" t="n">
        <v>0</v>
      </c>
      <c r="P375" t="n">
        <v>0</v>
      </c>
      <c r="Q375" t="n">
        <v>0</v>
      </c>
      <c r="R375" s="2" t="inlineStr"/>
    </row>
    <row r="376" ht="15" customHeight="1">
      <c r="A376" t="inlineStr">
        <is>
          <t>A 54092-2018</t>
        </is>
      </c>
      <c r="B376" s="1" t="n">
        <v>43389</v>
      </c>
      <c r="C376" s="1" t="n">
        <v>45186</v>
      </c>
      <c r="D376" t="inlineStr">
        <is>
          <t>STOCKHOLMS LÄN</t>
        </is>
      </c>
      <c r="E376" t="inlineStr">
        <is>
          <t>ÖSTERÅKER</t>
        </is>
      </c>
      <c r="G376" t="n">
        <v>0.9</v>
      </c>
      <c r="H376" t="n">
        <v>0</v>
      </c>
      <c r="I376" t="n">
        <v>0</v>
      </c>
      <c r="J376" t="n">
        <v>0</v>
      </c>
      <c r="K376" t="n">
        <v>0</v>
      </c>
      <c r="L376" t="n">
        <v>0</v>
      </c>
      <c r="M376" t="n">
        <v>0</v>
      </c>
      <c r="N376" t="n">
        <v>0</v>
      </c>
      <c r="O376" t="n">
        <v>0</v>
      </c>
      <c r="P376" t="n">
        <v>0</v>
      </c>
      <c r="Q376" t="n">
        <v>0</v>
      </c>
      <c r="R376" s="2" t="inlineStr"/>
    </row>
    <row r="377" ht="15" customHeight="1">
      <c r="A377" t="inlineStr">
        <is>
          <t>A 55516-2018</t>
        </is>
      </c>
      <c r="B377" s="1" t="n">
        <v>43391</v>
      </c>
      <c r="C377" s="1" t="n">
        <v>45186</v>
      </c>
      <c r="D377" t="inlineStr">
        <is>
          <t>STOCKHOLMS LÄN</t>
        </is>
      </c>
      <c r="E377" t="inlineStr">
        <is>
          <t>HANINGE</t>
        </is>
      </c>
      <c r="G377" t="n">
        <v>1.2</v>
      </c>
      <c r="H377" t="n">
        <v>0</v>
      </c>
      <c r="I377" t="n">
        <v>0</v>
      </c>
      <c r="J377" t="n">
        <v>0</v>
      </c>
      <c r="K377" t="n">
        <v>0</v>
      </c>
      <c r="L377" t="n">
        <v>0</v>
      </c>
      <c r="M377" t="n">
        <v>0</v>
      </c>
      <c r="N377" t="n">
        <v>0</v>
      </c>
      <c r="O377" t="n">
        <v>0</v>
      </c>
      <c r="P377" t="n">
        <v>0</v>
      </c>
      <c r="Q377" t="n">
        <v>0</v>
      </c>
      <c r="R377" s="2" t="inlineStr"/>
    </row>
    <row r="378" ht="15" customHeight="1">
      <c r="A378" t="inlineStr">
        <is>
          <t>A 55474-2018</t>
        </is>
      </c>
      <c r="B378" s="1" t="n">
        <v>43391</v>
      </c>
      <c r="C378" s="1" t="n">
        <v>45186</v>
      </c>
      <c r="D378" t="inlineStr">
        <is>
          <t>STOCKHOLMS LÄN</t>
        </is>
      </c>
      <c r="E378" t="inlineStr">
        <is>
          <t>NORRTÄLJE</t>
        </is>
      </c>
      <c r="G378" t="n">
        <v>1.5</v>
      </c>
      <c r="H378" t="n">
        <v>0</v>
      </c>
      <c r="I378" t="n">
        <v>0</v>
      </c>
      <c r="J378" t="n">
        <v>0</v>
      </c>
      <c r="K378" t="n">
        <v>0</v>
      </c>
      <c r="L378" t="n">
        <v>0</v>
      </c>
      <c r="M378" t="n">
        <v>0</v>
      </c>
      <c r="N378" t="n">
        <v>0</v>
      </c>
      <c r="O378" t="n">
        <v>0</v>
      </c>
      <c r="P378" t="n">
        <v>0</v>
      </c>
      <c r="Q378" t="n">
        <v>0</v>
      </c>
      <c r="R378" s="2" t="inlineStr"/>
    </row>
    <row r="379" ht="15" customHeight="1">
      <c r="A379" t="inlineStr">
        <is>
          <t>A 59037-2018</t>
        </is>
      </c>
      <c r="B379" s="1" t="n">
        <v>43402</v>
      </c>
      <c r="C379" s="1" t="n">
        <v>45186</v>
      </c>
      <c r="D379" t="inlineStr">
        <is>
          <t>STOCKHOLMS LÄN</t>
        </is>
      </c>
      <c r="E379" t="inlineStr">
        <is>
          <t>NORRTÄLJE</t>
        </is>
      </c>
      <c r="G379" t="n">
        <v>3.3</v>
      </c>
      <c r="H379" t="n">
        <v>0</v>
      </c>
      <c r="I379" t="n">
        <v>0</v>
      </c>
      <c r="J379" t="n">
        <v>0</v>
      </c>
      <c r="K379" t="n">
        <v>0</v>
      </c>
      <c r="L379" t="n">
        <v>0</v>
      </c>
      <c r="M379" t="n">
        <v>0</v>
      </c>
      <c r="N379" t="n">
        <v>0</v>
      </c>
      <c r="O379" t="n">
        <v>0</v>
      </c>
      <c r="P379" t="n">
        <v>0</v>
      </c>
      <c r="Q379" t="n">
        <v>0</v>
      </c>
      <c r="R379" s="2" t="inlineStr"/>
    </row>
    <row r="380" ht="15" customHeight="1">
      <c r="A380" t="inlineStr">
        <is>
          <t>A 59531-2018</t>
        </is>
      </c>
      <c r="B380" s="1" t="n">
        <v>43404</v>
      </c>
      <c r="C380" s="1" t="n">
        <v>45186</v>
      </c>
      <c r="D380" t="inlineStr">
        <is>
          <t>STOCKHOLMS LÄN</t>
        </is>
      </c>
      <c r="E380" t="inlineStr">
        <is>
          <t>NORRTÄLJE</t>
        </is>
      </c>
      <c r="G380" t="n">
        <v>2</v>
      </c>
      <c r="H380" t="n">
        <v>0</v>
      </c>
      <c r="I380" t="n">
        <v>0</v>
      </c>
      <c r="J380" t="n">
        <v>0</v>
      </c>
      <c r="K380" t="n">
        <v>0</v>
      </c>
      <c r="L380" t="n">
        <v>0</v>
      </c>
      <c r="M380" t="n">
        <v>0</v>
      </c>
      <c r="N380" t="n">
        <v>0</v>
      </c>
      <c r="O380" t="n">
        <v>0</v>
      </c>
      <c r="P380" t="n">
        <v>0</v>
      </c>
      <c r="Q380" t="n">
        <v>0</v>
      </c>
      <c r="R380" s="2" t="inlineStr"/>
    </row>
    <row r="381" ht="15" customHeight="1">
      <c r="A381" t="inlineStr">
        <is>
          <t>A 59257-2018</t>
        </is>
      </c>
      <c r="B381" s="1" t="n">
        <v>43404</v>
      </c>
      <c r="C381" s="1" t="n">
        <v>45186</v>
      </c>
      <c r="D381" t="inlineStr">
        <is>
          <t>STOCKHOLMS LÄN</t>
        </is>
      </c>
      <c r="E381" t="inlineStr">
        <is>
          <t>NORRTÄLJE</t>
        </is>
      </c>
      <c r="G381" t="n">
        <v>6</v>
      </c>
      <c r="H381" t="n">
        <v>0</v>
      </c>
      <c r="I381" t="n">
        <v>0</v>
      </c>
      <c r="J381" t="n">
        <v>0</v>
      </c>
      <c r="K381" t="n">
        <v>0</v>
      </c>
      <c r="L381" t="n">
        <v>0</v>
      </c>
      <c r="M381" t="n">
        <v>0</v>
      </c>
      <c r="N381" t="n">
        <v>0</v>
      </c>
      <c r="O381" t="n">
        <v>0</v>
      </c>
      <c r="P381" t="n">
        <v>0</v>
      </c>
      <c r="Q381" t="n">
        <v>0</v>
      </c>
      <c r="R381" s="2" t="inlineStr"/>
    </row>
    <row r="382" ht="15" customHeight="1">
      <c r="A382" t="inlineStr">
        <is>
          <t>A 59205-2018</t>
        </is>
      </c>
      <c r="B382" s="1" t="n">
        <v>43404</v>
      </c>
      <c r="C382" s="1" t="n">
        <v>45186</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57788-2018</t>
        </is>
      </c>
      <c r="B383" s="1" t="n">
        <v>43405</v>
      </c>
      <c r="C383" s="1" t="n">
        <v>45186</v>
      </c>
      <c r="D383" t="inlineStr">
        <is>
          <t>STOCKHOLMS LÄN</t>
        </is>
      </c>
      <c r="E383" t="inlineStr">
        <is>
          <t>NORRTÄLJE</t>
        </is>
      </c>
      <c r="G383" t="n">
        <v>5.3</v>
      </c>
      <c r="H383" t="n">
        <v>0</v>
      </c>
      <c r="I383" t="n">
        <v>0</v>
      </c>
      <c r="J383" t="n">
        <v>0</v>
      </c>
      <c r="K383" t="n">
        <v>0</v>
      </c>
      <c r="L383" t="n">
        <v>0</v>
      </c>
      <c r="M383" t="n">
        <v>0</v>
      </c>
      <c r="N383" t="n">
        <v>0</v>
      </c>
      <c r="O383" t="n">
        <v>0</v>
      </c>
      <c r="P383" t="n">
        <v>0</v>
      </c>
      <c r="Q383" t="n">
        <v>0</v>
      </c>
      <c r="R383" s="2" t="inlineStr"/>
    </row>
    <row r="384" ht="15" customHeight="1">
      <c r="A384" t="inlineStr">
        <is>
          <t>A 59554-2018</t>
        </is>
      </c>
      <c r="B384" s="1" t="n">
        <v>43405</v>
      </c>
      <c r="C384" s="1" t="n">
        <v>45186</v>
      </c>
      <c r="D384" t="inlineStr">
        <is>
          <t>STOCKHOLMS LÄN</t>
        </is>
      </c>
      <c r="E384" t="inlineStr">
        <is>
          <t>NORRTÄLJE</t>
        </is>
      </c>
      <c r="G384" t="n">
        <v>9</v>
      </c>
      <c r="H384" t="n">
        <v>0</v>
      </c>
      <c r="I384" t="n">
        <v>0</v>
      </c>
      <c r="J384" t="n">
        <v>0</v>
      </c>
      <c r="K384" t="n">
        <v>0</v>
      </c>
      <c r="L384" t="n">
        <v>0</v>
      </c>
      <c r="M384" t="n">
        <v>0</v>
      </c>
      <c r="N384" t="n">
        <v>0</v>
      </c>
      <c r="O384" t="n">
        <v>0</v>
      </c>
      <c r="P384" t="n">
        <v>0</v>
      </c>
      <c r="Q384" t="n">
        <v>0</v>
      </c>
      <c r="R384" s="2" t="inlineStr"/>
    </row>
    <row r="385" ht="15" customHeight="1">
      <c r="A385" t="inlineStr">
        <is>
          <t>A 64973-2018</t>
        </is>
      </c>
      <c r="B385" s="1" t="n">
        <v>43405</v>
      </c>
      <c r="C385" s="1" t="n">
        <v>45186</v>
      </c>
      <c r="D385" t="inlineStr">
        <is>
          <t>STOCKHOLMS LÄN</t>
        </is>
      </c>
      <c r="E385" t="inlineStr">
        <is>
          <t>NORRTÄLJE</t>
        </is>
      </c>
      <c r="G385" t="n">
        <v>1.7</v>
      </c>
      <c r="H385" t="n">
        <v>0</v>
      </c>
      <c r="I385" t="n">
        <v>0</v>
      </c>
      <c r="J385" t="n">
        <v>0</v>
      </c>
      <c r="K385" t="n">
        <v>0</v>
      </c>
      <c r="L385" t="n">
        <v>0</v>
      </c>
      <c r="M385" t="n">
        <v>0</v>
      </c>
      <c r="N385" t="n">
        <v>0</v>
      </c>
      <c r="O385" t="n">
        <v>0</v>
      </c>
      <c r="P385" t="n">
        <v>0</v>
      </c>
      <c r="Q385" t="n">
        <v>0</v>
      </c>
      <c r="R385" s="2" t="inlineStr"/>
    </row>
    <row r="386" ht="15" customHeight="1">
      <c r="A386" t="inlineStr">
        <is>
          <t>A 58116-2018</t>
        </is>
      </c>
      <c r="B386" s="1" t="n">
        <v>43406</v>
      </c>
      <c r="C386" s="1" t="n">
        <v>45186</v>
      </c>
      <c r="D386" t="inlineStr">
        <is>
          <t>STOCKHOLMS LÄN</t>
        </is>
      </c>
      <c r="E386" t="inlineStr">
        <is>
          <t>NORRTÄLJE</t>
        </is>
      </c>
      <c r="G386" t="n">
        <v>3.4</v>
      </c>
      <c r="H386" t="n">
        <v>0</v>
      </c>
      <c r="I386" t="n">
        <v>0</v>
      </c>
      <c r="J386" t="n">
        <v>0</v>
      </c>
      <c r="K386" t="n">
        <v>0</v>
      </c>
      <c r="L386" t="n">
        <v>0</v>
      </c>
      <c r="M386" t="n">
        <v>0</v>
      </c>
      <c r="N386" t="n">
        <v>0</v>
      </c>
      <c r="O386" t="n">
        <v>0</v>
      </c>
      <c r="P386" t="n">
        <v>0</v>
      </c>
      <c r="Q386" t="n">
        <v>0</v>
      </c>
      <c r="R386" s="2" t="inlineStr"/>
    </row>
    <row r="387" ht="15" customHeight="1">
      <c r="A387" t="inlineStr">
        <is>
          <t>A 60755-2018</t>
        </is>
      </c>
      <c r="B387" s="1" t="n">
        <v>43409</v>
      </c>
      <c r="C387" s="1" t="n">
        <v>45186</v>
      </c>
      <c r="D387" t="inlineStr">
        <is>
          <t>STOCKHOLMS LÄN</t>
        </is>
      </c>
      <c r="E387" t="inlineStr">
        <is>
          <t>NYKVARN</t>
        </is>
      </c>
      <c r="F387" t="inlineStr">
        <is>
          <t>Övriga statliga verk och myndigheter</t>
        </is>
      </c>
      <c r="G387" t="n">
        <v>4.5</v>
      </c>
      <c r="H387" t="n">
        <v>0</v>
      </c>
      <c r="I387" t="n">
        <v>0</v>
      </c>
      <c r="J387" t="n">
        <v>0</v>
      </c>
      <c r="K387" t="n">
        <v>0</v>
      </c>
      <c r="L387" t="n">
        <v>0</v>
      </c>
      <c r="M387" t="n">
        <v>0</v>
      </c>
      <c r="N387" t="n">
        <v>0</v>
      </c>
      <c r="O387" t="n">
        <v>0</v>
      </c>
      <c r="P387" t="n">
        <v>0</v>
      </c>
      <c r="Q387" t="n">
        <v>0</v>
      </c>
      <c r="R387" s="2" t="inlineStr"/>
    </row>
    <row r="388" ht="15" customHeight="1">
      <c r="A388" t="inlineStr">
        <is>
          <t>A 58509-2018</t>
        </is>
      </c>
      <c r="B388" s="1" t="n">
        <v>43409</v>
      </c>
      <c r="C388" s="1" t="n">
        <v>45186</v>
      </c>
      <c r="D388" t="inlineStr">
        <is>
          <t>STOCKHOLMS LÄN</t>
        </is>
      </c>
      <c r="E388" t="inlineStr">
        <is>
          <t>SIGTUNA</t>
        </is>
      </c>
      <c r="G388" t="n">
        <v>4.8</v>
      </c>
      <c r="H388" t="n">
        <v>0</v>
      </c>
      <c r="I388" t="n">
        <v>0</v>
      </c>
      <c r="J388" t="n">
        <v>0</v>
      </c>
      <c r="K388" t="n">
        <v>0</v>
      </c>
      <c r="L388" t="n">
        <v>0</v>
      </c>
      <c r="M388" t="n">
        <v>0</v>
      </c>
      <c r="N388" t="n">
        <v>0</v>
      </c>
      <c r="O388" t="n">
        <v>0</v>
      </c>
      <c r="P388" t="n">
        <v>0</v>
      </c>
      <c r="Q388" t="n">
        <v>0</v>
      </c>
      <c r="R388" s="2" t="inlineStr"/>
    </row>
    <row r="389" ht="15" customHeight="1">
      <c r="A389" t="inlineStr">
        <is>
          <t>A 60739-2018</t>
        </is>
      </c>
      <c r="B389" s="1" t="n">
        <v>43409</v>
      </c>
      <c r="C389" s="1" t="n">
        <v>45186</v>
      </c>
      <c r="D389" t="inlineStr">
        <is>
          <t>STOCKHOLMS LÄN</t>
        </is>
      </c>
      <c r="E389" t="inlineStr">
        <is>
          <t>NYKVARN</t>
        </is>
      </c>
      <c r="F389" t="inlineStr">
        <is>
          <t>Övriga statliga verk och myndigheter</t>
        </is>
      </c>
      <c r="G389" t="n">
        <v>7.7</v>
      </c>
      <c r="H389" t="n">
        <v>0</v>
      </c>
      <c r="I389" t="n">
        <v>0</v>
      </c>
      <c r="J389" t="n">
        <v>0</v>
      </c>
      <c r="K389" t="n">
        <v>0</v>
      </c>
      <c r="L389" t="n">
        <v>0</v>
      </c>
      <c r="M389" t="n">
        <v>0</v>
      </c>
      <c r="N389" t="n">
        <v>0</v>
      </c>
      <c r="O389" t="n">
        <v>0</v>
      </c>
      <c r="P389" t="n">
        <v>0</v>
      </c>
      <c r="Q389" t="n">
        <v>0</v>
      </c>
      <c r="R389" s="2" t="inlineStr"/>
    </row>
    <row r="390" ht="15" customHeight="1">
      <c r="A390" t="inlineStr">
        <is>
          <t>A 58894-2018</t>
        </is>
      </c>
      <c r="B390" s="1" t="n">
        <v>43410</v>
      </c>
      <c r="C390" s="1" t="n">
        <v>45186</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58638-2018</t>
        </is>
      </c>
      <c r="B391" s="1" t="n">
        <v>43410</v>
      </c>
      <c r="C391" s="1" t="n">
        <v>45186</v>
      </c>
      <c r="D391" t="inlineStr">
        <is>
          <t>STOCKHOLMS LÄN</t>
        </is>
      </c>
      <c r="E391" t="inlineStr">
        <is>
          <t>SIGTUNA</t>
        </is>
      </c>
      <c r="G391" t="n">
        <v>2.8</v>
      </c>
      <c r="H391" t="n">
        <v>0</v>
      </c>
      <c r="I391" t="n">
        <v>0</v>
      </c>
      <c r="J391" t="n">
        <v>0</v>
      </c>
      <c r="K391" t="n">
        <v>0</v>
      </c>
      <c r="L391" t="n">
        <v>0</v>
      </c>
      <c r="M391" t="n">
        <v>0</v>
      </c>
      <c r="N391" t="n">
        <v>0</v>
      </c>
      <c r="O391" t="n">
        <v>0</v>
      </c>
      <c r="P391" t="n">
        <v>0</v>
      </c>
      <c r="Q391" t="n">
        <v>0</v>
      </c>
      <c r="R391" s="2" t="inlineStr"/>
    </row>
    <row r="392" ht="15" customHeight="1">
      <c r="A392" t="inlineStr">
        <is>
          <t>A 59769-2018</t>
        </is>
      </c>
      <c r="B392" s="1" t="n">
        <v>43411</v>
      </c>
      <c r="C392" s="1" t="n">
        <v>45186</v>
      </c>
      <c r="D392" t="inlineStr">
        <is>
          <t>STOCKHOLMS LÄN</t>
        </is>
      </c>
      <c r="E392" t="inlineStr">
        <is>
          <t>BOTKYRKA</t>
        </is>
      </c>
      <c r="G392" t="n">
        <v>1.5</v>
      </c>
      <c r="H392" t="n">
        <v>0</v>
      </c>
      <c r="I392" t="n">
        <v>0</v>
      </c>
      <c r="J392" t="n">
        <v>0</v>
      </c>
      <c r="K392" t="n">
        <v>0</v>
      </c>
      <c r="L392" t="n">
        <v>0</v>
      </c>
      <c r="M392" t="n">
        <v>0</v>
      </c>
      <c r="N392" t="n">
        <v>0</v>
      </c>
      <c r="O392" t="n">
        <v>0</v>
      </c>
      <c r="P392" t="n">
        <v>0</v>
      </c>
      <c r="Q392" t="n">
        <v>0</v>
      </c>
      <c r="R392" s="2" t="inlineStr"/>
    </row>
    <row r="393" ht="15" customHeight="1">
      <c r="A393" t="inlineStr">
        <is>
          <t>A 60094-2018</t>
        </is>
      </c>
      <c r="B393" s="1" t="n">
        <v>43412</v>
      </c>
      <c r="C393" s="1" t="n">
        <v>45186</v>
      </c>
      <c r="D393" t="inlineStr">
        <is>
          <t>STOCKHOLMS LÄN</t>
        </is>
      </c>
      <c r="E393" t="inlineStr">
        <is>
          <t>BOTKYRKA</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60270-2018</t>
        </is>
      </c>
      <c r="B394" s="1" t="n">
        <v>43413</v>
      </c>
      <c r="C394" s="1" t="n">
        <v>45186</v>
      </c>
      <c r="D394" t="inlineStr">
        <is>
          <t>STOCKHOLMS LÄN</t>
        </is>
      </c>
      <c r="E394" t="inlineStr">
        <is>
          <t>NYKVARN</t>
        </is>
      </c>
      <c r="G394" t="n">
        <v>11</v>
      </c>
      <c r="H394" t="n">
        <v>0</v>
      </c>
      <c r="I394" t="n">
        <v>0</v>
      </c>
      <c r="J394" t="n">
        <v>0</v>
      </c>
      <c r="K394" t="n">
        <v>0</v>
      </c>
      <c r="L394" t="n">
        <v>0</v>
      </c>
      <c r="M394" t="n">
        <v>0</v>
      </c>
      <c r="N394" t="n">
        <v>0</v>
      </c>
      <c r="O394" t="n">
        <v>0</v>
      </c>
      <c r="P394" t="n">
        <v>0</v>
      </c>
      <c r="Q394" t="n">
        <v>0</v>
      </c>
      <c r="R394" s="2" t="inlineStr"/>
    </row>
    <row r="395" ht="15" customHeight="1">
      <c r="A395" t="inlineStr">
        <is>
          <t>A 62408-2018</t>
        </is>
      </c>
      <c r="B395" s="1" t="n">
        <v>43416</v>
      </c>
      <c r="C395" s="1" t="n">
        <v>45186</v>
      </c>
      <c r="D395" t="inlineStr">
        <is>
          <t>STOCKHOLMS LÄN</t>
        </is>
      </c>
      <c r="E395" t="inlineStr">
        <is>
          <t>NORRTÄLJE</t>
        </is>
      </c>
      <c r="G395" t="n">
        <v>0.2</v>
      </c>
      <c r="H395" t="n">
        <v>0</v>
      </c>
      <c r="I395" t="n">
        <v>0</v>
      </c>
      <c r="J395" t="n">
        <v>0</v>
      </c>
      <c r="K395" t="n">
        <v>0</v>
      </c>
      <c r="L395" t="n">
        <v>0</v>
      </c>
      <c r="M395" t="n">
        <v>0</v>
      </c>
      <c r="N395" t="n">
        <v>0</v>
      </c>
      <c r="O395" t="n">
        <v>0</v>
      </c>
      <c r="P395" t="n">
        <v>0</v>
      </c>
      <c r="Q395" t="n">
        <v>0</v>
      </c>
      <c r="R395" s="2" t="inlineStr"/>
    </row>
    <row r="396" ht="15" customHeight="1">
      <c r="A396" t="inlineStr">
        <is>
          <t>A 62779-2018</t>
        </is>
      </c>
      <c r="B396" s="1" t="n">
        <v>43417</v>
      </c>
      <c r="C396" s="1" t="n">
        <v>45186</v>
      </c>
      <c r="D396" t="inlineStr">
        <is>
          <t>STOCKHOLMS LÄN</t>
        </is>
      </c>
      <c r="E396" t="inlineStr">
        <is>
          <t>SIGTUNA</t>
        </is>
      </c>
      <c r="G396" t="n">
        <v>1.9</v>
      </c>
      <c r="H396" t="n">
        <v>0</v>
      </c>
      <c r="I396" t="n">
        <v>0</v>
      </c>
      <c r="J396" t="n">
        <v>0</v>
      </c>
      <c r="K396" t="n">
        <v>0</v>
      </c>
      <c r="L396" t="n">
        <v>0</v>
      </c>
      <c r="M396" t="n">
        <v>0</v>
      </c>
      <c r="N396" t="n">
        <v>0</v>
      </c>
      <c r="O396" t="n">
        <v>0</v>
      </c>
      <c r="P396" t="n">
        <v>0</v>
      </c>
      <c r="Q396" t="n">
        <v>0</v>
      </c>
      <c r="R396" s="2" t="inlineStr"/>
    </row>
    <row r="397" ht="15" customHeight="1">
      <c r="A397" t="inlineStr">
        <is>
          <t>A 59363-2018</t>
        </is>
      </c>
      <c r="B397" s="1" t="n">
        <v>43418</v>
      </c>
      <c r="C397" s="1" t="n">
        <v>45186</v>
      </c>
      <c r="D397" t="inlineStr">
        <is>
          <t>STOCKHOLMS LÄN</t>
        </is>
      </c>
      <c r="E397" t="inlineStr">
        <is>
          <t>NORRTÄLJE</t>
        </is>
      </c>
      <c r="G397" t="n">
        <v>4.5</v>
      </c>
      <c r="H397" t="n">
        <v>0</v>
      </c>
      <c r="I397" t="n">
        <v>0</v>
      </c>
      <c r="J397" t="n">
        <v>0</v>
      </c>
      <c r="K397" t="n">
        <v>0</v>
      </c>
      <c r="L397" t="n">
        <v>0</v>
      </c>
      <c r="M397" t="n">
        <v>0</v>
      </c>
      <c r="N397" t="n">
        <v>0</v>
      </c>
      <c r="O397" t="n">
        <v>0</v>
      </c>
      <c r="P397" t="n">
        <v>0</v>
      </c>
      <c r="Q397" t="n">
        <v>0</v>
      </c>
      <c r="R397" s="2" t="inlineStr"/>
    </row>
    <row r="398" ht="15" customHeight="1">
      <c r="A398" t="inlineStr">
        <is>
          <t>A 59368-2018</t>
        </is>
      </c>
      <c r="B398" s="1" t="n">
        <v>43418</v>
      </c>
      <c r="C398" s="1" t="n">
        <v>45186</v>
      </c>
      <c r="D398" t="inlineStr">
        <is>
          <t>STOCKHOLMS LÄN</t>
        </is>
      </c>
      <c r="E398" t="inlineStr">
        <is>
          <t>SALEM</t>
        </is>
      </c>
      <c r="F398" t="inlineStr">
        <is>
          <t>Kommuner</t>
        </is>
      </c>
      <c r="G398" t="n">
        <v>7.4</v>
      </c>
      <c r="H398" t="n">
        <v>0</v>
      </c>
      <c r="I398" t="n">
        <v>0</v>
      </c>
      <c r="J398" t="n">
        <v>0</v>
      </c>
      <c r="K398" t="n">
        <v>0</v>
      </c>
      <c r="L398" t="n">
        <v>0</v>
      </c>
      <c r="M398" t="n">
        <v>0</v>
      </c>
      <c r="N398" t="n">
        <v>0</v>
      </c>
      <c r="O398" t="n">
        <v>0</v>
      </c>
      <c r="P398" t="n">
        <v>0</v>
      </c>
      <c r="Q398" t="n">
        <v>0</v>
      </c>
      <c r="R398" s="2" t="inlineStr"/>
    </row>
    <row r="399" ht="15" customHeight="1">
      <c r="A399" t="inlineStr">
        <is>
          <t>A 59453-2018</t>
        </is>
      </c>
      <c r="B399" s="1" t="n">
        <v>43419</v>
      </c>
      <c r="C399" s="1" t="n">
        <v>45186</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59890-2018</t>
        </is>
      </c>
      <c r="B400" s="1" t="n">
        <v>43419</v>
      </c>
      <c r="C400" s="1" t="n">
        <v>45186</v>
      </c>
      <c r="D400" t="inlineStr">
        <is>
          <t>STOCKHOLMS LÄN</t>
        </is>
      </c>
      <c r="E400" t="inlineStr">
        <is>
          <t>BOTKYRKA</t>
        </is>
      </c>
      <c r="F400" t="inlineStr">
        <is>
          <t>Övriga Aktiebolag</t>
        </is>
      </c>
      <c r="G400" t="n">
        <v>1</v>
      </c>
      <c r="H400" t="n">
        <v>0</v>
      </c>
      <c r="I400" t="n">
        <v>0</v>
      </c>
      <c r="J400" t="n">
        <v>0</v>
      </c>
      <c r="K400" t="n">
        <v>0</v>
      </c>
      <c r="L400" t="n">
        <v>0</v>
      </c>
      <c r="M400" t="n">
        <v>0</v>
      </c>
      <c r="N400" t="n">
        <v>0</v>
      </c>
      <c r="O400" t="n">
        <v>0</v>
      </c>
      <c r="P400" t="n">
        <v>0</v>
      </c>
      <c r="Q400" t="n">
        <v>0</v>
      </c>
      <c r="R400" s="2" t="inlineStr"/>
    </row>
    <row r="401" ht="15" customHeight="1">
      <c r="A401" t="inlineStr">
        <is>
          <t>A 59454-2018</t>
        </is>
      </c>
      <c r="B401" s="1" t="n">
        <v>43419</v>
      </c>
      <c r="C401" s="1" t="n">
        <v>45186</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61000-2018</t>
        </is>
      </c>
      <c r="B402" s="1" t="n">
        <v>43419</v>
      </c>
      <c r="C402" s="1" t="n">
        <v>45186</v>
      </c>
      <c r="D402" t="inlineStr">
        <is>
          <t>STOCKHOLMS LÄN</t>
        </is>
      </c>
      <c r="E402" t="inlineStr">
        <is>
          <t>NORRTÄLJE</t>
        </is>
      </c>
      <c r="G402" t="n">
        <v>2.9</v>
      </c>
      <c r="H402" t="n">
        <v>0</v>
      </c>
      <c r="I402" t="n">
        <v>0</v>
      </c>
      <c r="J402" t="n">
        <v>0</v>
      </c>
      <c r="K402" t="n">
        <v>0</v>
      </c>
      <c r="L402" t="n">
        <v>0</v>
      </c>
      <c r="M402" t="n">
        <v>0</v>
      </c>
      <c r="N402" t="n">
        <v>0</v>
      </c>
      <c r="O402" t="n">
        <v>0</v>
      </c>
      <c r="P402" t="n">
        <v>0</v>
      </c>
      <c r="Q402" t="n">
        <v>0</v>
      </c>
      <c r="R402" s="2" t="inlineStr"/>
    </row>
    <row r="403" ht="15" customHeight="1">
      <c r="A403" t="inlineStr">
        <is>
          <t>A 60631-2018</t>
        </is>
      </c>
      <c r="B403" s="1" t="n">
        <v>43420</v>
      </c>
      <c r="C403" s="1" t="n">
        <v>45186</v>
      </c>
      <c r="D403" t="inlineStr">
        <is>
          <t>STOCKHOLMS LÄN</t>
        </is>
      </c>
      <c r="E403" t="inlineStr">
        <is>
          <t>NYNÄSHAMN</t>
        </is>
      </c>
      <c r="G403" t="n">
        <v>2.9</v>
      </c>
      <c r="H403" t="n">
        <v>0</v>
      </c>
      <c r="I403" t="n">
        <v>0</v>
      </c>
      <c r="J403" t="n">
        <v>0</v>
      </c>
      <c r="K403" t="n">
        <v>0</v>
      </c>
      <c r="L403" t="n">
        <v>0</v>
      </c>
      <c r="M403" t="n">
        <v>0</v>
      </c>
      <c r="N403" t="n">
        <v>0</v>
      </c>
      <c r="O403" t="n">
        <v>0</v>
      </c>
      <c r="P403" t="n">
        <v>0</v>
      </c>
      <c r="Q403" t="n">
        <v>0</v>
      </c>
      <c r="R403" s="2" t="inlineStr"/>
    </row>
    <row r="404" ht="15" customHeight="1">
      <c r="A404" t="inlineStr">
        <is>
          <t>A 61490-2018</t>
        </is>
      </c>
      <c r="B404" s="1" t="n">
        <v>43424</v>
      </c>
      <c r="C404" s="1" t="n">
        <v>45186</v>
      </c>
      <c r="D404" t="inlineStr">
        <is>
          <t>STOCKHOLMS LÄN</t>
        </is>
      </c>
      <c r="E404" t="inlineStr">
        <is>
          <t>NYNÄSHAMN</t>
        </is>
      </c>
      <c r="G404" t="n">
        <v>1.3</v>
      </c>
      <c r="H404" t="n">
        <v>0</v>
      </c>
      <c r="I404" t="n">
        <v>0</v>
      </c>
      <c r="J404" t="n">
        <v>0</v>
      </c>
      <c r="K404" t="n">
        <v>0</v>
      </c>
      <c r="L404" t="n">
        <v>0</v>
      </c>
      <c r="M404" t="n">
        <v>0</v>
      </c>
      <c r="N404" t="n">
        <v>0</v>
      </c>
      <c r="O404" t="n">
        <v>0</v>
      </c>
      <c r="P404" t="n">
        <v>0</v>
      </c>
      <c r="Q404" t="n">
        <v>0</v>
      </c>
      <c r="R404" s="2" t="inlineStr"/>
    </row>
    <row r="405" ht="15" customHeight="1">
      <c r="A405" t="inlineStr">
        <is>
          <t>A 61495-2018</t>
        </is>
      </c>
      <c r="B405" s="1" t="n">
        <v>43424</v>
      </c>
      <c r="C405" s="1" t="n">
        <v>45186</v>
      </c>
      <c r="D405" t="inlineStr">
        <is>
          <t>STOCKHOLMS LÄN</t>
        </is>
      </c>
      <c r="E405" t="inlineStr">
        <is>
          <t>NYNÄSHAMN</t>
        </is>
      </c>
      <c r="G405" t="n">
        <v>8.1</v>
      </c>
      <c r="H405" t="n">
        <v>0</v>
      </c>
      <c r="I405" t="n">
        <v>0</v>
      </c>
      <c r="J405" t="n">
        <v>0</v>
      </c>
      <c r="K405" t="n">
        <v>0</v>
      </c>
      <c r="L405" t="n">
        <v>0</v>
      </c>
      <c r="M405" t="n">
        <v>0</v>
      </c>
      <c r="N405" t="n">
        <v>0</v>
      </c>
      <c r="O405" t="n">
        <v>0</v>
      </c>
      <c r="P405" t="n">
        <v>0</v>
      </c>
      <c r="Q405" t="n">
        <v>0</v>
      </c>
      <c r="R405" s="2" t="inlineStr"/>
    </row>
    <row r="406" ht="15" customHeight="1">
      <c r="A406" t="inlineStr">
        <is>
          <t>A 61574-2018</t>
        </is>
      </c>
      <c r="B406" s="1" t="n">
        <v>43424</v>
      </c>
      <c r="C406" s="1" t="n">
        <v>45186</v>
      </c>
      <c r="D406" t="inlineStr">
        <is>
          <t>STOCKHOLMS LÄN</t>
        </is>
      </c>
      <c r="E406" t="inlineStr">
        <is>
          <t>NORRTÄLJE</t>
        </is>
      </c>
      <c r="G406" t="n">
        <v>3.4</v>
      </c>
      <c r="H406" t="n">
        <v>0</v>
      </c>
      <c r="I406" t="n">
        <v>0</v>
      </c>
      <c r="J406" t="n">
        <v>0</v>
      </c>
      <c r="K406" t="n">
        <v>0</v>
      </c>
      <c r="L406" t="n">
        <v>0</v>
      </c>
      <c r="M406" t="n">
        <v>0</v>
      </c>
      <c r="N406" t="n">
        <v>0</v>
      </c>
      <c r="O406" t="n">
        <v>0</v>
      </c>
      <c r="P406" t="n">
        <v>0</v>
      </c>
      <c r="Q406" t="n">
        <v>0</v>
      </c>
      <c r="R406" s="2" t="inlineStr"/>
    </row>
    <row r="407" ht="15" customHeight="1">
      <c r="A407" t="inlineStr">
        <is>
          <t>A 63233-2018</t>
        </is>
      </c>
      <c r="B407" s="1" t="n">
        <v>43426</v>
      </c>
      <c r="C407" s="1" t="n">
        <v>45186</v>
      </c>
      <c r="D407" t="inlineStr">
        <is>
          <t>STOCKHOLMS LÄN</t>
        </is>
      </c>
      <c r="E407" t="inlineStr">
        <is>
          <t>NORRTÄLJE</t>
        </is>
      </c>
      <c r="G407" t="n">
        <v>6.4</v>
      </c>
      <c r="H407" t="n">
        <v>0</v>
      </c>
      <c r="I407" t="n">
        <v>0</v>
      </c>
      <c r="J407" t="n">
        <v>0</v>
      </c>
      <c r="K407" t="n">
        <v>0</v>
      </c>
      <c r="L407" t="n">
        <v>0</v>
      </c>
      <c r="M407" t="n">
        <v>0</v>
      </c>
      <c r="N407" t="n">
        <v>0</v>
      </c>
      <c r="O407" t="n">
        <v>0</v>
      </c>
      <c r="P407" t="n">
        <v>0</v>
      </c>
      <c r="Q407" t="n">
        <v>0</v>
      </c>
      <c r="R407" s="2" t="inlineStr"/>
    </row>
    <row r="408" ht="15" customHeight="1">
      <c r="A408" t="inlineStr">
        <is>
          <t>A 63230-2018</t>
        </is>
      </c>
      <c r="B408" s="1" t="n">
        <v>43426</v>
      </c>
      <c r="C408" s="1" t="n">
        <v>45186</v>
      </c>
      <c r="D408" t="inlineStr">
        <is>
          <t>STOCKHOLMS LÄN</t>
        </is>
      </c>
      <c r="E408" t="inlineStr">
        <is>
          <t>NORRTÄLJE</t>
        </is>
      </c>
      <c r="G408" t="n">
        <v>1.1</v>
      </c>
      <c r="H408" t="n">
        <v>0</v>
      </c>
      <c r="I408" t="n">
        <v>0</v>
      </c>
      <c r="J408" t="n">
        <v>0</v>
      </c>
      <c r="K408" t="n">
        <v>0</v>
      </c>
      <c r="L408" t="n">
        <v>0</v>
      </c>
      <c r="M408" t="n">
        <v>0</v>
      </c>
      <c r="N408" t="n">
        <v>0</v>
      </c>
      <c r="O408" t="n">
        <v>0</v>
      </c>
      <c r="P408" t="n">
        <v>0</v>
      </c>
      <c r="Q408" t="n">
        <v>0</v>
      </c>
      <c r="R408" s="2" t="inlineStr"/>
    </row>
    <row r="409" ht="15" customHeight="1">
      <c r="A409" t="inlineStr">
        <is>
          <t>A 64192-2018</t>
        </is>
      </c>
      <c r="B409" s="1" t="n">
        <v>43430</v>
      </c>
      <c r="C409" s="1" t="n">
        <v>45186</v>
      </c>
      <c r="D409" t="inlineStr">
        <is>
          <t>STOCKHOLMS LÄN</t>
        </is>
      </c>
      <c r="E409" t="inlineStr">
        <is>
          <t>VALLENTUNA</t>
        </is>
      </c>
      <c r="G409" t="n">
        <v>1.1</v>
      </c>
      <c r="H409" t="n">
        <v>0</v>
      </c>
      <c r="I409" t="n">
        <v>0</v>
      </c>
      <c r="J409" t="n">
        <v>0</v>
      </c>
      <c r="K409" t="n">
        <v>0</v>
      </c>
      <c r="L409" t="n">
        <v>0</v>
      </c>
      <c r="M409" t="n">
        <v>0</v>
      </c>
      <c r="N409" t="n">
        <v>0</v>
      </c>
      <c r="O409" t="n">
        <v>0</v>
      </c>
      <c r="P409" t="n">
        <v>0</v>
      </c>
      <c r="Q409" t="n">
        <v>0</v>
      </c>
      <c r="R409" s="2" t="inlineStr"/>
    </row>
    <row r="410" ht="15" customHeight="1">
      <c r="A410" t="inlineStr">
        <is>
          <t>A 64196-2018</t>
        </is>
      </c>
      <c r="B410" s="1" t="n">
        <v>43430</v>
      </c>
      <c r="C410" s="1" t="n">
        <v>45186</v>
      </c>
      <c r="D410" t="inlineStr">
        <is>
          <t>STOCKHOLMS LÄN</t>
        </is>
      </c>
      <c r="E410" t="inlineStr">
        <is>
          <t>VALLENTUNA</t>
        </is>
      </c>
      <c r="G410" t="n">
        <v>3.3</v>
      </c>
      <c r="H410" t="n">
        <v>0</v>
      </c>
      <c r="I410" t="n">
        <v>0</v>
      </c>
      <c r="J410" t="n">
        <v>0</v>
      </c>
      <c r="K410" t="n">
        <v>0</v>
      </c>
      <c r="L410" t="n">
        <v>0</v>
      </c>
      <c r="M410" t="n">
        <v>0</v>
      </c>
      <c r="N410" t="n">
        <v>0</v>
      </c>
      <c r="O410" t="n">
        <v>0</v>
      </c>
      <c r="P410" t="n">
        <v>0</v>
      </c>
      <c r="Q410" t="n">
        <v>0</v>
      </c>
      <c r="R410" s="2" t="inlineStr"/>
    </row>
    <row r="411" ht="15" customHeight="1">
      <c r="A411" t="inlineStr">
        <is>
          <t>A 64588-2018</t>
        </is>
      </c>
      <c r="B411" s="1" t="n">
        <v>43431</v>
      </c>
      <c r="C411" s="1" t="n">
        <v>45186</v>
      </c>
      <c r="D411" t="inlineStr">
        <is>
          <t>STOCKHOLMS LÄN</t>
        </is>
      </c>
      <c r="E411" t="inlineStr">
        <is>
          <t>SÖDERTÄLJE</t>
        </is>
      </c>
      <c r="G411" t="n">
        <v>0.9</v>
      </c>
      <c r="H411" t="n">
        <v>0</v>
      </c>
      <c r="I411" t="n">
        <v>0</v>
      </c>
      <c r="J411" t="n">
        <v>0</v>
      </c>
      <c r="K411" t="n">
        <v>0</v>
      </c>
      <c r="L411" t="n">
        <v>0</v>
      </c>
      <c r="M411" t="n">
        <v>0</v>
      </c>
      <c r="N411" t="n">
        <v>0</v>
      </c>
      <c r="O411" t="n">
        <v>0</v>
      </c>
      <c r="P411" t="n">
        <v>0</v>
      </c>
      <c r="Q411" t="n">
        <v>0</v>
      </c>
      <c r="R411" s="2" t="inlineStr"/>
    </row>
    <row r="412" ht="15" customHeight="1">
      <c r="A412" t="inlineStr">
        <is>
          <t>A 65235-2018</t>
        </is>
      </c>
      <c r="B412" s="1" t="n">
        <v>43432</v>
      </c>
      <c r="C412" s="1" t="n">
        <v>45186</v>
      </c>
      <c r="D412" t="inlineStr">
        <is>
          <t>STOCKHOLMS LÄN</t>
        </is>
      </c>
      <c r="E412" t="inlineStr">
        <is>
          <t>SÖDERTÄLJE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65027-2018</t>
        </is>
      </c>
      <c r="B413" s="1" t="n">
        <v>43432</v>
      </c>
      <c r="C413" s="1" t="n">
        <v>45186</v>
      </c>
      <c r="D413" t="inlineStr">
        <is>
          <t>STOCKHOLMS LÄN</t>
        </is>
      </c>
      <c r="E413" t="inlineStr">
        <is>
          <t>NORRTÄLJE</t>
        </is>
      </c>
      <c r="G413" t="n">
        <v>2.7</v>
      </c>
      <c r="H413" t="n">
        <v>0</v>
      </c>
      <c r="I413" t="n">
        <v>0</v>
      </c>
      <c r="J413" t="n">
        <v>0</v>
      </c>
      <c r="K413" t="n">
        <v>0</v>
      </c>
      <c r="L413" t="n">
        <v>0</v>
      </c>
      <c r="M413" t="n">
        <v>0</v>
      </c>
      <c r="N413" t="n">
        <v>0</v>
      </c>
      <c r="O413" t="n">
        <v>0</v>
      </c>
      <c r="P413" t="n">
        <v>0</v>
      </c>
      <c r="Q413" t="n">
        <v>0</v>
      </c>
      <c r="R413" s="2" t="inlineStr"/>
    </row>
    <row r="414" ht="15" customHeight="1">
      <c r="A414" t="inlineStr">
        <is>
          <t>A 65015-2018</t>
        </is>
      </c>
      <c r="B414" s="1" t="n">
        <v>43432</v>
      </c>
      <c r="C414" s="1" t="n">
        <v>45186</v>
      </c>
      <c r="D414" t="inlineStr">
        <is>
          <t>STOCKHOLMS LÄN</t>
        </is>
      </c>
      <c r="E414" t="inlineStr">
        <is>
          <t>NORRTÄLJE</t>
        </is>
      </c>
      <c r="G414" t="n">
        <v>1.3</v>
      </c>
      <c r="H414" t="n">
        <v>0</v>
      </c>
      <c r="I414" t="n">
        <v>0</v>
      </c>
      <c r="J414" t="n">
        <v>0</v>
      </c>
      <c r="K414" t="n">
        <v>0</v>
      </c>
      <c r="L414" t="n">
        <v>0</v>
      </c>
      <c r="M414" t="n">
        <v>0</v>
      </c>
      <c r="N414" t="n">
        <v>0</v>
      </c>
      <c r="O414" t="n">
        <v>0</v>
      </c>
      <c r="P414" t="n">
        <v>0</v>
      </c>
      <c r="Q414" t="n">
        <v>0</v>
      </c>
      <c r="R414" s="2" t="inlineStr"/>
    </row>
    <row r="415" ht="15" customHeight="1">
      <c r="A415" t="inlineStr">
        <is>
          <t>A 65232-2018</t>
        </is>
      </c>
      <c r="B415" s="1" t="n">
        <v>43432</v>
      </c>
      <c r="C415" s="1" t="n">
        <v>45186</v>
      </c>
      <c r="D415" t="inlineStr">
        <is>
          <t>STOCKHOLMS LÄN</t>
        </is>
      </c>
      <c r="E415" t="inlineStr">
        <is>
          <t>SÖDERTÄLJE</t>
        </is>
      </c>
      <c r="G415" t="n">
        <v>2.8</v>
      </c>
      <c r="H415" t="n">
        <v>0</v>
      </c>
      <c r="I415" t="n">
        <v>0</v>
      </c>
      <c r="J415" t="n">
        <v>0</v>
      </c>
      <c r="K415" t="n">
        <v>0</v>
      </c>
      <c r="L415" t="n">
        <v>0</v>
      </c>
      <c r="M415" t="n">
        <v>0</v>
      </c>
      <c r="N415" t="n">
        <v>0</v>
      </c>
      <c r="O415" t="n">
        <v>0</v>
      </c>
      <c r="P415" t="n">
        <v>0</v>
      </c>
      <c r="Q415" t="n">
        <v>0</v>
      </c>
      <c r="R415" s="2" t="inlineStr"/>
    </row>
    <row r="416" ht="15" customHeight="1">
      <c r="A416" t="inlineStr">
        <is>
          <t>A 65566-2018</t>
        </is>
      </c>
      <c r="B416" s="1" t="n">
        <v>43433</v>
      </c>
      <c r="C416" s="1" t="n">
        <v>45186</v>
      </c>
      <c r="D416" t="inlineStr">
        <is>
          <t>STOCKHOLMS LÄN</t>
        </is>
      </c>
      <c r="E416" t="inlineStr">
        <is>
          <t>NORRTÄLJE</t>
        </is>
      </c>
      <c r="G416" t="n">
        <v>2</v>
      </c>
      <c r="H416" t="n">
        <v>0</v>
      </c>
      <c r="I416" t="n">
        <v>0</v>
      </c>
      <c r="J416" t="n">
        <v>0</v>
      </c>
      <c r="K416" t="n">
        <v>0</v>
      </c>
      <c r="L416" t="n">
        <v>0</v>
      </c>
      <c r="M416" t="n">
        <v>0</v>
      </c>
      <c r="N416" t="n">
        <v>0</v>
      </c>
      <c r="O416" t="n">
        <v>0</v>
      </c>
      <c r="P416" t="n">
        <v>0</v>
      </c>
      <c r="Q416" t="n">
        <v>0</v>
      </c>
      <c r="R416" s="2" t="inlineStr"/>
    </row>
    <row r="417" ht="15" customHeight="1">
      <c r="A417" t="inlineStr">
        <is>
          <t>A 66176-2018</t>
        </is>
      </c>
      <c r="B417" s="1" t="n">
        <v>43434</v>
      </c>
      <c r="C417" s="1" t="n">
        <v>45186</v>
      </c>
      <c r="D417" t="inlineStr">
        <is>
          <t>STOCKHOLMS LÄN</t>
        </is>
      </c>
      <c r="E417" t="inlineStr">
        <is>
          <t>BOTKYRKA</t>
        </is>
      </c>
      <c r="G417" t="n">
        <v>3.9</v>
      </c>
      <c r="H417" t="n">
        <v>0</v>
      </c>
      <c r="I417" t="n">
        <v>0</v>
      </c>
      <c r="J417" t="n">
        <v>0</v>
      </c>
      <c r="K417" t="n">
        <v>0</v>
      </c>
      <c r="L417" t="n">
        <v>0</v>
      </c>
      <c r="M417" t="n">
        <v>0</v>
      </c>
      <c r="N417" t="n">
        <v>0</v>
      </c>
      <c r="O417" t="n">
        <v>0</v>
      </c>
      <c r="P417" t="n">
        <v>0</v>
      </c>
      <c r="Q417" t="n">
        <v>0</v>
      </c>
      <c r="R417" s="2" t="inlineStr"/>
    </row>
    <row r="418" ht="15" customHeight="1">
      <c r="A418" t="inlineStr">
        <is>
          <t>A 66351-2018</t>
        </is>
      </c>
      <c r="B418" s="1" t="n">
        <v>43436</v>
      </c>
      <c r="C418" s="1" t="n">
        <v>45186</v>
      </c>
      <c r="D418" t="inlineStr">
        <is>
          <t>STOCKHOLMS LÄN</t>
        </is>
      </c>
      <c r="E418" t="inlineStr">
        <is>
          <t>NORRTÄLJE</t>
        </is>
      </c>
      <c r="G418" t="n">
        <v>0.4</v>
      </c>
      <c r="H418" t="n">
        <v>0</v>
      </c>
      <c r="I418" t="n">
        <v>0</v>
      </c>
      <c r="J418" t="n">
        <v>0</v>
      </c>
      <c r="K418" t="n">
        <v>0</v>
      </c>
      <c r="L418" t="n">
        <v>0</v>
      </c>
      <c r="M418" t="n">
        <v>0</v>
      </c>
      <c r="N418" t="n">
        <v>0</v>
      </c>
      <c r="O418" t="n">
        <v>0</v>
      </c>
      <c r="P418" t="n">
        <v>0</v>
      </c>
      <c r="Q418" t="n">
        <v>0</v>
      </c>
      <c r="R418" s="2" t="inlineStr"/>
    </row>
    <row r="419" ht="15" customHeight="1">
      <c r="A419" t="inlineStr">
        <is>
          <t>A 66350-2018</t>
        </is>
      </c>
      <c r="B419" s="1" t="n">
        <v>43436</v>
      </c>
      <c r="C419" s="1" t="n">
        <v>45186</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68832-2018</t>
        </is>
      </c>
      <c r="B420" s="1" t="n">
        <v>43439</v>
      </c>
      <c r="C420" s="1" t="n">
        <v>45186</v>
      </c>
      <c r="D420" t="inlineStr">
        <is>
          <t>STOCKHOLMS LÄN</t>
        </is>
      </c>
      <c r="E420" t="inlineStr">
        <is>
          <t>BOTKYRKA</t>
        </is>
      </c>
      <c r="G420" t="n">
        <v>0.5</v>
      </c>
      <c r="H420" t="n">
        <v>0</v>
      </c>
      <c r="I420" t="n">
        <v>0</v>
      </c>
      <c r="J420" t="n">
        <v>0</v>
      </c>
      <c r="K420" t="n">
        <v>0</v>
      </c>
      <c r="L420" t="n">
        <v>0</v>
      </c>
      <c r="M420" t="n">
        <v>0</v>
      </c>
      <c r="N420" t="n">
        <v>0</v>
      </c>
      <c r="O420" t="n">
        <v>0</v>
      </c>
      <c r="P420" t="n">
        <v>0</v>
      </c>
      <c r="Q420" t="n">
        <v>0</v>
      </c>
      <c r="R420" s="2" t="inlineStr"/>
    </row>
    <row r="421" ht="15" customHeight="1">
      <c r="A421" t="inlineStr">
        <is>
          <t>A 67508-2018</t>
        </is>
      </c>
      <c r="B421" s="1" t="n">
        <v>43439</v>
      </c>
      <c r="C421" s="1" t="n">
        <v>45186</v>
      </c>
      <c r="D421" t="inlineStr">
        <is>
          <t>STOCKHOLMS LÄN</t>
        </is>
      </c>
      <c r="E421" t="inlineStr">
        <is>
          <t>SÖDERTÄLJE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67595-2018</t>
        </is>
      </c>
      <c r="B422" s="1" t="n">
        <v>43439</v>
      </c>
      <c r="C422" s="1" t="n">
        <v>45186</v>
      </c>
      <c r="D422" t="inlineStr">
        <is>
          <t>STOCKHOLMS LÄN</t>
        </is>
      </c>
      <c r="E422" t="inlineStr">
        <is>
          <t>SÖDERTÄLJE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67951-2018</t>
        </is>
      </c>
      <c r="B423" s="1" t="n">
        <v>43440</v>
      </c>
      <c r="C423" s="1" t="n">
        <v>45186</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67992-2018</t>
        </is>
      </c>
      <c r="B424" s="1" t="n">
        <v>43440</v>
      </c>
      <c r="C424" s="1" t="n">
        <v>45186</v>
      </c>
      <c r="D424" t="inlineStr">
        <is>
          <t>STOCKHOLMS LÄN</t>
        </is>
      </c>
      <c r="E424" t="inlineStr">
        <is>
          <t>NYKVARN</t>
        </is>
      </c>
      <c r="G424" t="n">
        <v>0.8</v>
      </c>
      <c r="H424" t="n">
        <v>0</v>
      </c>
      <c r="I424" t="n">
        <v>0</v>
      </c>
      <c r="J424" t="n">
        <v>0</v>
      </c>
      <c r="K424" t="n">
        <v>0</v>
      </c>
      <c r="L424" t="n">
        <v>0</v>
      </c>
      <c r="M424" t="n">
        <v>0</v>
      </c>
      <c r="N424" t="n">
        <v>0</v>
      </c>
      <c r="O424" t="n">
        <v>0</v>
      </c>
      <c r="P424" t="n">
        <v>0</v>
      </c>
      <c r="Q424" t="n">
        <v>0</v>
      </c>
      <c r="R424" s="2" t="inlineStr"/>
    </row>
    <row r="425" ht="15" customHeight="1">
      <c r="A425" t="inlineStr">
        <is>
          <t>A 68371-2018</t>
        </is>
      </c>
      <c r="B425" s="1" t="n">
        <v>43441</v>
      </c>
      <c r="C425" s="1" t="n">
        <v>45186</v>
      </c>
      <c r="D425" t="inlineStr">
        <is>
          <t>STOCKHOLMS LÄN</t>
        </is>
      </c>
      <c r="E425" t="inlineStr">
        <is>
          <t>NYKVARN</t>
        </is>
      </c>
      <c r="G425" t="n">
        <v>1.2</v>
      </c>
      <c r="H425" t="n">
        <v>0</v>
      </c>
      <c r="I425" t="n">
        <v>0</v>
      </c>
      <c r="J425" t="n">
        <v>0</v>
      </c>
      <c r="K425" t="n">
        <v>0</v>
      </c>
      <c r="L425" t="n">
        <v>0</v>
      </c>
      <c r="M425" t="n">
        <v>0</v>
      </c>
      <c r="N425" t="n">
        <v>0</v>
      </c>
      <c r="O425" t="n">
        <v>0</v>
      </c>
      <c r="P425" t="n">
        <v>0</v>
      </c>
      <c r="Q425" t="n">
        <v>0</v>
      </c>
      <c r="R425" s="2" t="inlineStr"/>
    </row>
    <row r="426" ht="15" customHeight="1">
      <c r="A426" t="inlineStr">
        <is>
          <t>A 68366-2018</t>
        </is>
      </c>
      <c r="B426" s="1" t="n">
        <v>43441</v>
      </c>
      <c r="C426" s="1" t="n">
        <v>45186</v>
      </c>
      <c r="D426" t="inlineStr">
        <is>
          <t>STOCKHOLMS LÄN</t>
        </is>
      </c>
      <c r="E426" t="inlineStr">
        <is>
          <t>NYKVARN</t>
        </is>
      </c>
      <c r="G426" t="n">
        <v>3.2</v>
      </c>
      <c r="H426" t="n">
        <v>0</v>
      </c>
      <c r="I426" t="n">
        <v>0</v>
      </c>
      <c r="J426" t="n">
        <v>0</v>
      </c>
      <c r="K426" t="n">
        <v>0</v>
      </c>
      <c r="L426" t="n">
        <v>0</v>
      </c>
      <c r="M426" t="n">
        <v>0</v>
      </c>
      <c r="N426" t="n">
        <v>0</v>
      </c>
      <c r="O426" t="n">
        <v>0</v>
      </c>
      <c r="P426" t="n">
        <v>0</v>
      </c>
      <c r="Q426" t="n">
        <v>0</v>
      </c>
      <c r="R426" s="2" t="inlineStr"/>
    </row>
    <row r="427" ht="15" customHeight="1">
      <c r="A427" t="inlineStr">
        <is>
          <t>A 68508-2018</t>
        </is>
      </c>
      <c r="B427" s="1" t="n">
        <v>43443</v>
      </c>
      <c r="C427" s="1" t="n">
        <v>45186</v>
      </c>
      <c r="D427" t="inlineStr">
        <is>
          <t>STOCKHOLMS LÄN</t>
        </is>
      </c>
      <c r="E427" t="inlineStr">
        <is>
          <t>NYKVARN</t>
        </is>
      </c>
      <c r="G427" t="n">
        <v>4.1</v>
      </c>
      <c r="H427" t="n">
        <v>0</v>
      </c>
      <c r="I427" t="n">
        <v>0</v>
      </c>
      <c r="J427" t="n">
        <v>0</v>
      </c>
      <c r="K427" t="n">
        <v>0</v>
      </c>
      <c r="L427" t="n">
        <v>0</v>
      </c>
      <c r="M427" t="n">
        <v>0</v>
      </c>
      <c r="N427" t="n">
        <v>0</v>
      </c>
      <c r="O427" t="n">
        <v>0</v>
      </c>
      <c r="P427" t="n">
        <v>0</v>
      </c>
      <c r="Q427" t="n">
        <v>0</v>
      </c>
      <c r="R427" s="2" t="inlineStr"/>
    </row>
    <row r="428" ht="15" customHeight="1">
      <c r="A428" t="inlineStr">
        <is>
          <t>A 70310-2018</t>
        </is>
      </c>
      <c r="B428" s="1" t="n">
        <v>43445</v>
      </c>
      <c r="C428" s="1" t="n">
        <v>45186</v>
      </c>
      <c r="D428" t="inlineStr">
        <is>
          <t>STOCKHOLMS LÄN</t>
        </is>
      </c>
      <c r="E428" t="inlineStr">
        <is>
          <t>NORRTÄLJE</t>
        </is>
      </c>
      <c r="G428" t="n">
        <v>1.8</v>
      </c>
      <c r="H428" t="n">
        <v>0</v>
      </c>
      <c r="I428" t="n">
        <v>0</v>
      </c>
      <c r="J428" t="n">
        <v>0</v>
      </c>
      <c r="K428" t="n">
        <v>0</v>
      </c>
      <c r="L428" t="n">
        <v>0</v>
      </c>
      <c r="M428" t="n">
        <v>0</v>
      </c>
      <c r="N428" t="n">
        <v>0</v>
      </c>
      <c r="O428" t="n">
        <v>0</v>
      </c>
      <c r="P428" t="n">
        <v>0</v>
      </c>
      <c r="Q428" t="n">
        <v>0</v>
      </c>
      <c r="R428" s="2" t="inlineStr"/>
    </row>
    <row r="429" ht="15" customHeight="1">
      <c r="A429" t="inlineStr">
        <is>
          <t>A 69314-2018</t>
        </is>
      </c>
      <c r="B429" s="1" t="n">
        <v>43446</v>
      </c>
      <c r="C429" s="1" t="n">
        <v>45186</v>
      </c>
      <c r="D429" t="inlineStr">
        <is>
          <t>STOCKHOLMS LÄN</t>
        </is>
      </c>
      <c r="E429" t="inlineStr">
        <is>
          <t>NYNÄSHAMN</t>
        </is>
      </c>
      <c r="G429" t="n">
        <v>1.3</v>
      </c>
      <c r="H429" t="n">
        <v>0</v>
      </c>
      <c r="I429" t="n">
        <v>0</v>
      </c>
      <c r="J429" t="n">
        <v>0</v>
      </c>
      <c r="K429" t="n">
        <v>0</v>
      </c>
      <c r="L429" t="n">
        <v>0</v>
      </c>
      <c r="M429" t="n">
        <v>0</v>
      </c>
      <c r="N429" t="n">
        <v>0</v>
      </c>
      <c r="O429" t="n">
        <v>0</v>
      </c>
      <c r="P429" t="n">
        <v>0</v>
      </c>
      <c r="Q429" t="n">
        <v>0</v>
      </c>
      <c r="R429" s="2" t="inlineStr"/>
    </row>
    <row r="430" ht="15" customHeight="1">
      <c r="A430" t="inlineStr">
        <is>
          <t>A 69301-2018</t>
        </is>
      </c>
      <c r="B430" s="1" t="n">
        <v>43446</v>
      </c>
      <c r="C430" s="1" t="n">
        <v>45186</v>
      </c>
      <c r="D430" t="inlineStr">
        <is>
          <t>STOCKHOLMS LÄN</t>
        </is>
      </c>
      <c r="E430" t="inlineStr">
        <is>
          <t>NYNÄSHAMN</t>
        </is>
      </c>
      <c r="G430" t="n">
        <v>2.2</v>
      </c>
      <c r="H430" t="n">
        <v>0</v>
      </c>
      <c r="I430" t="n">
        <v>0</v>
      </c>
      <c r="J430" t="n">
        <v>0</v>
      </c>
      <c r="K430" t="n">
        <v>0</v>
      </c>
      <c r="L430" t="n">
        <v>0</v>
      </c>
      <c r="M430" t="n">
        <v>0</v>
      </c>
      <c r="N430" t="n">
        <v>0</v>
      </c>
      <c r="O430" t="n">
        <v>0</v>
      </c>
      <c r="P430" t="n">
        <v>0</v>
      </c>
      <c r="Q430" t="n">
        <v>0</v>
      </c>
      <c r="R430" s="2" t="inlineStr"/>
    </row>
    <row r="431" ht="15" customHeight="1">
      <c r="A431" t="inlineStr">
        <is>
          <t>A 69903-2018</t>
        </is>
      </c>
      <c r="B431" s="1" t="n">
        <v>43447</v>
      </c>
      <c r="C431" s="1" t="n">
        <v>45186</v>
      </c>
      <c r="D431" t="inlineStr">
        <is>
          <t>STOCKHOLMS LÄN</t>
        </is>
      </c>
      <c r="E431" t="inlineStr">
        <is>
          <t>SIGTUNA</t>
        </is>
      </c>
      <c r="G431" t="n">
        <v>4.8</v>
      </c>
      <c r="H431" t="n">
        <v>0</v>
      </c>
      <c r="I431" t="n">
        <v>0</v>
      </c>
      <c r="J431" t="n">
        <v>0</v>
      </c>
      <c r="K431" t="n">
        <v>0</v>
      </c>
      <c r="L431" t="n">
        <v>0</v>
      </c>
      <c r="M431" t="n">
        <v>0</v>
      </c>
      <c r="N431" t="n">
        <v>0</v>
      </c>
      <c r="O431" t="n">
        <v>0</v>
      </c>
      <c r="P431" t="n">
        <v>0</v>
      </c>
      <c r="Q431" t="n">
        <v>0</v>
      </c>
      <c r="R431" s="2" t="inlineStr"/>
    </row>
    <row r="432" ht="15" customHeight="1">
      <c r="A432" t="inlineStr">
        <is>
          <t>A 71399-2018</t>
        </is>
      </c>
      <c r="B432" s="1" t="n">
        <v>43453</v>
      </c>
      <c r="C432" s="1" t="n">
        <v>45186</v>
      </c>
      <c r="D432" t="inlineStr">
        <is>
          <t>STOCKHOLMS LÄN</t>
        </is>
      </c>
      <c r="E432" t="inlineStr">
        <is>
          <t>NORRTÄLJE</t>
        </is>
      </c>
      <c r="G432" t="n">
        <v>1.4</v>
      </c>
      <c r="H432" t="n">
        <v>0</v>
      </c>
      <c r="I432" t="n">
        <v>0</v>
      </c>
      <c r="J432" t="n">
        <v>0</v>
      </c>
      <c r="K432" t="n">
        <v>0</v>
      </c>
      <c r="L432" t="n">
        <v>0</v>
      </c>
      <c r="M432" t="n">
        <v>0</v>
      </c>
      <c r="N432" t="n">
        <v>0</v>
      </c>
      <c r="O432" t="n">
        <v>0</v>
      </c>
      <c r="P432" t="n">
        <v>0</v>
      </c>
      <c r="Q432" t="n">
        <v>0</v>
      </c>
      <c r="R432" s="2" t="inlineStr"/>
    </row>
    <row r="433" ht="15" customHeight="1">
      <c r="A433" t="inlineStr">
        <is>
          <t>A 72167-2018</t>
        </is>
      </c>
      <c r="B433" s="1" t="n">
        <v>43455</v>
      </c>
      <c r="C433" s="1" t="n">
        <v>45186</v>
      </c>
      <c r="D433" t="inlineStr">
        <is>
          <t>STOCKHOLMS LÄN</t>
        </is>
      </c>
      <c r="E433" t="inlineStr">
        <is>
          <t>VALLENTUNA</t>
        </is>
      </c>
      <c r="G433" t="n">
        <v>5.7</v>
      </c>
      <c r="H433" t="n">
        <v>0</v>
      </c>
      <c r="I433" t="n">
        <v>0</v>
      </c>
      <c r="J433" t="n">
        <v>0</v>
      </c>
      <c r="K433" t="n">
        <v>0</v>
      </c>
      <c r="L433" t="n">
        <v>0</v>
      </c>
      <c r="M433" t="n">
        <v>0</v>
      </c>
      <c r="N433" t="n">
        <v>0</v>
      </c>
      <c r="O433" t="n">
        <v>0</v>
      </c>
      <c r="P433" t="n">
        <v>0</v>
      </c>
      <c r="Q433" t="n">
        <v>0</v>
      </c>
      <c r="R433" s="2" t="inlineStr"/>
    </row>
    <row r="434" ht="15" customHeight="1">
      <c r="A434" t="inlineStr">
        <is>
          <t>A 72184-2018</t>
        </is>
      </c>
      <c r="B434" s="1" t="n">
        <v>43455</v>
      </c>
      <c r="C434" s="1" t="n">
        <v>45186</v>
      </c>
      <c r="D434" t="inlineStr">
        <is>
          <t>STOCKHOLMS LÄN</t>
        </is>
      </c>
      <c r="E434" t="inlineStr">
        <is>
          <t>ÖSTERÅKER</t>
        </is>
      </c>
      <c r="G434" t="n">
        <v>5</v>
      </c>
      <c r="H434" t="n">
        <v>0</v>
      </c>
      <c r="I434" t="n">
        <v>0</v>
      </c>
      <c r="J434" t="n">
        <v>0</v>
      </c>
      <c r="K434" t="n">
        <v>0</v>
      </c>
      <c r="L434" t="n">
        <v>0</v>
      </c>
      <c r="M434" t="n">
        <v>0</v>
      </c>
      <c r="N434" t="n">
        <v>0</v>
      </c>
      <c r="O434" t="n">
        <v>0</v>
      </c>
      <c r="P434" t="n">
        <v>0</v>
      </c>
      <c r="Q434" t="n">
        <v>0</v>
      </c>
      <c r="R434" s="2" t="inlineStr"/>
    </row>
    <row r="435" ht="15" customHeight="1">
      <c r="A435" t="inlineStr">
        <is>
          <t>A 72278-2018</t>
        </is>
      </c>
      <c r="B435" s="1" t="n">
        <v>43455</v>
      </c>
      <c r="C435" s="1" t="n">
        <v>45186</v>
      </c>
      <c r="D435" t="inlineStr">
        <is>
          <t>STOCKHOLMS LÄN</t>
        </is>
      </c>
      <c r="E435" t="inlineStr">
        <is>
          <t>NORRTÄLJE</t>
        </is>
      </c>
      <c r="G435" t="n">
        <v>1.4</v>
      </c>
      <c r="H435" t="n">
        <v>0</v>
      </c>
      <c r="I435" t="n">
        <v>0</v>
      </c>
      <c r="J435" t="n">
        <v>0</v>
      </c>
      <c r="K435" t="n">
        <v>0</v>
      </c>
      <c r="L435" t="n">
        <v>0</v>
      </c>
      <c r="M435" t="n">
        <v>0</v>
      </c>
      <c r="N435" t="n">
        <v>0</v>
      </c>
      <c r="O435" t="n">
        <v>0</v>
      </c>
      <c r="P435" t="n">
        <v>0</v>
      </c>
      <c r="Q435" t="n">
        <v>0</v>
      </c>
      <c r="R435" s="2" t="inlineStr"/>
    </row>
    <row r="436" ht="15" customHeight="1">
      <c r="A436" t="inlineStr">
        <is>
          <t>A 72255-2018</t>
        </is>
      </c>
      <c r="B436" s="1" t="n">
        <v>43455</v>
      </c>
      <c r="C436" s="1" t="n">
        <v>45186</v>
      </c>
      <c r="D436" t="inlineStr">
        <is>
          <t>STOCKHOLMS LÄN</t>
        </is>
      </c>
      <c r="E436" t="inlineStr">
        <is>
          <t>ÖSTERÅKER</t>
        </is>
      </c>
      <c r="G436" t="n">
        <v>1.9</v>
      </c>
      <c r="H436" t="n">
        <v>0</v>
      </c>
      <c r="I436" t="n">
        <v>0</v>
      </c>
      <c r="J436" t="n">
        <v>0</v>
      </c>
      <c r="K436" t="n">
        <v>0</v>
      </c>
      <c r="L436" t="n">
        <v>0</v>
      </c>
      <c r="M436" t="n">
        <v>0</v>
      </c>
      <c r="N436" t="n">
        <v>0</v>
      </c>
      <c r="O436" t="n">
        <v>0</v>
      </c>
      <c r="P436" t="n">
        <v>0</v>
      </c>
      <c r="Q436" t="n">
        <v>0</v>
      </c>
      <c r="R436" s="2" t="inlineStr"/>
    </row>
    <row r="437" ht="15" customHeight="1">
      <c r="A437" t="inlineStr">
        <is>
          <t>A 72281-2018</t>
        </is>
      </c>
      <c r="B437" s="1" t="n">
        <v>43455</v>
      </c>
      <c r="C437" s="1" t="n">
        <v>45186</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72321-2018</t>
        </is>
      </c>
      <c r="B438" s="1" t="n">
        <v>43456</v>
      </c>
      <c r="C438" s="1" t="n">
        <v>45186</v>
      </c>
      <c r="D438" t="inlineStr">
        <is>
          <t>STOCKHOLMS LÄN</t>
        </is>
      </c>
      <c r="E438" t="inlineStr">
        <is>
          <t>SÖDERTÄLJE</t>
        </is>
      </c>
      <c r="G438" t="n">
        <v>2.5</v>
      </c>
      <c r="H438" t="n">
        <v>0</v>
      </c>
      <c r="I438" t="n">
        <v>0</v>
      </c>
      <c r="J438" t="n">
        <v>0</v>
      </c>
      <c r="K438" t="n">
        <v>0</v>
      </c>
      <c r="L438" t="n">
        <v>0</v>
      </c>
      <c r="M438" t="n">
        <v>0</v>
      </c>
      <c r="N438" t="n">
        <v>0</v>
      </c>
      <c r="O438" t="n">
        <v>0</v>
      </c>
      <c r="P438" t="n">
        <v>0</v>
      </c>
      <c r="Q438" t="n">
        <v>0</v>
      </c>
      <c r="R438" s="2" t="inlineStr"/>
    </row>
    <row r="439" ht="15" customHeight="1">
      <c r="A439" t="inlineStr">
        <is>
          <t>A 72323-2018</t>
        </is>
      </c>
      <c r="B439" s="1" t="n">
        <v>43456</v>
      </c>
      <c r="C439" s="1" t="n">
        <v>45186</v>
      </c>
      <c r="D439" t="inlineStr">
        <is>
          <t>STOCKHOLMS LÄN</t>
        </is>
      </c>
      <c r="E439" t="inlineStr">
        <is>
          <t>SÖDERTÄLJE</t>
        </is>
      </c>
      <c r="G439" t="n">
        <v>1</v>
      </c>
      <c r="H439" t="n">
        <v>0</v>
      </c>
      <c r="I439" t="n">
        <v>0</v>
      </c>
      <c r="J439" t="n">
        <v>0</v>
      </c>
      <c r="K439" t="n">
        <v>0</v>
      </c>
      <c r="L439" t="n">
        <v>0</v>
      </c>
      <c r="M439" t="n">
        <v>0</v>
      </c>
      <c r="N439" t="n">
        <v>0</v>
      </c>
      <c r="O439" t="n">
        <v>0</v>
      </c>
      <c r="P439" t="n">
        <v>0</v>
      </c>
      <c r="Q439" t="n">
        <v>0</v>
      </c>
      <c r="R439" s="2" t="inlineStr"/>
    </row>
    <row r="440" ht="15" customHeight="1">
      <c r="A440" t="inlineStr">
        <is>
          <t>A 72328-2018</t>
        </is>
      </c>
      <c r="B440" s="1" t="n">
        <v>43459</v>
      </c>
      <c r="C440" s="1" t="n">
        <v>45186</v>
      </c>
      <c r="D440" t="inlineStr">
        <is>
          <t>STOCKHOLMS LÄN</t>
        </is>
      </c>
      <c r="E440" t="inlineStr">
        <is>
          <t>NORRTÄLJE</t>
        </is>
      </c>
      <c r="G440" t="n">
        <v>4.4</v>
      </c>
      <c r="H440" t="n">
        <v>0</v>
      </c>
      <c r="I440" t="n">
        <v>0</v>
      </c>
      <c r="J440" t="n">
        <v>0</v>
      </c>
      <c r="K440" t="n">
        <v>0</v>
      </c>
      <c r="L440" t="n">
        <v>0</v>
      </c>
      <c r="M440" t="n">
        <v>0</v>
      </c>
      <c r="N440" t="n">
        <v>0</v>
      </c>
      <c r="O440" t="n">
        <v>0</v>
      </c>
      <c r="P440" t="n">
        <v>0</v>
      </c>
      <c r="Q440" t="n">
        <v>0</v>
      </c>
      <c r="R440" s="2" t="inlineStr"/>
    </row>
    <row r="441" ht="15" customHeight="1">
      <c r="A441" t="inlineStr">
        <is>
          <t>A 1424-2019</t>
        </is>
      </c>
      <c r="B441" s="1" t="n">
        <v>43461</v>
      </c>
      <c r="C441" s="1" t="n">
        <v>45186</v>
      </c>
      <c r="D441" t="inlineStr">
        <is>
          <t>STOCKHOLMS LÄN</t>
        </is>
      </c>
      <c r="E441" t="inlineStr">
        <is>
          <t>NYNÄSHAMN</t>
        </is>
      </c>
      <c r="G441" t="n">
        <v>2.5</v>
      </c>
      <c r="H441" t="n">
        <v>0</v>
      </c>
      <c r="I441" t="n">
        <v>0</v>
      </c>
      <c r="J441" t="n">
        <v>0</v>
      </c>
      <c r="K441" t="n">
        <v>0</v>
      </c>
      <c r="L441" t="n">
        <v>0</v>
      </c>
      <c r="M441" t="n">
        <v>0</v>
      </c>
      <c r="N441" t="n">
        <v>0</v>
      </c>
      <c r="O441" t="n">
        <v>0</v>
      </c>
      <c r="P441" t="n">
        <v>0</v>
      </c>
      <c r="Q441" t="n">
        <v>0</v>
      </c>
      <c r="R441" s="2" t="inlineStr"/>
    </row>
    <row r="442" ht="15" customHeight="1">
      <c r="A442" t="inlineStr">
        <is>
          <t>A 72408-2018</t>
        </is>
      </c>
      <c r="B442" s="1" t="n">
        <v>43461</v>
      </c>
      <c r="C442" s="1" t="n">
        <v>45186</v>
      </c>
      <c r="D442" t="inlineStr">
        <is>
          <t>STOCKHOLMS LÄN</t>
        </is>
      </c>
      <c r="E442" t="inlineStr">
        <is>
          <t>NORRTÄLJE</t>
        </is>
      </c>
      <c r="G442" t="n">
        <v>1.9</v>
      </c>
      <c r="H442" t="n">
        <v>0</v>
      </c>
      <c r="I442" t="n">
        <v>0</v>
      </c>
      <c r="J442" t="n">
        <v>0</v>
      </c>
      <c r="K442" t="n">
        <v>0</v>
      </c>
      <c r="L442" t="n">
        <v>0</v>
      </c>
      <c r="M442" t="n">
        <v>0</v>
      </c>
      <c r="N442" t="n">
        <v>0</v>
      </c>
      <c r="O442" t="n">
        <v>0</v>
      </c>
      <c r="P442" t="n">
        <v>0</v>
      </c>
      <c r="Q442" t="n">
        <v>0</v>
      </c>
      <c r="R442" s="2" t="inlineStr"/>
    </row>
    <row r="443" ht="15" customHeight="1">
      <c r="A443" t="inlineStr">
        <is>
          <t>A 72453-2018</t>
        </is>
      </c>
      <c r="B443" s="1" t="n">
        <v>43461</v>
      </c>
      <c r="C443" s="1" t="n">
        <v>45186</v>
      </c>
      <c r="D443" t="inlineStr">
        <is>
          <t>STOCKHOLMS LÄN</t>
        </is>
      </c>
      <c r="E443" t="inlineStr">
        <is>
          <t>NORRTÄLJE</t>
        </is>
      </c>
      <c r="G443" t="n">
        <v>9.699999999999999</v>
      </c>
      <c r="H443" t="n">
        <v>0</v>
      </c>
      <c r="I443" t="n">
        <v>0</v>
      </c>
      <c r="J443" t="n">
        <v>0</v>
      </c>
      <c r="K443" t="n">
        <v>0</v>
      </c>
      <c r="L443" t="n">
        <v>0</v>
      </c>
      <c r="M443" t="n">
        <v>0</v>
      </c>
      <c r="N443" t="n">
        <v>0</v>
      </c>
      <c r="O443" t="n">
        <v>0</v>
      </c>
      <c r="P443" t="n">
        <v>0</v>
      </c>
      <c r="Q443" t="n">
        <v>0</v>
      </c>
      <c r="R443" s="2" t="inlineStr"/>
    </row>
    <row r="444" ht="15" customHeight="1">
      <c r="A444" t="inlineStr">
        <is>
          <t>A 72547-2018</t>
        </is>
      </c>
      <c r="B444" s="1" t="n">
        <v>43462</v>
      </c>
      <c r="C444" s="1" t="n">
        <v>45186</v>
      </c>
      <c r="D444" t="inlineStr">
        <is>
          <t>STOCKHOLMS LÄN</t>
        </is>
      </c>
      <c r="E444" t="inlineStr">
        <is>
          <t>EKERÖ</t>
        </is>
      </c>
      <c r="F444" t="inlineStr">
        <is>
          <t>Kyrkan</t>
        </is>
      </c>
      <c r="G444" t="n">
        <v>5.1</v>
      </c>
      <c r="H444" t="n">
        <v>0</v>
      </c>
      <c r="I444" t="n">
        <v>0</v>
      </c>
      <c r="J444" t="n">
        <v>0</v>
      </c>
      <c r="K444" t="n">
        <v>0</v>
      </c>
      <c r="L444" t="n">
        <v>0</v>
      </c>
      <c r="M444" t="n">
        <v>0</v>
      </c>
      <c r="N444" t="n">
        <v>0</v>
      </c>
      <c r="O444" t="n">
        <v>0</v>
      </c>
      <c r="P444" t="n">
        <v>0</v>
      </c>
      <c r="Q444" t="n">
        <v>0</v>
      </c>
      <c r="R444" s="2" t="inlineStr"/>
    </row>
    <row r="445" ht="15" customHeight="1">
      <c r="A445" t="inlineStr">
        <is>
          <t>A 248-2019</t>
        </is>
      </c>
      <c r="B445" s="1" t="n">
        <v>43467</v>
      </c>
      <c r="C445" s="1" t="n">
        <v>45186</v>
      </c>
      <c r="D445" t="inlineStr">
        <is>
          <t>STOCKHOLMS LÄN</t>
        </is>
      </c>
      <c r="E445" t="inlineStr">
        <is>
          <t>NORRTÄLJE</t>
        </is>
      </c>
      <c r="G445" t="n">
        <v>9.4</v>
      </c>
      <c r="H445" t="n">
        <v>0</v>
      </c>
      <c r="I445" t="n">
        <v>0</v>
      </c>
      <c r="J445" t="n">
        <v>0</v>
      </c>
      <c r="K445" t="n">
        <v>0</v>
      </c>
      <c r="L445" t="n">
        <v>0</v>
      </c>
      <c r="M445" t="n">
        <v>0</v>
      </c>
      <c r="N445" t="n">
        <v>0</v>
      </c>
      <c r="O445" t="n">
        <v>0</v>
      </c>
      <c r="P445" t="n">
        <v>0</v>
      </c>
      <c r="Q445" t="n">
        <v>0</v>
      </c>
      <c r="R445" s="2" t="inlineStr"/>
    </row>
    <row r="446" ht="15" customHeight="1">
      <c r="A446" t="inlineStr">
        <is>
          <t>A 441-2019</t>
        </is>
      </c>
      <c r="B446" s="1" t="n">
        <v>43468</v>
      </c>
      <c r="C446" s="1" t="n">
        <v>45186</v>
      </c>
      <c r="D446" t="inlineStr">
        <is>
          <t>STOCKHOLMS LÄN</t>
        </is>
      </c>
      <c r="E446" t="inlineStr">
        <is>
          <t>NORRTÄLJE</t>
        </is>
      </c>
      <c r="G446" t="n">
        <v>7.2</v>
      </c>
      <c r="H446" t="n">
        <v>0</v>
      </c>
      <c r="I446" t="n">
        <v>0</v>
      </c>
      <c r="J446" t="n">
        <v>0</v>
      </c>
      <c r="K446" t="n">
        <v>0</v>
      </c>
      <c r="L446" t="n">
        <v>0</v>
      </c>
      <c r="M446" t="n">
        <v>0</v>
      </c>
      <c r="N446" t="n">
        <v>0</v>
      </c>
      <c r="O446" t="n">
        <v>0</v>
      </c>
      <c r="P446" t="n">
        <v>0</v>
      </c>
      <c r="Q446" t="n">
        <v>0</v>
      </c>
      <c r="R446" s="2" t="inlineStr"/>
    </row>
    <row r="447" ht="15" customHeight="1">
      <c r="A447" t="inlineStr">
        <is>
          <t>A 568-2019</t>
        </is>
      </c>
      <c r="B447" s="1" t="n">
        <v>43469</v>
      </c>
      <c r="C447" s="1" t="n">
        <v>45186</v>
      </c>
      <c r="D447" t="inlineStr">
        <is>
          <t>STOCKHOLMS LÄN</t>
        </is>
      </c>
      <c r="E447" t="inlineStr">
        <is>
          <t>SÖDERTÄLJE</t>
        </is>
      </c>
      <c r="G447" t="n">
        <v>12.4</v>
      </c>
      <c r="H447" t="n">
        <v>0</v>
      </c>
      <c r="I447" t="n">
        <v>0</v>
      </c>
      <c r="J447" t="n">
        <v>0</v>
      </c>
      <c r="K447" t="n">
        <v>0</v>
      </c>
      <c r="L447" t="n">
        <v>0</v>
      </c>
      <c r="M447" t="n">
        <v>0</v>
      </c>
      <c r="N447" t="n">
        <v>0</v>
      </c>
      <c r="O447" t="n">
        <v>0</v>
      </c>
      <c r="P447" t="n">
        <v>0</v>
      </c>
      <c r="Q447" t="n">
        <v>0</v>
      </c>
      <c r="R447" s="2" t="inlineStr"/>
    </row>
    <row r="448" ht="15" customHeight="1">
      <c r="A448" t="inlineStr">
        <is>
          <t>A 649-2019</t>
        </is>
      </c>
      <c r="B448" s="1" t="n">
        <v>43469</v>
      </c>
      <c r="C448" s="1" t="n">
        <v>45186</v>
      </c>
      <c r="D448" t="inlineStr">
        <is>
          <t>STOCKHOLMS LÄN</t>
        </is>
      </c>
      <c r="E448" t="inlineStr">
        <is>
          <t>NORRTÄLJE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682-2019</t>
        </is>
      </c>
      <c r="B449" s="1" t="n">
        <v>43469</v>
      </c>
      <c r="C449" s="1" t="n">
        <v>45186</v>
      </c>
      <c r="D449" t="inlineStr">
        <is>
          <t>STOCKHOLMS LÄN</t>
        </is>
      </c>
      <c r="E449" t="inlineStr">
        <is>
          <t>ÖSTERÅKER</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694-2019</t>
        </is>
      </c>
      <c r="B450" s="1" t="n">
        <v>43469</v>
      </c>
      <c r="C450" s="1" t="n">
        <v>45186</v>
      </c>
      <c r="D450" t="inlineStr">
        <is>
          <t>STOCKHOLMS LÄN</t>
        </is>
      </c>
      <c r="E450" t="inlineStr">
        <is>
          <t>NORRTÄLJE</t>
        </is>
      </c>
      <c r="G450" t="n">
        <v>9.4</v>
      </c>
      <c r="H450" t="n">
        <v>0</v>
      </c>
      <c r="I450" t="n">
        <v>0</v>
      </c>
      <c r="J450" t="n">
        <v>0</v>
      </c>
      <c r="K450" t="n">
        <v>0</v>
      </c>
      <c r="L450" t="n">
        <v>0</v>
      </c>
      <c r="M450" t="n">
        <v>0</v>
      </c>
      <c r="N450" t="n">
        <v>0</v>
      </c>
      <c r="O450" t="n">
        <v>0</v>
      </c>
      <c r="P450" t="n">
        <v>0</v>
      </c>
      <c r="Q450" t="n">
        <v>0</v>
      </c>
      <c r="R450" s="2" t="inlineStr"/>
    </row>
    <row r="451" ht="15" customHeight="1">
      <c r="A451" t="inlineStr">
        <is>
          <t>A 708-2019</t>
        </is>
      </c>
      <c r="B451" s="1" t="n">
        <v>43470</v>
      </c>
      <c r="C451" s="1" t="n">
        <v>45186</v>
      </c>
      <c r="D451" t="inlineStr">
        <is>
          <t>STOCKHOLMS LÄN</t>
        </is>
      </c>
      <c r="E451" t="inlineStr">
        <is>
          <t>NORRTÄLJE</t>
        </is>
      </c>
      <c r="G451" t="n">
        <v>1.3</v>
      </c>
      <c r="H451" t="n">
        <v>0</v>
      </c>
      <c r="I451" t="n">
        <v>0</v>
      </c>
      <c r="J451" t="n">
        <v>0</v>
      </c>
      <c r="K451" t="n">
        <v>0</v>
      </c>
      <c r="L451" t="n">
        <v>0</v>
      </c>
      <c r="M451" t="n">
        <v>0</v>
      </c>
      <c r="N451" t="n">
        <v>0</v>
      </c>
      <c r="O451" t="n">
        <v>0</v>
      </c>
      <c r="P451" t="n">
        <v>0</v>
      </c>
      <c r="Q451" t="n">
        <v>0</v>
      </c>
      <c r="R451" s="2" t="inlineStr"/>
    </row>
    <row r="452" ht="15" customHeight="1">
      <c r="A452" t="inlineStr">
        <is>
          <t>A 726-2019</t>
        </is>
      </c>
      <c r="B452" s="1" t="n">
        <v>43471</v>
      </c>
      <c r="C452" s="1" t="n">
        <v>45186</v>
      </c>
      <c r="D452" t="inlineStr">
        <is>
          <t>STOCKHOLMS LÄN</t>
        </is>
      </c>
      <c r="E452" t="inlineStr">
        <is>
          <t>NORRTÄLJE</t>
        </is>
      </c>
      <c r="G452" t="n">
        <v>0.5</v>
      </c>
      <c r="H452" t="n">
        <v>0</v>
      </c>
      <c r="I452" t="n">
        <v>0</v>
      </c>
      <c r="J452" t="n">
        <v>0</v>
      </c>
      <c r="K452" t="n">
        <v>0</v>
      </c>
      <c r="L452" t="n">
        <v>0</v>
      </c>
      <c r="M452" t="n">
        <v>0</v>
      </c>
      <c r="N452" t="n">
        <v>0</v>
      </c>
      <c r="O452" t="n">
        <v>0</v>
      </c>
      <c r="P452" t="n">
        <v>0</v>
      </c>
      <c r="Q452" t="n">
        <v>0</v>
      </c>
      <c r="R452" s="2" t="inlineStr"/>
    </row>
    <row r="453" ht="15" customHeight="1">
      <c r="A453" t="inlineStr">
        <is>
          <t>A 743-2019</t>
        </is>
      </c>
      <c r="B453" s="1" t="n">
        <v>43471</v>
      </c>
      <c r="C453" s="1" t="n">
        <v>45186</v>
      </c>
      <c r="D453" t="inlineStr">
        <is>
          <t>STOCKHOLMS LÄN</t>
        </is>
      </c>
      <c r="E453" t="inlineStr">
        <is>
          <t>NORRTÄLJE</t>
        </is>
      </c>
      <c r="G453" t="n">
        <v>2.7</v>
      </c>
      <c r="H453" t="n">
        <v>0</v>
      </c>
      <c r="I453" t="n">
        <v>0</v>
      </c>
      <c r="J453" t="n">
        <v>0</v>
      </c>
      <c r="K453" t="n">
        <v>0</v>
      </c>
      <c r="L453" t="n">
        <v>0</v>
      </c>
      <c r="M453" t="n">
        <v>0</v>
      </c>
      <c r="N453" t="n">
        <v>0</v>
      </c>
      <c r="O453" t="n">
        <v>0</v>
      </c>
      <c r="P453" t="n">
        <v>0</v>
      </c>
      <c r="Q453" t="n">
        <v>0</v>
      </c>
      <c r="R453" s="2" t="inlineStr"/>
    </row>
    <row r="454" ht="15" customHeight="1">
      <c r="A454" t="inlineStr">
        <is>
          <t>A 751-2019</t>
        </is>
      </c>
      <c r="B454" s="1" t="n">
        <v>43471</v>
      </c>
      <c r="C454" s="1" t="n">
        <v>45186</v>
      </c>
      <c r="D454" t="inlineStr">
        <is>
          <t>STOCKHOLMS LÄN</t>
        </is>
      </c>
      <c r="E454" t="inlineStr">
        <is>
          <t>NORRTÄLJE</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725-2019</t>
        </is>
      </c>
      <c r="B455" s="1" t="n">
        <v>43471</v>
      </c>
      <c r="C455" s="1" t="n">
        <v>45186</v>
      </c>
      <c r="D455" t="inlineStr">
        <is>
          <t>STOCKHOLMS LÄN</t>
        </is>
      </c>
      <c r="E455" t="inlineStr">
        <is>
          <t>NORRTÄLJE</t>
        </is>
      </c>
      <c r="G455" t="n">
        <v>3.3</v>
      </c>
      <c r="H455" t="n">
        <v>0</v>
      </c>
      <c r="I455" t="n">
        <v>0</v>
      </c>
      <c r="J455" t="n">
        <v>0</v>
      </c>
      <c r="K455" t="n">
        <v>0</v>
      </c>
      <c r="L455" t="n">
        <v>0</v>
      </c>
      <c r="M455" t="n">
        <v>0</v>
      </c>
      <c r="N455" t="n">
        <v>0</v>
      </c>
      <c r="O455" t="n">
        <v>0</v>
      </c>
      <c r="P455" t="n">
        <v>0</v>
      </c>
      <c r="Q455" t="n">
        <v>0</v>
      </c>
      <c r="R455" s="2" t="inlineStr"/>
    </row>
    <row r="456" ht="15" customHeight="1">
      <c r="A456" t="inlineStr">
        <is>
          <t>A 740-2019</t>
        </is>
      </c>
      <c r="B456" s="1" t="n">
        <v>43471</v>
      </c>
      <c r="C456" s="1" t="n">
        <v>45186</v>
      </c>
      <c r="D456" t="inlineStr">
        <is>
          <t>STOCKHOLMS LÄN</t>
        </is>
      </c>
      <c r="E456" t="inlineStr">
        <is>
          <t>NORRTÄLJE</t>
        </is>
      </c>
      <c r="G456" t="n">
        <v>11.4</v>
      </c>
      <c r="H456" t="n">
        <v>0</v>
      </c>
      <c r="I456" t="n">
        <v>0</v>
      </c>
      <c r="J456" t="n">
        <v>0</v>
      </c>
      <c r="K456" t="n">
        <v>0</v>
      </c>
      <c r="L456" t="n">
        <v>0</v>
      </c>
      <c r="M456" t="n">
        <v>0</v>
      </c>
      <c r="N456" t="n">
        <v>0</v>
      </c>
      <c r="O456" t="n">
        <v>0</v>
      </c>
      <c r="P456" t="n">
        <v>0</v>
      </c>
      <c r="Q456" t="n">
        <v>0</v>
      </c>
      <c r="R456" s="2" t="inlineStr"/>
    </row>
    <row r="457" ht="15" customHeight="1">
      <c r="A457" t="inlineStr">
        <is>
          <t>A 750-2019</t>
        </is>
      </c>
      <c r="B457" s="1" t="n">
        <v>43471</v>
      </c>
      <c r="C457" s="1" t="n">
        <v>45186</v>
      </c>
      <c r="D457" t="inlineStr">
        <is>
          <t>STOCKHOLMS LÄN</t>
        </is>
      </c>
      <c r="E457" t="inlineStr">
        <is>
          <t>NORRTÄLJE</t>
        </is>
      </c>
      <c r="G457" t="n">
        <v>3.2</v>
      </c>
      <c r="H457" t="n">
        <v>0</v>
      </c>
      <c r="I457" t="n">
        <v>0</v>
      </c>
      <c r="J457" t="n">
        <v>0</v>
      </c>
      <c r="K457" t="n">
        <v>0</v>
      </c>
      <c r="L457" t="n">
        <v>0</v>
      </c>
      <c r="M457" t="n">
        <v>0</v>
      </c>
      <c r="N457" t="n">
        <v>0</v>
      </c>
      <c r="O457" t="n">
        <v>0</v>
      </c>
      <c r="P457" t="n">
        <v>0</v>
      </c>
      <c r="Q457" t="n">
        <v>0</v>
      </c>
      <c r="R457" s="2" t="inlineStr"/>
    </row>
    <row r="458" ht="15" customHeight="1">
      <c r="A458" t="inlineStr">
        <is>
          <t>A 761-2019</t>
        </is>
      </c>
      <c r="B458" s="1" t="n">
        <v>43471</v>
      </c>
      <c r="C458" s="1" t="n">
        <v>45186</v>
      </c>
      <c r="D458" t="inlineStr">
        <is>
          <t>STOCKHOLMS LÄN</t>
        </is>
      </c>
      <c r="E458" t="inlineStr">
        <is>
          <t>NORRTÄLJE</t>
        </is>
      </c>
      <c r="G458" t="n">
        <v>2</v>
      </c>
      <c r="H458" t="n">
        <v>0</v>
      </c>
      <c r="I458" t="n">
        <v>0</v>
      </c>
      <c r="J458" t="n">
        <v>0</v>
      </c>
      <c r="K458" t="n">
        <v>0</v>
      </c>
      <c r="L458" t="n">
        <v>0</v>
      </c>
      <c r="M458" t="n">
        <v>0</v>
      </c>
      <c r="N458" t="n">
        <v>0</v>
      </c>
      <c r="O458" t="n">
        <v>0</v>
      </c>
      <c r="P458" t="n">
        <v>0</v>
      </c>
      <c r="Q458" t="n">
        <v>0</v>
      </c>
      <c r="R458" s="2" t="inlineStr"/>
    </row>
    <row r="459" ht="15" customHeight="1">
      <c r="A459" t="inlineStr">
        <is>
          <t>A 728-2019</t>
        </is>
      </c>
      <c r="B459" s="1" t="n">
        <v>43471</v>
      </c>
      <c r="C459" s="1" t="n">
        <v>45186</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738-2019</t>
        </is>
      </c>
      <c r="B460" s="1" t="n">
        <v>43471</v>
      </c>
      <c r="C460" s="1" t="n">
        <v>45186</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753-2019</t>
        </is>
      </c>
      <c r="B461" s="1" t="n">
        <v>43471</v>
      </c>
      <c r="C461" s="1" t="n">
        <v>45186</v>
      </c>
      <c r="D461" t="inlineStr">
        <is>
          <t>STOCKHOLMS LÄN</t>
        </is>
      </c>
      <c r="E461" t="inlineStr">
        <is>
          <t>NORRTÄLJE</t>
        </is>
      </c>
      <c r="G461" t="n">
        <v>3.1</v>
      </c>
      <c r="H461" t="n">
        <v>0</v>
      </c>
      <c r="I461" t="n">
        <v>0</v>
      </c>
      <c r="J461" t="n">
        <v>0</v>
      </c>
      <c r="K461" t="n">
        <v>0</v>
      </c>
      <c r="L461" t="n">
        <v>0</v>
      </c>
      <c r="M461" t="n">
        <v>0</v>
      </c>
      <c r="N461" t="n">
        <v>0</v>
      </c>
      <c r="O461" t="n">
        <v>0</v>
      </c>
      <c r="P461" t="n">
        <v>0</v>
      </c>
      <c r="Q461" t="n">
        <v>0</v>
      </c>
      <c r="R461" s="2" t="inlineStr"/>
    </row>
    <row r="462" ht="15" customHeight="1">
      <c r="A462" t="inlineStr">
        <is>
          <t>A 727-2019</t>
        </is>
      </c>
      <c r="B462" s="1" t="n">
        <v>43471</v>
      </c>
      <c r="C462" s="1" t="n">
        <v>45186</v>
      </c>
      <c r="D462" t="inlineStr">
        <is>
          <t>STOCKHOLMS LÄN</t>
        </is>
      </c>
      <c r="E462" t="inlineStr">
        <is>
          <t>NORRTÄLJE</t>
        </is>
      </c>
      <c r="G462" t="n">
        <v>4.9</v>
      </c>
      <c r="H462" t="n">
        <v>0</v>
      </c>
      <c r="I462" t="n">
        <v>0</v>
      </c>
      <c r="J462" t="n">
        <v>0</v>
      </c>
      <c r="K462" t="n">
        <v>0</v>
      </c>
      <c r="L462" t="n">
        <v>0</v>
      </c>
      <c r="M462" t="n">
        <v>0</v>
      </c>
      <c r="N462" t="n">
        <v>0</v>
      </c>
      <c r="O462" t="n">
        <v>0</v>
      </c>
      <c r="P462" t="n">
        <v>0</v>
      </c>
      <c r="Q462" t="n">
        <v>0</v>
      </c>
      <c r="R462" s="2" t="inlineStr"/>
    </row>
    <row r="463" ht="15" customHeight="1">
      <c r="A463" t="inlineStr">
        <is>
          <t>A 744-2019</t>
        </is>
      </c>
      <c r="B463" s="1" t="n">
        <v>43471</v>
      </c>
      <c r="C463" s="1" t="n">
        <v>45186</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758-2019</t>
        </is>
      </c>
      <c r="B464" s="1" t="n">
        <v>43471</v>
      </c>
      <c r="C464" s="1" t="n">
        <v>45186</v>
      </c>
      <c r="D464" t="inlineStr">
        <is>
          <t>STOCKHOLMS LÄN</t>
        </is>
      </c>
      <c r="E464" t="inlineStr">
        <is>
          <t>NORRTÄLJE</t>
        </is>
      </c>
      <c r="G464" t="n">
        <v>3</v>
      </c>
      <c r="H464" t="n">
        <v>0</v>
      </c>
      <c r="I464" t="n">
        <v>0</v>
      </c>
      <c r="J464" t="n">
        <v>0</v>
      </c>
      <c r="K464" t="n">
        <v>0</v>
      </c>
      <c r="L464" t="n">
        <v>0</v>
      </c>
      <c r="M464" t="n">
        <v>0</v>
      </c>
      <c r="N464" t="n">
        <v>0</v>
      </c>
      <c r="O464" t="n">
        <v>0</v>
      </c>
      <c r="P464" t="n">
        <v>0</v>
      </c>
      <c r="Q464" t="n">
        <v>0</v>
      </c>
      <c r="R464" s="2" t="inlineStr"/>
    </row>
    <row r="465" ht="15" customHeight="1">
      <c r="A465" t="inlineStr">
        <is>
          <t>A 891-2019</t>
        </is>
      </c>
      <c r="B465" s="1" t="n">
        <v>43472</v>
      </c>
      <c r="C465" s="1" t="n">
        <v>45186</v>
      </c>
      <c r="D465" t="inlineStr">
        <is>
          <t>STOCKHOLMS LÄN</t>
        </is>
      </c>
      <c r="E465" t="inlineStr">
        <is>
          <t>NORRTÄLJE</t>
        </is>
      </c>
      <c r="G465" t="n">
        <v>1.6</v>
      </c>
      <c r="H465" t="n">
        <v>0</v>
      </c>
      <c r="I465" t="n">
        <v>0</v>
      </c>
      <c r="J465" t="n">
        <v>0</v>
      </c>
      <c r="K465" t="n">
        <v>0</v>
      </c>
      <c r="L465" t="n">
        <v>0</v>
      </c>
      <c r="M465" t="n">
        <v>0</v>
      </c>
      <c r="N465" t="n">
        <v>0</v>
      </c>
      <c r="O465" t="n">
        <v>0</v>
      </c>
      <c r="P465" t="n">
        <v>0</v>
      </c>
      <c r="Q465" t="n">
        <v>0</v>
      </c>
      <c r="R465" s="2" t="inlineStr"/>
    </row>
    <row r="466" ht="15" customHeight="1">
      <c r="A466" t="inlineStr">
        <is>
          <t>A 1093-2019</t>
        </is>
      </c>
      <c r="B466" s="1" t="n">
        <v>43472</v>
      </c>
      <c r="C466" s="1" t="n">
        <v>45186</v>
      </c>
      <c r="D466" t="inlineStr">
        <is>
          <t>STOCKHOLMS LÄN</t>
        </is>
      </c>
      <c r="E466" t="inlineStr">
        <is>
          <t>NORRTÄLJE</t>
        </is>
      </c>
      <c r="G466" t="n">
        <v>3.5</v>
      </c>
      <c r="H466" t="n">
        <v>0</v>
      </c>
      <c r="I466" t="n">
        <v>0</v>
      </c>
      <c r="J466" t="n">
        <v>0</v>
      </c>
      <c r="K466" t="n">
        <v>0</v>
      </c>
      <c r="L466" t="n">
        <v>0</v>
      </c>
      <c r="M466" t="n">
        <v>0</v>
      </c>
      <c r="N466" t="n">
        <v>0</v>
      </c>
      <c r="O466" t="n">
        <v>0</v>
      </c>
      <c r="P466" t="n">
        <v>0</v>
      </c>
      <c r="Q466" t="n">
        <v>0</v>
      </c>
      <c r="R466" s="2" t="inlineStr"/>
    </row>
    <row r="467" ht="15" customHeight="1">
      <c r="A467" t="inlineStr">
        <is>
          <t>A 1099-2019</t>
        </is>
      </c>
      <c r="B467" s="1" t="n">
        <v>43472</v>
      </c>
      <c r="C467" s="1" t="n">
        <v>45186</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1252-2019</t>
        </is>
      </c>
      <c r="B468" s="1" t="n">
        <v>43473</v>
      </c>
      <c r="C468" s="1" t="n">
        <v>45186</v>
      </c>
      <c r="D468" t="inlineStr">
        <is>
          <t>STOCKHOLMS LÄN</t>
        </is>
      </c>
      <c r="E468" t="inlineStr">
        <is>
          <t>NORRTÄLJE</t>
        </is>
      </c>
      <c r="G468" t="n">
        <v>3.7</v>
      </c>
      <c r="H468" t="n">
        <v>0</v>
      </c>
      <c r="I468" t="n">
        <v>0</v>
      </c>
      <c r="J468" t="n">
        <v>0</v>
      </c>
      <c r="K468" t="n">
        <v>0</v>
      </c>
      <c r="L468" t="n">
        <v>0</v>
      </c>
      <c r="M468" t="n">
        <v>0</v>
      </c>
      <c r="N468" t="n">
        <v>0</v>
      </c>
      <c r="O468" t="n">
        <v>0</v>
      </c>
      <c r="P468" t="n">
        <v>0</v>
      </c>
      <c r="Q468" t="n">
        <v>0</v>
      </c>
      <c r="R468" s="2" t="inlineStr"/>
    </row>
    <row r="469" ht="15" customHeight="1">
      <c r="A469" t="inlineStr">
        <is>
          <t>A 1336-2019</t>
        </is>
      </c>
      <c r="B469" s="1" t="n">
        <v>43473</v>
      </c>
      <c r="C469" s="1" t="n">
        <v>45186</v>
      </c>
      <c r="D469" t="inlineStr">
        <is>
          <t>STOCKHOLMS LÄN</t>
        </is>
      </c>
      <c r="E469" t="inlineStr">
        <is>
          <t>NORRTÄLJE</t>
        </is>
      </c>
      <c r="G469" t="n">
        <v>4.8</v>
      </c>
      <c r="H469" t="n">
        <v>0</v>
      </c>
      <c r="I469" t="n">
        <v>0</v>
      </c>
      <c r="J469" t="n">
        <v>0</v>
      </c>
      <c r="K469" t="n">
        <v>0</v>
      </c>
      <c r="L469" t="n">
        <v>0</v>
      </c>
      <c r="M469" t="n">
        <v>0</v>
      </c>
      <c r="N469" t="n">
        <v>0</v>
      </c>
      <c r="O469" t="n">
        <v>0</v>
      </c>
      <c r="P469" t="n">
        <v>0</v>
      </c>
      <c r="Q469" t="n">
        <v>0</v>
      </c>
      <c r="R469" s="2" t="inlineStr"/>
    </row>
    <row r="470" ht="15" customHeight="1">
      <c r="A470" t="inlineStr">
        <is>
          <t>A 1349-2019</t>
        </is>
      </c>
      <c r="B470" s="1" t="n">
        <v>43473</v>
      </c>
      <c r="C470" s="1" t="n">
        <v>45186</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3042-2019</t>
        </is>
      </c>
      <c r="B471" s="1" t="n">
        <v>43473</v>
      </c>
      <c r="C471" s="1" t="n">
        <v>45186</v>
      </c>
      <c r="D471" t="inlineStr">
        <is>
          <t>STOCKHOLMS LÄN</t>
        </is>
      </c>
      <c r="E471" t="inlineStr">
        <is>
          <t>NORRTÄLJE</t>
        </is>
      </c>
      <c r="G471" t="n">
        <v>0.9</v>
      </c>
      <c r="H471" t="n">
        <v>0</v>
      </c>
      <c r="I471" t="n">
        <v>0</v>
      </c>
      <c r="J471" t="n">
        <v>0</v>
      </c>
      <c r="K471" t="n">
        <v>0</v>
      </c>
      <c r="L471" t="n">
        <v>0</v>
      </c>
      <c r="M471" t="n">
        <v>0</v>
      </c>
      <c r="N471" t="n">
        <v>0</v>
      </c>
      <c r="O471" t="n">
        <v>0</v>
      </c>
      <c r="P471" t="n">
        <v>0</v>
      </c>
      <c r="Q471" t="n">
        <v>0</v>
      </c>
      <c r="R471" s="2" t="inlineStr"/>
    </row>
    <row r="472" ht="15" customHeight="1">
      <c r="A472" t="inlineStr">
        <is>
          <t>A 3688-2019</t>
        </is>
      </c>
      <c r="B472" s="1" t="n">
        <v>43473</v>
      </c>
      <c r="C472" s="1" t="n">
        <v>45186</v>
      </c>
      <c r="D472" t="inlineStr">
        <is>
          <t>STOCKHOLMS LÄN</t>
        </is>
      </c>
      <c r="E472" t="inlineStr">
        <is>
          <t>NORRTÄLJE</t>
        </is>
      </c>
      <c r="G472" t="n">
        <v>1.3</v>
      </c>
      <c r="H472" t="n">
        <v>0</v>
      </c>
      <c r="I472" t="n">
        <v>0</v>
      </c>
      <c r="J472" t="n">
        <v>0</v>
      </c>
      <c r="K472" t="n">
        <v>0</v>
      </c>
      <c r="L472" t="n">
        <v>0</v>
      </c>
      <c r="M472" t="n">
        <v>0</v>
      </c>
      <c r="N472" t="n">
        <v>0</v>
      </c>
      <c r="O472" t="n">
        <v>0</v>
      </c>
      <c r="P472" t="n">
        <v>0</v>
      </c>
      <c r="Q472" t="n">
        <v>0</v>
      </c>
      <c r="R472" s="2" t="inlineStr"/>
    </row>
    <row r="473" ht="15" customHeight="1">
      <c r="A473" t="inlineStr">
        <is>
          <t>A 1942-2019</t>
        </is>
      </c>
      <c r="B473" s="1" t="n">
        <v>43474</v>
      </c>
      <c r="C473" s="1" t="n">
        <v>45186</v>
      </c>
      <c r="D473" t="inlineStr">
        <is>
          <t>STOCKHOLMS LÄN</t>
        </is>
      </c>
      <c r="E473" t="inlineStr">
        <is>
          <t>VÄRMDÖ</t>
        </is>
      </c>
      <c r="G473" t="n">
        <v>0.7</v>
      </c>
      <c r="H473" t="n">
        <v>0</v>
      </c>
      <c r="I473" t="n">
        <v>0</v>
      </c>
      <c r="J473" t="n">
        <v>0</v>
      </c>
      <c r="K473" t="n">
        <v>0</v>
      </c>
      <c r="L473" t="n">
        <v>0</v>
      </c>
      <c r="M473" t="n">
        <v>0</v>
      </c>
      <c r="N473" t="n">
        <v>0</v>
      </c>
      <c r="O473" t="n">
        <v>0</v>
      </c>
      <c r="P473" t="n">
        <v>0</v>
      </c>
      <c r="Q473" t="n">
        <v>0</v>
      </c>
      <c r="R473" s="2" t="inlineStr"/>
    </row>
    <row r="474" ht="15" customHeight="1">
      <c r="A474" t="inlineStr">
        <is>
          <t>A 2137-2019</t>
        </is>
      </c>
      <c r="B474" s="1" t="n">
        <v>43475</v>
      </c>
      <c r="C474" s="1" t="n">
        <v>45186</v>
      </c>
      <c r="D474" t="inlineStr">
        <is>
          <t>STOCKHOLMS LÄN</t>
        </is>
      </c>
      <c r="E474" t="inlineStr">
        <is>
          <t>NORRTÄLJE</t>
        </is>
      </c>
      <c r="G474" t="n">
        <v>4.3</v>
      </c>
      <c r="H474" t="n">
        <v>0</v>
      </c>
      <c r="I474" t="n">
        <v>0</v>
      </c>
      <c r="J474" t="n">
        <v>0</v>
      </c>
      <c r="K474" t="n">
        <v>0</v>
      </c>
      <c r="L474" t="n">
        <v>0</v>
      </c>
      <c r="M474" t="n">
        <v>0</v>
      </c>
      <c r="N474" t="n">
        <v>0</v>
      </c>
      <c r="O474" t="n">
        <v>0</v>
      </c>
      <c r="P474" t="n">
        <v>0</v>
      </c>
      <c r="Q474" t="n">
        <v>0</v>
      </c>
      <c r="R474" s="2" t="inlineStr"/>
    </row>
    <row r="475" ht="15" customHeight="1">
      <c r="A475" t="inlineStr">
        <is>
          <t>A 2200-2019</t>
        </is>
      </c>
      <c r="B475" s="1" t="n">
        <v>43475</v>
      </c>
      <c r="C475" s="1" t="n">
        <v>45186</v>
      </c>
      <c r="D475" t="inlineStr">
        <is>
          <t>STOCKHOLMS LÄN</t>
        </is>
      </c>
      <c r="E475" t="inlineStr">
        <is>
          <t>NORRTÄLJE</t>
        </is>
      </c>
      <c r="G475" t="n">
        <v>0.7</v>
      </c>
      <c r="H475" t="n">
        <v>0</v>
      </c>
      <c r="I475" t="n">
        <v>0</v>
      </c>
      <c r="J475" t="n">
        <v>0</v>
      </c>
      <c r="K475" t="n">
        <v>0</v>
      </c>
      <c r="L475" t="n">
        <v>0</v>
      </c>
      <c r="M475" t="n">
        <v>0</v>
      </c>
      <c r="N475" t="n">
        <v>0</v>
      </c>
      <c r="O475" t="n">
        <v>0</v>
      </c>
      <c r="P475" t="n">
        <v>0</v>
      </c>
      <c r="Q475" t="n">
        <v>0</v>
      </c>
      <c r="R475" s="2" t="inlineStr"/>
    </row>
    <row r="476" ht="15" customHeight="1">
      <c r="A476" t="inlineStr">
        <is>
          <t>A 2011-2019</t>
        </is>
      </c>
      <c r="B476" s="1" t="n">
        <v>43475</v>
      </c>
      <c r="C476" s="1" t="n">
        <v>45186</v>
      </c>
      <c r="D476" t="inlineStr">
        <is>
          <t>STOCKHOLMS LÄN</t>
        </is>
      </c>
      <c r="E476" t="inlineStr">
        <is>
          <t>NORRTÄLJE</t>
        </is>
      </c>
      <c r="G476" t="n">
        <v>2.9</v>
      </c>
      <c r="H476" t="n">
        <v>0</v>
      </c>
      <c r="I476" t="n">
        <v>0</v>
      </c>
      <c r="J476" t="n">
        <v>0</v>
      </c>
      <c r="K476" t="n">
        <v>0</v>
      </c>
      <c r="L476" t="n">
        <v>0</v>
      </c>
      <c r="M476" t="n">
        <v>0</v>
      </c>
      <c r="N476" t="n">
        <v>0</v>
      </c>
      <c r="O476" t="n">
        <v>0</v>
      </c>
      <c r="P476" t="n">
        <v>0</v>
      </c>
      <c r="Q476" t="n">
        <v>0</v>
      </c>
      <c r="R476" s="2" t="inlineStr"/>
    </row>
    <row r="477" ht="15" customHeight="1">
      <c r="A477" t="inlineStr">
        <is>
          <t>A 2215-2019</t>
        </is>
      </c>
      <c r="B477" s="1" t="n">
        <v>43475</v>
      </c>
      <c r="C477" s="1" t="n">
        <v>45186</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2281-2019</t>
        </is>
      </c>
      <c r="B478" s="1" t="n">
        <v>43475</v>
      </c>
      <c r="C478" s="1" t="n">
        <v>45186</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2143-2019</t>
        </is>
      </c>
      <c r="B479" s="1" t="n">
        <v>43475</v>
      </c>
      <c r="C479" s="1" t="n">
        <v>45186</v>
      </c>
      <c r="D479" t="inlineStr">
        <is>
          <t>STOCKHOLMS LÄN</t>
        </is>
      </c>
      <c r="E479" t="inlineStr">
        <is>
          <t>NORRTÄLJE</t>
        </is>
      </c>
      <c r="G479" t="n">
        <v>1.4</v>
      </c>
      <c r="H479" t="n">
        <v>0</v>
      </c>
      <c r="I479" t="n">
        <v>0</v>
      </c>
      <c r="J479" t="n">
        <v>0</v>
      </c>
      <c r="K479" t="n">
        <v>0</v>
      </c>
      <c r="L479" t="n">
        <v>0</v>
      </c>
      <c r="M479" t="n">
        <v>0</v>
      </c>
      <c r="N479" t="n">
        <v>0</v>
      </c>
      <c r="O479" t="n">
        <v>0</v>
      </c>
      <c r="P479" t="n">
        <v>0</v>
      </c>
      <c r="Q479" t="n">
        <v>0</v>
      </c>
      <c r="R479" s="2" t="inlineStr"/>
    </row>
    <row r="480" ht="15" customHeight="1">
      <c r="A480" t="inlineStr">
        <is>
          <t>A 2251-2019</t>
        </is>
      </c>
      <c r="B480" s="1" t="n">
        <v>43475</v>
      </c>
      <c r="C480" s="1" t="n">
        <v>45186</v>
      </c>
      <c r="D480" t="inlineStr">
        <is>
          <t>STOCKHOLMS LÄN</t>
        </is>
      </c>
      <c r="E480" t="inlineStr">
        <is>
          <t>NORRTÄLJE</t>
        </is>
      </c>
      <c r="G480" t="n">
        <v>3.9</v>
      </c>
      <c r="H480" t="n">
        <v>0</v>
      </c>
      <c r="I480" t="n">
        <v>0</v>
      </c>
      <c r="J480" t="n">
        <v>0</v>
      </c>
      <c r="K480" t="n">
        <v>0</v>
      </c>
      <c r="L480" t="n">
        <v>0</v>
      </c>
      <c r="M480" t="n">
        <v>0</v>
      </c>
      <c r="N480" t="n">
        <v>0</v>
      </c>
      <c r="O480" t="n">
        <v>0</v>
      </c>
      <c r="P480" t="n">
        <v>0</v>
      </c>
      <c r="Q480" t="n">
        <v>0</v>
      </c>
      <c r="R480" s="2" t="inlineStr"/>
    </row>
    <row r="481" ht="15" customHeight="1">
      <c r="A481" t="inlineStr">
        <is>
          <t>A 2259-2019</t>
        </is>
      </c>
      <c r="B481" s="1" t="n">
        <v>43475</v>
      </c>
      <c r="C481" s="1" t="n">
        <v>45186</v>
      </c>
      <c r="D481" t="inlineStr">
        <is>
          <t>STOCKHOLMS LÄN</t>
        </is>
      </c>
      <c r="E481" t="inlineStr">
        <is>
          <t>NORRTÄLJE</t>
        </is>
      </c>
      <c r="G481" t="n">
        <v>6.3</v>
      </c>
      <c r="H481" t="n">
        <v>0</v>
      </c>
      <c r="I481" t="n">
        <v>0</v>
      </c>
      <c r="J481" t="n">
        <v>0</v>
      </c>
      <c r="K481" t="n">
        <v>0</v>
      </c>
      <c r="L481" t="n">
        <v>0</v>
      </c>
      <c r="M481" t="n">
        <v>0</v>
      </c>
      <c r="N481" t="n">
        <v>0</v>
      </c>
      <c r="O481" t="n">
        <v>0</v>
      </c>
      <c r="P481" t="n">
        <v>0</v>
      </c>
      <c r="Q481" t="n">
        <v>0</v>
      </c>
      <c r="R481" s="2" t="inlineStr"/>
    </row>
    <row r="482" ht="15" customHeight="1">
      <c r="A482" t="inlineStr">
        <is>
          <t>A 3848-2019</t>
        </is>
      </c>
      <c r="B482" s="1" t="n">
        <v>43475</v>
      </c>
      <c r="C482" s="1" t="n">
        <v>45186</v>
      </c>
      <c r="D482" t="inlineStr">
        <is>
          <t>STOCKHOLMS LÄN</t>
        </is>
      </c>
      <c r="E482" t="inlineStr">
        <is>
          <t>NORRTÄLJE</t>
        </is>
      </c>
      <c r="G482" t="n">
        <v>2.5</v>
      </c>
      <c r="H482" t="n">
        <v>0</v>
      </c>
      <c r="I482" t="n">
        <v>0</v>
      </c>
      <c r="J482" t="n">
        <v>0</v>
      </c>
      <c r="K482" t="n">
        <v>0</v>
      </c>
      <c r="L482" t="n">
        <v>0</v>
      </c>
      <c r="M482" t="n">
        <v>0</v>
      </c>
      <c r="N482" t="n">
        <v>0</v>
      </c>
      <c r="O482" t="n">
        <v>0</v>
      </c>
      <c r="P482" t="n">
        <v>0</v>
      </c>
      <c r="Q482" t="n">
        <v>0</v>
      </c>
      <c r="R482" s="2" t="inlineStr"/>
    </row>
    <row r="483" ht="15" customHeight="1">
      <c r="A483" t="inlineStr">
        <is>
          <t>A 1996-2019</t>
        </is>
      </c>
      <c r="B483" s="1" t="n">
        <v>43475</v>
      </c>
      <c r="C483" s="1" t="n">
        <v>45186</v>
      </c>
      <c r="D483" t="inlineStr">
        <is>
          <t>STOCKHOLMS LÄN</t>
        </is>
      </c>
      <c r="E483" t="inlineStr">
        <is>
          <t>NORRTÄLJE</t>
        </is>
      </c>
      <c r="G483" t="n">
        <v>3.3</v>
      </c>
      <c r="H483" t="n">
        <v>0</v>
      </c>
      <c r="I483" t="n">
        <v>0</v>
      </c>
      <c r="J483" t="n">
        <v>0</v>
      </c>
      <c r="K483" t="n">
        <v>0</v>
      </c>
      <c r="L483" t="n">
        <v>0</v>
      </c>
      <c r="M483" t="n">
        <v>0</v>
      </c>
      <c r="N483" t="n">
        <v>0</v>
      </c>
      <c r="O483" t="n">
        <v>0</v>
      </c>
      <c r="P483" t="n">
        <v>0</v>
      </c>
      <c r="Q483" t="n">
        <v>0</v>
      </c>
      <c r="R483" s="2" t="inlineStr"/>
    </row>
    <row r="484" ht="15" customHeight="1">
      <c r="A484" t="inlineStr">
        <is>
          <t>A 2571-2019</t>
        </is>
      </c>
      <c r="B484" s="1" t="n">
        <v>43476</v>
      </c>
      <c r="C484" s="1" t="n">
        <v>45186</v>
      </c>
      <c r="D484" t="inlineStr">
        <is>
          <t>STOCKHOLMS LÄN</t>
        </is>
      </c>
      <c r="E484" t="inlineStr">
        <is>
          <t>NORRTÄLJE</t>
        </is>
      </c>
      <c r="G484" t="n">
        <v>16.5</v>
      </c>
      <c r="H484" t="n">
        <v>0</v>
      </c>
      <c r="I484" t="n">
        <v>0</v>
      </c>
      <c r="J484" t="n">
        <v>0</v>
      </c>
      <c r="K484" t="n">
        <v>0</v>
      </c>
      <c r="L484" t="n">
        <v>0</v>
      </c>
      <c r="M484" t="n">
        <v>0</v>
      </c>
      <c r="N484" t="n">
        <v>0</v>
      </c>
      <c r="O484" t="n">
        <v>0</v>
      </c>
      <c r="P484" t="n">
        <v>0</v>
      </c>
      <c r="Q484" t="n">
        <v>0</v>
      </c>
      <c r="R484" s="2" t="inlineStr"/>
    </row>
    <row r="485" ht="15" customHeight="1">
      <c r="A485" t="inlineStr">
        <is>
          <t>A 2575-2019</t>
        </is>
      </c>
      <c r="B485" s="1" t="n">
        <v>43476</v>
      </c>
      <c r="C485" s="1" t="n">
        <v>45186</v>
      </c>
      <c r="D485" t="inlineStr">
        <is>
          <t>STOCKHOLMS LÄN</t>
        </is>
      </c>
      <c r="E485" t="inlineStr">
        <is>
          <t>HANINGE</t>
        </is>
      </c>
      <c r="F485" t="inlineStr">
        <is>
          <t>Kommuner</t>
        </is>
      </c>
      <c r="G485" t="n">
        <v>2.6</v>
      </c>
      <c r="H485" t="n">
        <v>0</v>
      </c>
      <c r="I485" t="n">
        <v>0</v>
      </c>
      <c r="J485" t="n">
        <v>0</v>
      </c>
      <c r="K485" t="n">
        <v>0</v>
      </c>
      <c r="L485" t="n">
        <v>0</v>
      </c>
      <c r="M485" t="n">
        <v>0</v>
      </c>
      <c r="N485" t="n">
        <v>0</v>
      </c>
      <c r="O485" t="n">
        <v>0</v>
      </c>
      <c r="P485" t="n">
        <v>0</v>
      </c>
      <c r="Q485" t="n">
        <v>0</v>
      </c>
      <c r="R485" s="2" t="inlineStr"/>
    </row>
    <row r="486" ht="15" customHeight="1">
      <c r="A486" t="inlineStr">
        <is>
          <t>A 2568-2019</t>
        </is>
      </c>
      <c r="B486" s="1" t="n">
        <v>43476</v>
      </c>
      <c r="C486" s="1" t="n">
        <v>45186</v>
      </c>
      <c r="D486" t="inlineStr">
        <is>
          <t>STOCKHOLMS LÄN</t>
        </is>
      </c>
      <c r="E486" t="inlineStr">
        <is>
          <t>NORRTÄLJE</t>
        </is>
      </c>
      <c r="G486" t="n">
        <v>7.4</v>
      </c>
      <c r="H486" t="n">
        <v>0</v>
      </c>
      <c r="I486" t="n">
        <v>0</v>
      </c>
      <c r="J486" t="n">
        <v>0</v>
      </c>
      <c r="K486" t="n">
        <v>0</v>
      </c>
      <c r="L486" t="n">
        <v>0</v>
      </c>
      <c r="M486" t="n">
        <v>0</v>
      </c>
      <c r="N486" t="n">
        <v>0</v>
      </c>
      <c r="O486" t="n">
        <v>0</v>
      </c>
      <c r="P486" t="n">
        <v>0</v>
      </c>
      <c r="Q486" t="n">
        <v>0</v>
      </c>
      <c r="R486" s="2" t="inlineStr"/>
    </row>
    <row r="487" ht="15" customHeight="1">
      <c r="A487" t="inlineStr">
        <is>
          <t>A 2626-2019</t>
        </is>
      </c>
      <c r="B487" s="1" t="n">
        <v>43477</v>
      </c>
      <c r="C487" s="1" t="n">
        <v>45186</v>
      </c>
      <c r="D487" t="inlineStr">
        <is>
          <t>STOCKHOLMS LÄN</t>
        </is>
      </c>
      <c r="E487" t="inlineStr">
        <is>
          <t>NORRTÄLJE</t>
        </is>
      </c>
      <c r="G487" t="n">
        <v>4.5</v>
      </c>
      <c r="H487" t="n">
        <v>0</v>
      </c>
      <c r="I487" t="n">
        <v>0</v>
      </c>
      <c r="J487" t="n">
        <v>0</v>
      </c>
      <c r="K487" t="n">
        <v>0</v>
      </c>
      <c r="L487" t="n">
        <v>0</v>
      </c>
      <c r="M487" t="n">
        <v>0</v>
      </c>
      <c r="N487" t="n">
        <v>0</v>
      </c>
      <c r="O487" t="n">
        <v>0</v>
      </c>
      <c r="P487" t="n">
        <v>0</v>
      </c>
      <c r="Q487" t="n">
        <v>0</v>
      </c>
      <c r="R487" s="2" t="inlineStr"/>
    </row>
    <row r="488" ht="15" customHeight="1">
      <c r="A488" t="inlineStr">
        <is>
          <t>A 2628-2019</t>
        </is>
      </c>
      <c r="B488" s="1" t="n">
        <v>43477</v>
      </c>
      <c r="C488" s="1" t="n">
        <v>45186</v>
      </c>
      <c r="D488" t="inlineStr">
        <is>
          <t>STOCKHOLMS LÄN</t>
        </is>
      </c>
      <c r="E488" t="inlineStr">
        <is>
          <t>NORRTÄLJE</t>
        </is>
      </c>
      <c r="G488" t="n">
        <v>2.9</v>
      </c>
      <c r="H488" t="n">
        <v>0</v>
      </c>
      <c r="I488" t="n">
        <v>0</v>
      </c>
      <c r="J488" t="n">
        <v>0</v>
      </c>
      <c r="K488" t="n">
        <v>0</v>
      </c>
      <c r="L488" t="n">
        <v>0</v>
      </c>
      <c r="M488" t="n">
        <v>0</v>
      </c>
      <c r="N488" t="n">
        <v>0</v>
      </c>
      <c r="O488" t="n">
        <v>0</v>
      </c>
      <c r="P488" t="n">
        <v>0</v>
      </c>
      <c r="Q488" t="n">
        <v>0</v>
      </c>
      <c r="R488" s="2" t="inlineStr"/>
    </row>
    <row r="489" ht="15" customHeight="1">
      <c r="A489" t="inlineStr">
        <is>
          <t>A 2635-2019</t>
        </is>
      </c>
      <c r="B489" s="1" t="n">
        <v>43478</v>
      </c>
      <c r="C489" s="1" t="n">
        <v>45186</v>
      </c>
      <c r="D489" t="inlineStr">
        <is>
          <t>STOCKHOLMS LÄN</t>
        </is>
      </c>
      <c r="E489" t="inlineStr">
        <is>
          <t>NORRTÄLJE</t>
        </is>
      </c>
      <c r="G489" t="n">
        <v>5</v>
      </c>
      <c r="H489" t="n">
        <v>0</v>
      </c>
      <c r="I489" t="n">
        <v>0</v>
      </c>
      <c r="J489" t="n">
        <v>0</v>
      </c>
      <c r="K489" t="n">
        <v>0</v>
      </c>
      <c r="L489" t="n">
        <v>0</v>
      </c>
      <c r="M489" t="n">
        <v>0</v>
      </c>
      <c r="N489" t="n">
        <v>0</v>
      </c>
      <c r="O489" t="n">
        <v>0</v>
      </c>
      <c r="P489" t="n">
        <v>0</v>
      </c>
      <c r="Q489" t="n">
        <v>0</v>
      </c>
      <c r="R489" s="2" t="inlineStr"/>
    </row>
    <row r="490" ht="15" customHeight="1">
      <c r="A490" t="inlineStr">
        <is>
          <t>A 2651-2019</t>
        </is>
      </c>
      <c r="B490" s="1" t="n">
        <v>43478</v>
      </c>
      <c r="C490" s="1" t="n">
        <v>45186</v>
      </c>
      <c r="D490" t="inlineStr">
        <is>
          <t>STOCKHOLMS LÄN</t>
        </is>
      </c>
      <c r="E490" t="inlineStr">
        <is>
          <t>NORRTÄLJE</t>
        </is>
      </c>
      <c r="G490" t="n">
        <v>2.2</v>
      </c>
      <c r="H490" t="n">
        <v>0</v>
      </c>
      <c r="I490" t="n">
        <v>0</v>
      </c>
      <c r="J490" t="n">
        <v>0</v>
      </c>
      <c r="K490" t="n">
        <v>0</v>
      </c>
      <c r="L490" t="n">
        <v>0</v>
      </c>
      <c r="M490" t="n">
        <v>0</v>
      </c>
      <c r="N490" t="n">
        <v>0</v>
      </c>
      <c r="O490" t="n">
        <v>0</v>
      </c>
      <c r="P490" t="n">
        <v>0</v>
      </c>
      <c r="Q490" t="n">
        <v>0</v>
      </c>
      <c r="R490" s="2" t="inlineStr"/>
    </row>
    <row r="491" ht="15" customHeight="1">
      <c r="A491" t="inlineStr">
        <is>
          <t>A 2657-2019</t>
        </is>
      </c>
      <c r="B491" s="1" t="n">
        <v>43478</v>
      </c>
      <c r="C491" s="1" t="n">
        <v>45186</v>
      </c>
      <c r="D491" t="inlineStr">
        <is>
          <t>STOCKHOLMS LÄN</t>
        </is>
      </c>
      <c r="E491" t="inlineStr">
        <is>
          <t>NORRTÄLJE</t>
        </is>
      </c>
      <c r="G491" t="n">
        <v>2.4</v>
      </c>
      <c r="H491" t="n">
        <v>0</v>
      </c>
      <c r="I491" t="n">
        <v>0</v>
      </c>
      <c r="J491" t="n">
        <v>0</v>
      </c>
      <c r="K491" t="n">
        <v>0</v>
      </c>
      <c r="L491" t="n">
        <v>0</v>
      </c>
      <c r="M491" t="n">
        <v>0</v>
      </c>
      <c r="N491" t="n">
        <v>0</v>
      </c>
      <c r="O491" t="n">
        <v>0</v>
      </c>
      <c r="P491" t="n">
        <v>0</v>
      </c>
      <c r="Q491" t="n">
        <v>0</v>
      </c>
      <c r="R491" s="2" t="inlineStr"/>
    </row>
    <row r="492" ht="15" customHeight="1">
      <c r="A492" t="inlineStr">
        <is>
          <t>A 2646-2019</t>
        </is>
      </c>
      <c r="B492" s="1" t="n">
        <v>43478</v>
      </c>
      <c r="C492" s="1" t="n">
        <v>45186</v>
      </c>
      <c r="D492" t="inlineStr">
        <is>
          <t>STOCKHOLMS LÄN</t>
        </is>
      </c>
      <c r="E492" t="inlineStr">
        <is>
          <t>NORRTÄLJE</t>
        </is>
      </c>
      <c r="G492" t="n">
        <v>1.8</v>
      </c>
      <c r="H492" t="n">
        <v>0</v>
      </c>
      <c r="I492" t="n">
        <v>0</v>
      </c>
      <c r="J492" t="n">
        <v>0</v>
      </c>
      <c r="K492" t="n">
        <v>0</v>
      </c>
      <c r="L492" t="n">
        <v>0</v>
      </c>
      <c r="M492" t="n">
        <v>0</v>
      </c>
      <c r="N492" t="n">
        <v>0</v>
      </c>
      <c r="O492" t="n">
        <v>0</v>
      </c>
      <c r="P492" t="n">
        <v>0</v>
      </c>
      <c r="Q492" t="n">
        <v>0</v>
      </c>
      <c r="R492" s="2" t="inlineStr"/>
    </row>
    <row r="493" ht="15" customHeight="1">
      <c r="A493" t="inlineStr">
        <is>
          <t>A 2659-2019</t>
        </is>
      </c>
      <c r="B493" s="1" t="n">
        <v>43478</v>
      </c>
      <c r="C493" s="1" t="n">
        <v>45186</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2658-2019</t>
        </is>
      </c>
      <c r="B494" s="1" t="n">
        <v>43478</v>
      </c>
      <c r="C494" s="1" t="n">
        <v>45186</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2634-2019</t>
        </is>
      </c>
      <c r="B495" s="1" t="n">
        <v>43478</v>
      </c>
      <c r="C495" s="1" t="n">
        <v>45186</v>
      </c>
      <c r="D495" t="inlineStr">
        <is>
          <t>STOCKHOLMS LÄN</t>
        </is>
      </c>
      <c r="E495" t="inlineStr">
        <is>
          <t>NORRTÄLJE</t>
        </is>
      </c>
      <c r="G495" t="n">
        <v>2.7</v>
      </c>
      <c r="H495" t="n">
        <v>0</v>
      </c>
      <c r="I495" t="n">
        <v>0</v>
      </c>
      <c r="J495" t="n">
        <v>0</v>
      </c>
      <c r="K495" t="n">
        <v>0</v>
      </c>
      <c r="L495" t="n">
        <v>0</v>
      </c>
      <c r="M495" t="n">
        <v>0</v>
      </c>
      <c r="N495" t="n">
        <v>0</v>
      </c>
      <c r="O495" t="n">
        <v>0</v>
      </c>
      <c r="P495" t="n">
        <v>0</v>
      </c>
      <c r="Q495" t="n">
        <v>0</v>
      </c>
      <c r="R495" s="2" t="inlineStr"/>
    </row>
    <row r="496" ht="15" customHeight="1">
      <c r="A496" t="inlineStr">
        <is>
          <t>A 2655-2019</t>
        </is>
      </c>
      <c r="B496" s="1" t="n">
        <v>43478</v>
      </c>
      <c r="C496" s="1" t="n">
        <v>45186</v>
      </c>
      <c r="D496" t="inlineStr">
        <is>
          <t>STOCKHOLMS LÄN</t>
        </is>
      </c>
      <c r="E496" t="inlineStr">
        <is>
          <t>NORRTÄLJE</t>
        </is>
      </c>
      <c r="G496" t="n">
        <v>3.6</v>
      </c>
      <c r="H496" t="n">
        <v>0</v>
      </c>
      <c r="I496" t="n">
        <v>0</v>
      </c>
      <c r="J496" t="n">
        <v>0</v>
      </c>
      <c r="K496" t="n">
        <v>0</v>
      </c>
      <c r="L496" t="n">
        <v>0</v>
      </c>
      <c r="M496" t="n">
        <v>0</v>
      </c>
      <c r="N496" t="n">
        <v>0</v>
      </c>
      <c r="O496" t="n">
        <v>0</v>
      </c>
      <c r="P496" t="n">
        <v>0</v>
      </c>
      <c r="Q496" t="n">
        <v>0</v>
      </c>
      <c r="R496" s="2" t="inlineStr"/>
    </row>
    <row r="497" ht="15" customHeight="1">
      <c r="A497" t="inlineStr">
        <is>
          <t>A 2833-2019</t>
        </is>
      </c>
      <c r="B497" s="1" t="n">
        <v>43479</v>
      </c>
      <c r="C497" s="1" t="n">
        <v>45186</v>
      </c>
      <c r="D497" t="inlineStr">
        <is>
          <t>STOCKHOLMS LÄN</t>
        </is>
      </c>
      <c r="E497" t="inlineStr">
        <is>
          <t>NORRTÄLJE</t>
        </is>
      </c>
      <c r="G497" t="n">
        <v>3.9</v>
      </c>
      <c r="H497" t="n">
        <v>0</v>
      </c>
      <c r="I497" t="n">
        <v>0</v>
      </c>
      <c r="J497" t="n">
        <v>0</v>
      </c>
      <c r="K497" t="n">
        <v>0</v>
      </c>
      <c r="L497" t="n">
        <v>0</v>
      </c>
      <c r="M497" t="n">
        <v>0</v>
      </c>
      <c r="N497" t="n">
        <v>0</v>
      </c>
      <c r="O497" t="n">
        <v>0</v>
      </c>
      <c r="P497" t="n">
        <v>0</v>
      </c>
      <c r="Q497" t="n">
        <v>0</v>
      </c>
      <c r="R497" s="2" t="inlineStr"/>
    </row>
    <row r="498" ht="15" customHeight="1">
      <c r="A498" t="inlineStr">
        <is>
          <t>A 2839-2019</t>
        </is>
      </c>
      <c r="B498" s="1" t="n">
        <v>43479</v>
      </c>
      <c r="C498" s="1" t="n">
        <v>45186</v>
      </c>
      <c r="D498" t="inlineStr">
        <is>
          <t>STOCKHOLMS LÄN</t>
        </is>
      </c>
      <c r="E498" t="inlineStr">
        <is>
          <t>NORRTÄLJE</t>
        </is>
      </c>
      <c r="G498" t="n">
        <v>4</v>
      </c>
      <c r="H498" t="n">
        <v>0</v>
      </c>
      <c r="I498" t="n">
        <v>0</v>
      </c>
      <c r="J498" t="n">
        <v>0</v>
      </c>
      <c r="K498" t="n">
        <v>0</v>
      </c>
      <c r="L498" t="n">
        <v>0</v>
      </c>
      <c r="M498" t="n">
        <v>0</v>
      </c>
      <c r="N498" t="n">
        <v>0</v>
      </c>
      <c r="O498" t="n">
        <v>0</v>
      </c>
      <c r="P498" t="n">
        <v>0</v>
      </c>
      <c r="Q498" t="n">
        <v>0</v>
      </c>
      <c r="R498" s="2" t="inlineStr"/>
    </row>
    <row r="499" ht="15" customHeight="1">
      <c r="A499" t="inlineStr">
        <is>
          <t>A 2967-2019</t>
        </is>
      </c>
      <c r="B499" s="1" t="n">
        <v>43479</v>
      </c>
      <c r="C499" s="1" t="n">
        <v>45186</v>
      </c>
      <c r="D499" t="inlineStr">
        <is>
          <t>STOCKHOLMS LÄN</t>
        </is>
      </c>
      <c r="E499" t="inlineStr">
        <is>
          <t>NYNÄSHAMN</t>
        </is>
      </c>
      <c r="G499" t="n">
        <v>2.2</v>
      </c>
      <c r="H499" t="n">
        <v>0</v>
      </c>
      <c r="I499" t="n">
        <v>0</v>
      </c>
      <c r="J499" t="n">
        <v>0</v>
      </c>
      <c r="K499" t="n">
        <v>0</v>
      </c>
      <c r="L499" t="n">
        <v>0</v>
      </c>
      <c r="M499" t="n">
        <v>0</v>
      </c>
      <c r="N499" t="n">
        <v>0</v>
      </c>
      <c r="O499" t="n">
        <v>0</v>
      </c>
      <c r="P499" t="n">
        <v>0</v>
      </c>
      <c r="Q499" t="n">
        <v>0</v>
      </c>
      <c r="R499" s="2" t="inlineStr"/>
    </row>
    <row r="500" ht="15" customHeight="1">
      <c r="A500" t="inlineStr">
        <is>
          <t>A 3054-2019</t>
        </is>
      </c>
      <c r="B500" s="1" t="n">
        <v>43479</v>
      </c>
      <c r="C500" s="1" t="n">
        <v>45186</v>
      </c>
      <c r="D500" t="inlineStr">
        <is>
          <t>STOCKHOLMS LÄN</t>
        </is>
      </c>
      <c r="E500" t="inlineStr">
        <is>
          <t>SIGTUNA</t>
        </is>
      </c>
      <c r="G500" t="n">
        <v>1.4</v>
      </c>
      <c r="H500" t="n">
        <v>0</v>
      </c>
      <c r="I500" t="n">
        <v>0</v>
      </c>
      <c r="J500" t="n">
        <v>0</v>
      </c>
      <c r="K500" t="n">
        <v>0</v>
      </c>
      <c r="L500" t="n">
        <v>0</v>
      </c>
      <c r="M500" t="n">
        <v>0</v>
      </c>
      <c r="N500" t="n">
        <v>0</v>
      </c>
      <c r="O500" t="n">
        <v>0</v>
      </c>
      <c r="P500" t="n">
        <v>0</v>
      </c>
      <c r="Q500" t="n">
        <v>0</v>
      </c>
      <c r="R500" s="2" t="inlineStr"/>
    </row>
    <row r="501" ht="15" customHeight="1">
      <c r="A501" t="inlineStr">
        <is>
          <t>A 4731-2019</t>
        </is>
      </c>
      <c r="B501" s="1" t="n">
        <v>43479</v>
      </c>
      <c r="C501" s="1" t="n">
        <v>45186</v>
      </c>
      <c r="D501" t="inlineStr">
        <is>
          <t>STOCKHOLMS LÄN</t>
        </is>
      </c>
      <c r="E501" t="inlineStr">
        <is>
          <t>NORRTÄLJE</t>
        </is>
      </c>
      <c r="G501" t="n">
        <v>1</v>
      </c>
      <c r="H501" t="n">
        <v>0</v>
      </c>
      <c r="I501" t="n">
        <v>0</v>
      </c>
      <c r="J501" t="n">
        <v>0</v>
      </c>
      <c r="K501" t="n">
        <v>0</v>
      </c>
      <c r="L501" t="n">
        <v>0</v>
      </c>
      <c r="M501" t="n">
        <v>0</v>
      </c>
      <c r="N501" t="n">
        <v>0</v>
      </c>
      <c r="O501" t="n">
        <v>0</v>
      </c>
      <c r="P501" t="n">
        <v>0</v>
      </c>
      <c r="Q501" t="n">
        <v>0</v>
      </c>
      <c r="R501" s="2" t="inlineStr"/>
    </row>
    <row r="502" ht="15" customHeight="1">
      <c r="A502" t="inlineStr">
        <is>
          <t>A 2823-2019</t>
        </is>
      </c>
      <c r="B502" s="1" t="n">
        <v>43479</v>
      </c>
      <c r="C502" s="1" t="n">
        <v>45186</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2966-2019</t>
        </is>
      </c>
      <c r="B503" s="1" t="n">
        <v>43479</v>
      </c>
      <c r="C503" s="1" t="n">
        <v>45186</v>
      </c>
      <c r="D503" t="inlineStr">
        <is>
          <t>STOCKHOLMS LÄN</t>
        </is>
      </c>
      <c r="E503" t="inlineStr">
        <is>
          <t>NORRTÄLJE</t>
        </is>
      </c>
      <c r="G503" t="n">
        <v>4.2</v>
      </c>
      <c r="H503" t="n">
        <v>0</v>
      </c>
      <c r="I503" t="n">
        <v>0</v>
      </c>
      <c r="J503" t="n">
        <v>0</v>
      </c>
      <c r="K503" t="n">
        <v>0</v>
      </c>
      <c r="L503" t="n">
        <v>0</v>
      </c>
      <c r="M503" t="n">
        <v>0</v>
      </c>
      <c r="N503" t="n">
        <v>0</v>
      </c>
      <c r="O503" t="n">
        <v>0</v>
      </c>
      <c r="P503" t="n">
        <v>0</v>
      </c>
      <c r="Q503" t="n">
        <v>0</v>
      </c>
      <c r="R503" s="2" t="inlineStr"/>
    </row>
    <row r="504" ht="15" customHeight="1">
      <c r="A504" t="inlineStr">
        <is>
          <t>A 3079-2019</t>
        </is>
      </c>
      <c r="B504" s="1" t="n">
        <v>43479</v>
      </c>
      <c r="C504" s="1" t="n">
        <v>45186</v>
      </c>
      <c r="D504" t="inlineStr">
        <is>
          <t>STOCKHOLMS LÄN</t>
        </is>
      </c>
      <c r="E504" t="inlineStr">
        <is>
          <t>NORRTÄLJE</t>
        </is>
      </c>
      <c r="G504" t="n">
        <v>13.6</v>
      </c>
      <c r="H504" t="n">
        <v>0</v>
      </c>
      <c r="I504" t="n">
        <v>0</v>
      </c>
      <c r="J504" t="n">
        <v>0</v>
      </c>
      <c r="K504" t="n">
        <v>0</v>
      </c>
      <c r="L504" t="n">
        <v>0</v>
      </c>
      <c r="M504" t="n">
        <v>0</v>
      </c>
      <c r="N504" t="n">
        <v>0</v>
      </c>
      <c r="O504" t="n">
        <v>0</v>
      </c>
      <c r="P504" t="n">
        <v>0</v>
      </c>
      <c r="Q504" t="n">
        <v>0</v>
      </c>
      <c r="R504" s="2" t="inlineStr"/>
    </row>
    <row r="505" ht="15" customHeight="1">
      <c r="A505" t="inlineStr">
        <is>
          <t>A 2731-2019</t>
        </is>
      </c>
      <c r="B505" s="1" t="n">
        <v>43479</v>
      </c>
      <c r="C505" s="1" t="n">
        <v>45186</v>
      </c>
      <c r="D505" t="inlineStr">
        <is>
          <t>STOCKHOLMS LÄN</t>
        </is>
      </c>
      <c r="E505" t="inlineStr">
        <is>
          <t>NYKVARN</t>
        </is>
      </c>
      <c r="G505" t="n">
        <v>1.3</v>
      </c>
      <c r="H505" t="n">
        <v>0</v>
      </c>
      <c r="I505" t="n">
        <v>0</v>
      </c>
      <c r="J505" t="n">
        <v>0</v>
      </c>
      <c r="K505" t="n">
        <v>0</v>
      </c>
      <c r="L505" t="n">
        <v>0</v>
      </c>
      <c r="M505" t="n">
        <v>0</v>
      </c>
      <c r="N505" t="n">
        <v>0</v>
      </c>
      <c r="O505" t="n">
        <v>0</v>
      </c>
      <c r="P505" t="n">
        <v>0</v>
      </c>
      <c r="Q505" t="n">
        <v>0</v>
      </c>
      <c r="R505" s="2" t="inlineStr"/>
    </row>
    <row r="506" ht="15" customHeight="1">
      <c r="A506" t="inlineStr">
        <is>
          <t>A 2796-2019</t>
        </is>
      </c>
      <c r="B506" s="1" t="n">
        <v>43479</v>
      </c>
      <c r="C506" s="1" t="n">
        <v>45186</v>
      </c>
      <c r="D506" t="inlineStr">
        <is>
          <t>STOCKHOLMS LÄN</t>
        </is>
      </c>
      <c r="E506" t="inlineStr">
        <is>
          <t>NORRTÄLJE</t>
        </is>
      </c>
      <c r="G506" t="n">
        <v>2.3</v>
      </c>
      <c r="H506" t="n">
        <v>0</v>
      </c>
      <c r="I506" t="n">
        <v>0</v>
      </c>
      <c r="J506" t="n">
        <v>0</v>
      </c>
      <c r="K506" t="n">
        <v>0</v>
      </c>
      <c r="L506" t="n">
        <v>0</v>
      </c>
      <c r="M506" t="n">
        <v>0</v>
      </c>
      <c r="N506" t="n">
        <v>0</v>
      </c>
      <c r="O506" t="n">
        <v>0</v>
      </c>
      <c r="P506" t="n">
        <v>0</v>
      </c>
      <c r="Q506" t="n">
        <v>0</v>
      </c>
      <c r="R506" s="2" t="inlineStr"/>
    </row>
    <row r="507" ht="15" customHeight="1">
      <c r="A507" t="inlineStr">
        <is>
          <t>A 3088-2019</t>
        </is>
      </c>
      <c r="B507" s="1" t="n">
        <v>43479</v>
      </c>
      <c r="C507" s="1" t="n">
        <v>45186</v>
      </c>
      <c r="D507" t="inlineStr">
        <is>
          <t>STOCKHOLMS LÄN</t>
        </is>
      </c>
      <c r="E507" t="inlineStr">
        <is>
          <t>NORRTÄLJE</t>
        </is>
      </c>
      <c r="G507" t="n">
        <v>5.2</v>
      </c>
      <c r="H507" t="n">
        <v>0</v>
      </c>
      <c r="I507" t="n">
        <v>0</v>
      </c>
      <c r="J507" t="n">
        <v>0</v>
      </c>
      <c r="K507" t="n">
        <v>0</v>
      </c>
      <c r="L507" t="n">
        <v>0</v>
      </c>
      <c r="M507" t="n">
        <v>0</v>
      </c>
      <c r="N507" t="n">
        <v>0</v>
      </c>
      <c r="O507" t="n">
        <v>0</v>
      </c>
      <c r="P507" t="n">
        <v>0</v>
      </c>
      <c r="Q507" t="n">
        <v>0</v>
      </c>
      <c r="R507" s="2" t="inlineStr"/>
    </row>
    <row r="508" ht="15" customHeight="1">
      <c r="A508" t="inlineStr">
        <is>
          <t>A 3133-2019</t>
        </is>
      </c>
      <c r="B508" s="1" t="n">
        <v>43480</v>
      </c>
      <c r="C508" s="1" t="n">
        <v>45186</v>
      </c>
      <c r="D508" t="inlineStr">
        <is>
          <t>STOCKHOLMS LÄN</t>
        </is>
      </c>
      <c r="E508" t="inlineStr">
        <is>
          <t>NORRTÄLJE</t>
        </is>
      </c>
      <c r="G508" t="n">
        <v>0.3</v>
      </c>
      <c r="H508" t="n">
        <v>0</v>
      </c>
      <c r="I508" t="n">
        <v>0</v>
      </c>
      <c r="J508" t="n">
        <v>0</v>
      </c>
      <c r="K508" t="n">
        <v>0</v>
      </c>
      <c r="L508" t="n">
        <v>0</v>
      </c>
      <c r="M508" t="n">
        <v>0</v>
      </c>
      <c r="N508" t="n">
        <v>0</v>
      </c>
      <c r="O508" t="n">
        <v>0</v>
      </c>
      <c r="P508" t="n">
        <v>0</v>
      </c>
      <c r="Q508" t="n">
        <v>0</v>
      </c>
      <c r="R508" s="2" t="inlineStr"/>
    </row>
    <row r="509" ht="15" customHeight="1">
      <c r="A509" t="inlineStr">
        <is>
          <t>A 3156-2019</t>
        </is>
      </c>
      <c r="B509" s="1" t="n">
        <v>43480</v>
      </c>
      <c r="C509" s="1" t="n">
        <v>45186</v>
      </c>
      <c r="D509" t="inlineStr">
        <is>
          <t>STOCKHOLMS LÄN</t>
        </is>
      </c>
      <c r="E509" t="inlineStr">
        <is>
          <t>NORRTÄLJE</t>
        </is>
      </c>
      <c r="G509" t="n">
        <v>0.1</v>
      </c>
      <c r="H509" t="n">
        <v>0</v>
      </c>
      <c r="I509" t="n">
        <v>0</v>
      </c>
      <c r="J509" t="n">
        <v>0</v>
      </c>
      <c r="K509" t="n">
        <v>0</v>
      </c>
      <c r="L509" t="n">
        <v>0</v>
      </c>
      <c r="M509" t="n">
        <v>0</v>
      </c>
      <c r="N509" t="n">
        <v>0</v>
      </c>
      <c r="O509" t="n">
        <v>0</v>
      </c>
      <c r="P509" t="n">
        <v>0</v>
      </c>
      <c r="Q509" t="n">
        <v>0</v>
      </c>
      <c r="R509" s="2" t="inlineStr"/>
    </row>
    <row r="510" ht="15" customHeight="1">
      <c r="A510" t="inlineStr">
        <is>
          <t>A 3232-2019</t>
        </is>
      </c>
      <c r="B510" s="1" t="n">
        <v>43480</v>
      </c>
      <c r="C510" s="1" t="n">
        <v>45186</v>
      </c>
      <c r="D510" t="inlineStr">
        <is>
          <t>STOCKHOLMS LÄN</t>
        </is>
      </c>
      <c r="E510" t="inlineStr">
        <is>
          <t>NORRTÄLJE</t>
        </is>
      </c>
      <c r="G510" t="n">
        <v>9.1</v>
      </c>
      <c r="H510" t="n">
        <v>0</v>
      </c>
      <c r="I510" t="n">
        <v>0</v>
      </c>
      <c r="J510" t="n">
        <v>0</v>
      </c>
      <c r="K510" t="n">
        <v>0</v>
      </c>
      <c r="L510" t="n">
        <v>0</v>
      </c>
      <c r="M510" t="n">
        <v>0</v>
      </c>
      <c r="N510" t="n">
        <v>0</v>
      </c>
      <c r="O510" t="n">
        <v>0</v>
      </c>
      <c r="P510" t="n">
        <v>0</v>
      </c>
      <c r="Q510" t="n">
        <v>0</v>
      </c>
      <c r="R510" s="2" t="inlineStr"/>
    </row>
    <row r="511" ht="15" customHeight="1">
      <c r="A511" t="inlineStr">
        <is>
          <t>A 3361-2019</t>
        </is>
      </c>
      <c r="B511" s="1" t="n">
        <v>43480</v>
      </c>
      <c r="C511" s="1" t="n">
        <v>45186</v>
      </c>
      <c r="D511" t="inlineStr">
        <is>
          <t>STOCKHOLMS LÄN</t>
        </is>
      </c>
      <c r="E511" t="inlineStr">
        <is>
          <t>NORRTÄLJE</t>
        </is>
      </c>
      <c r="G511" t="n">
        <v>3.6</v>
      </c>
      <c r="H511" t="n">
        <v>0</v>
      </c>
      <c r="I511" t="n">
        <v>0</v>
      </c>
      <c r="J511" t="n">
        <v>0</v>
      </c>
      <c r="K511" t="n">
        <v>0</v>
      </c>
      <c r="L511" t="n">
        <v>0</v>
      </c>
      <c r="M511" t="n">
        <v>0</v>
      </c>
      <c r="N511" t="n">
        <v>0</v>
      </c>
      <c r="O511" t="n">
        <v>0</v>
      </c>
      <c r="P511" t="n">
        <v>0</v>
      </c>
      <c r="Q511" t="n">
        <v>0</v>
      </c>
      <c r="R511" s="2" t="inlineStr"/>
    </row>
    <row r="512" ht="15" customHeight="1">
      <c r="A512" t="inlineStr">
        <is>
          <t>A 3372-2019</t>
        </is>
      </c>
      <c r="B512" s="1" t="n">
        <v>43480</v>
      </c>
      <c r="C512" s="1" t="n">
        <v>45186</v>
      </c>
      <c r="D512" t="inlineStr">
        <is>
          <t>STOCKHOLMS LÄN</t>
        </is>
      </c>
      <c r="E512" t="inlineStr">
        <is>
          <t>NORRTÄLJE</t>
        </is>
      </c>
      <c r="G512" t="n">
        <v>1.8</v>
      </c>
      <c r="H512" t="n">
        <v>0</v>
      </c>
      <c r="I512" t="n">
        <v>0</v>
      </c>
      <c r="J512" t="n">
        <v>0</v>
      </c>
      <c r="K512" t="n">
        <v>0</v>
      </c>
      <c r="L512" t="n">
        <v>0</v>
      </c>
      <c r="M512" t="n">
        <v>0</v>
      </c>
      <c r="N512" t="n">
        <v>0</v>
      </c>
      <c r="O512" t="n">
        <v>0</v>
      </c>
      <c r="P512" t="n">
        <v>0</v>
      </c>
      <c r="Q512" t="n">
        <v>0</v>
      </c>
      <c r="R512" s="2" t="inlineStr"/>
    </row>
    <row r="513" ht="15" customHeight="1">
      <c r="A513" t="inlineStr">
        <is>
          <t>A 3342-2019</t>
        </is>
      </c>
      <c r="B513" s="1" t="n">
        <v>43480</v>
      </c>
      <c r="C513" s="1" t="n">
        <v>45186</v>
      </c>
      <c r="D513" t="inlineStr">
        <is>
          <t>STOCKHOLMS LÄN</t>
        </is>
      </c>
      <c r="E513" t="inlineStr">
        <is>
          <t>NYNÄSHAMN</t>
        </is>
      </c>
      <c r="G513" t="n">
        <v>2.1</v>
      </c>
      <c r="H513" t="n">
        <v>0</v>
      </c>
      <c r="I513" t="n">
        <v>0</v>
      </c>
      <c r="J513" t="n">
        <v>0</v>
      </c>
      <c r="K513" t="n">
        <v>0</v>
      </c>
      <c r="L513" t="n">
        <v>0</v>
      </c>
      <c r="M513" t="n">
        <v>0</v>
      </c>
      <c r="N513" t="n">
        <v>0</v>
      </c>
      <c r="O513" t="n">
        <v>0</v>
      </c>
      <c r="P513" t="n">
        <v>0</v>
      </c>
      <c r="Q513" t="n">
        <v>0</v>
      </c>
      <c r="R513" s="2" t="inlineStr"/>
    </row>
    <row r="514" ht="15" customHeight="1">
      <c r="A514" t="inlineStr">
        <is>
          <t>A 3376-2019</t>
        </is>
      </c>
      <c r="B514" s="1" t="n">
        <v>43480</v>
      </c>
      <c r="C514" s="1" t="n">
        <v>45186</v>
      </c>
      <c r="D514" t="inlineStr">
        <is>
          <t>STOCKHOLMS LÄN</t>
        </is>
      </c>
      <c r="E514" t="inlineStr">
        <is>
          <t>NORRTÄLJE</t>
        </is>
      </c>
      <c r="G514" t="n">
        <v>4.9</v>
      </c>
      <c r="H514" t="n">
        <v>0</v>
      </c>
      <c r="I514" t="n">
        <v>0</v>
      </c>
      <c r="J514" t="n">
        <v>0</v>
      </c>
      <c r="K514" t="n">
        <v>0</v>
      </c>
      <c r="L514" t="n">
        <v>0</v>
      </c>
      <c r="M514" t="n">
        <v>0</v>
      </c>
      <c r="N514" t="n">
        <v>0</v>
      </c>
      <c r="O514" t="n">
        <v>0</v>
      </c>
      <c r="P514" t="n">
        <v>0</v>
      </c>
      <c r="Q514" t="n">
        <v>0</v>
      </c>
      <c r="R514" s="2" t="inlineStr"/>
    </row>
    <row r="515" ht="15" customHeight="1">
      <c r="A515" t="inlineStr">
        <is>
          <t>A 3456-2019</t>
        </is>
      </c>
      <c r="B515" s="1" t="n">
        <v>43481</v>
      </c>
      <c r="C515" s="1" t="n">
        <v>45186</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3475-2019</t>
        </is>
      </c>
      <c r="B516" s="1" t="n">
        <v>43481</v>
      </c>
      <c r="C516" s="1" t="n">
        <v>45186</v>
      </c>
      <c r="D516" t="inlineStr">
        <is>
          <t>STOCKHOLMS LÄN</t>
        </is>
      </c>
      <c r="E516" t="inlineStr">
        <is>
          <t>NORRTÄLJE</t>
        </is>
      </c>
      <c r="G516" t="n">
        <v>1.9</v>
      </c>
      <c r="H516" t="n">
        <v>0</v>
      </c>
      <c r="I516" t="n">
        <v>0</v>
      </c>
      <c r="J516" t="n">
        <v>0</v>
      </c>
      <c r="K516" t="n">
        <v>0</v>
      </c>
      <c r="L516" t="n">
        <v>0</v>
      </c>
      <c r="M516" t="n">
        <v>0</v>
      </c>
      <c r="N516" t="n">
        <v>0</v>
      </c>
      <c r="O516" t="n">
        <v>0</v>
      </c>
      <c r="P516" t="n">
        <v>0</v>
      </c>
      <c r="Q516" t="n">
        <v>0</v>
      </c>
      <c r="R516" s="2" t="inlineStr"/>
    </row>
    <row r="517" ht="15" customHeight="1">
      <c r="A517" t="inlineStr">
        <is>
          <t>A 3502-2019</t>
        </is>
      </c>
      <c r="B517" s="1" t="n">
        <v>43481</v>
      </c>
      <c r="C517" s="1" t="n">
        <v>45186</v>
      </c>
      <c r="D517" t="inlineStr">
        <is>
          <t>STOCKHOLMS LÄN</t>
        </is>
      </c>
      <c r="E517" t="inlineStr">
        <is>
          <t>NORRTÄLJE</t>
        </is>
      </c>
      <c r="G517" t="n">
        <v>2</v>
      </c>
      <c r="H517" t="n">
        <v>0</v>
      </c>
      <c r="I517" t="n">
        <v>0</v>
      </c>
      <c r="J517" t="n">
        <v>0</v>
      </c>
      <c r="K517" t="n">
        <v>0</v>
      </c>
      <c r="L517" t="n">
        <v>0</v>
      </c>
      <c r="M517" t="n">
        <v>0</v>
      </c>
      <c r="N517" t="n">
        <v>0</v>
      </c>
      <c r="O517" t="n">
        <v>0</v>
      </c>
      <c r="P517" t="n">
        <v>0</v>
      </c>
      <c r="Q517" t="n">
        <v>0</v>
      </c>
      <c r="R517" s="2" t="inlineStr"/>
    </row>
    <row r="518" ht="15" customHeight="1">
      <c r="A518" t="inlineStr">
        <is>
          <t>A 3741-2019</t>
        </is>
      </c>
      <c r="B518" s="1" t="n">
        <v>43481</v>
      </c>
      <c r="C518" s="1" t="n">
        <v>45186</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3480-2019</t>
        </is>
      </c>
      <c r="B519" s="1" t="n">
        <v>43481</v>
      </c>
      <c r="C519" s="1" t="n">
        <v>45186</v>
      </c>
      <c r="D519" t="inlineStr">
        <is>
          <t>STOCKHOLMS LÄN</t>
        </is>
      </c>
      <c r="E519" t="inlineStr">
        <is>
          <t>NORRTÄLJE</t>
        </is>
      </c>
      <c r="G519" t="n">
        <v>3</v>
      </c>
      <c r="H519" t="n">
        <v>0</v>
      </c>
      <c r="I519" t="n">
        <v>0</v>
      </c>
      <c r="J519" t="n">
        <v>0</v>
      </c>
      <c r="K519" t="n">
        <v>0</v>
      </c>
      <c r="L519" t="n">
        <v>0</v>
      </c>
      <c r="M519" t="n">
        <v>0</v>
      </c>
      <c r="N519" t="n">
        <v>0</v>
      </c>
      <c r="O519" t="n">
        <v>0</v>
      </c>
      <c r="P519" t="n">
        <v>0</v>
      </c>
      <c r="Q519" t="n">
        <v>0</v>
      </c>
      <c r="R519" s="2" t="inlineStr"/>
    </row>
    <row r="520" ht="15" customHeight="1">
      <c r="A520" t="inlineStr">
        <is>
          <t>A 3743-2019</t>
        </is>
      </c>
      <c r="B520" s="1" t="n">
        <v>43481</v>
      </c>
      <c r="C520" s="1" t="n">
        <v>45186</v>
      </c>
      <c r="D520" t="inlineStr">
        <is>
          <t>STOCKHOLMS LÄN</t>
        </is>
      </c>
      <c r="E520" t="inlineStr">
        <is>
          <t>NORRTÄLJE</t>
        </is>
      </c>
      <c r="G520" t="n">
        <v>1.3</v>
      </c>
      <c r="H520" t="n">
        <v>0</v>
      </c>
      <c r="I520" t="n">
        <v>0</v>
      </c>
      <c r="J520" t="n">
        <v>0</v>
      </c>
      <c r="K520" t="n">
        <v>0</v>
      </c>
      <c r="L520" t="n">
        <v>0</v>
      </c>
      <c r="M520" t="n">
        <v>0</v>
      </c>
      <c r="N520" t="n">
        <v>0</v>
      </c>
      <c r="O520" t="n">
        <v>0</v>
      </c>
      <c r="P520" t="n">
        <v>0</v>
      </c>
      <c r="Q520" t="n">
        <v>0</v>
      </c>
      <c r="R520" s="2" t="inlineStr"/>
    </row>
    <row r="521" ht="15" customHeight="1">
      <c r="A521" t="inlineStr">
        <is>
          <t>A 5507-2019</t>
        </is>
      </c>
      <c r="B521" s="1" t="n">
        <v>43482</v>
      </c>
      <c r="C521" s="1" t="n">
        <v>45186</v>
      </c>
      <c r="D521" t="inlineStr">
        <is>
          <t>STOCKHOLMS LÄN</t>
        </is>
      </c>
      <c r="E521" t="inlineStr">
        <is>
          <t>VALLENTUNA</t>
        </is>
      </c>
      <c r="G521" t="n">
        <v>2.5</v>
      </c>
      <c r="H521" t="n">
        <v>0</v>
      </c>
      <c r="I521" t="n">
        <v>0</v>
      </c>
      <c r="J521" t="n">
        <v>0</v>
      </c>
      <c r="K521" t="n">
        <v>0</v>
      </c>
      <c r="L521" t="n">
        <v>0</v>
      </c>
      <c r="M521" t="n">
        <v>0</v>
      </c>
      <c r="N521" t="n">
        <v>0</v>
      </c>
      <c r="O521" t="n">
        <v>0</v>
      </c>
      <c r="P521" t="n">
        <v>0</v>
      </c>
      <c r="Q521" t="n">
        <v>0</v>
      </c>
      <c r="R521" s="2" t="inlineStr"/>
    </row>
    <row r="522" ht="15" customHeight="1">
      <c r="A522" t="inlineStr">
        <is>
          <t>A 4037-2019</t>
        </is>
      </c>
      <c r="B522" s="1" t="n">
        <v>43482</v>
      </c>
      <c r="C522" s="1" t="n">
        <v>45186</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4107-2019</t>
        </is>
      </c>
      <c r="B523" s="1" t="n">
        <v>43482</v>
      </c>
      <c r="C523" s="1" t="n">
        <v>45186</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3864-2019</t>
        </is>
      </c>
      <c r="B524" s="1" t="n">
        <v>43482</v>
      </c>
      <c r="C524" s="1" t="n">
        <v>45186</v>
      </c>
      <c r="D524" t="inlineStr">
        <is>
          <t>STOCKHOLMS LÄN</t>
        </is>
      </c>
      <c r="E524" t="inlineStr">
        <is>
          <t>NORRTÄLJE</t>
        </is>
      </c>
      <c r="G524" t="n">
        <v>1.5</v>
      </c>
      <c r="H524" t="n">
        <v>0</v>
      </c>
      <c r="I524" t="n">
        <v>0</v>
      </c>
      <c r="J524" t="n">
        <v>0</v>
      </c>
      <c r="K524" t="n">
        <v>0</v>
      </c>
      <c r="L524" t="n">
        <v>0</v>
      </c>
      <c r="M524" t="n">
        <v>0</v>
      </c>
      <c r="N524" t="n">
        <v>0</v>
      </c>
      <c r="O524" t="n">
        <v>0</v>
      </c>
      <c r="P524" t="n">
        <v>0</v>
      </c>
      <c r="Q524" t="n">
        <v>0</v>
      </c>
      <c r="R524" s="2" t="inlineStr"/>
    </row>
    <row r="525" ht="15" customHeight="1">
      <c r="A525" t="inlineStr">
        <is>
          <t>A 3879-2019</t>
        </is>
      </c>
      <c r="B525" s="1" t="n">
        <v>43482</v>
      </c>
      <c r="C525" s="1" t="n">
        <v>45186</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4027-2019</t>
        </is>
      </c>
      <c r="B526" s="1" t="n">
        <v>43482</v>
      </c>
      <c r="C526" s="1" t="n">
        <v>45186</v>
      </c>
      <c r="D526" t="inlineStr">
        <is>
          <t>STOCKHOLMS LÄN</t>
        </is>
      </c>
      <c r="E526" t="inlineStr">
        <is>
          <t>NORRTÄLJE</t>
        </is>
      </c>
      <c r="G526" t="n">
        <v>2.7</v>
      </c>
      <c r="H526" t="n">
        <v>0</v>
      </c>
      <c r="I526" t="n">
        <v>0</v>
      </c>
      <c r="J526" t="n">
        <v>0</v>
      </c>
      <c r="K526" t="n">
        <v>0</v>
      </c>
      <c r="L526" t="n">
        <v>0</v>
      </c>
      <c r="M526" t="n">
        <v>0</v>
      </c>
      <c r="N526" t="n">
        <v>0</v>
      </c>
      <c r="O526" t="n">
        <v>0</v>
      </c>
      <c r="P526" t="n">
        <v>0</v>
      </c>
      <c r="Q526" t="n">
        <v>0</v>
      </c>
      <c r="R526" s="2" t="inlineStr"/>
    </row>
    <row r="527" ht="15" customHeight="1">
      <c r="A527" t="inlineStr">
        <is>
          <t>A 4036-2019</t>
        </is>
      </c>
      <c r="B527" s="1" t="n">
        <v>43482</v>
      </c>
      <c r="C527" s="1" t="n">
        <v>45186</v>
      </c>
      <c r="D527" t="inlineStr">
        <is>
          <t>STOCKHOLMS LÄN</t>
        </is>
      </c>
      <c r="E527" t="inlineStr">
        <is>
          <t>NORRTÄLJE</t>
        </is>
      </c>
      <c r="G527" t="n">
        <v>6</v>
      </c>
      <c r="H527" t="n">
        <v>0</v>
      </c>
      <c r="I527" t="n">
        <v>0</v>
      </c>
      <c r="J527" t="n">
        <v>0</v>
      </c>
      <c r="K527" t="n">
        <v>0</v>
      </c>
      <c r="L527" t="n">
        <v>0</v>
      </c>
      <c r="M527" t="n">
        <v>0</v>
      </c>
      <c r="N527" t="n">
        <v>0</v>
      </c>
      <c r="O527" t="n">
        <v>0</v>
      </c>
      <c r="P527" t="n">
        <v>0</v>
      </c>
      <c r="Q527" t="n">
        <v>0</v>
      </c>
      <c r="R527" s="2" t="inlineStr"/>
    </row>
    <row r="528" ht="15" customHeight="1">
      <c r="A528" t="inlineStr">
        <is>
          <t>A 4040-2019</t>
        </is>
      </c>
      <c r="B528" s="1" t="n">
        <v>43482</v>
      </c>
      <c r="C528" s="1" t="n">
        <v>45186</v>
      </c>
      <c r="D528" t="inlineStr">
        <is>
          <t>STOCKHOLMS LÄN</t>
        </is>
      </c>
      <c r="E528" t="inlineStr">
        <is>
          <t>NORRTÄLJE</t>
        </is>
      </c>
      <c r="F528" t="inlineStr">
        <is>
          <t>Övriga statliga verk och myndigheter</t>
        </is>
      </c>
      <c r="G528" t="n">
        <v>10.7</v>
      </c>
      <c r="H528" t="n">
        <v>0</v>
      </c>
      <c r="I528" t="n">
        <v>0</v>
      </c>
      <c r="J528" t="n">
        <v>0</v>
      </c>
      <c r="K528" t="n">
        <v>0</v>
      </c>
      <c r="L528" t="n">
        <v>0</v>
      </c>
      <c r="M528" t="n">
        <v>0</v>
      </c>
      <c r="N528" t="n">
        <v>0</v>
      </c>
      <c r="O528" t="n">
        <v>0</v>
      </c>
      <c r="P528" t="n">
        <v>0</v>
      </c>
      <c r="Q528" t="n">
        <v>0</v>
      </c>
      <c r="R528" s="2" t="inlineStr"/>
    </row>
    <row r="529" ht="15" customHeight="1">
      <c r="A529" t="inlineStr">
        <is>
          <t>A 4069-2019</t>
        </is>
      </c>
      <c r="B529" s="1" t="n">
        <v>43482</v>
      </c>
      <c r="C529" s="1" t="n">
        <v>45186</v>
      </c>
      <c r="D529" t="inlineStr">
        <is>
          <t>STOCKHOLMS LÄN</t>
        </is>
      </c>
      <c r="E529" t="inlineStr">
        <is>
          <t>SÖDERTÄLJE</t>
        </is>
      </c>
      <c r="G529" t="n">
        <v>6.5</v>
      </c>
      <c r="H529" t="n">
        <v>0</v>
      </c>
      <c r="I529" t="n">
        <v>0</v>
      </c>
      <c r="J529" t="n">
        <v>0</v>
      </c>
      <c r="K529" t="n">
        <v>0</v>
      </c>
      <c r="L529" t="n">
        <v>0</v>
      </c>
      <c r="M529" t="n">
        <v>0</v>
      </c>
      <c r="N529" t="n">
        <v>0</v>
      </c>
      <c r="O529" t="n">
        <v>0</v>
      </c>
      <c r="P529" t="n">
        <v>0</v>
      </c>
      <c r="Q529" t="n">
        <v>0</v>
      </c>
      <c r="R529" s="2" t="inlineStr"/>
    </row>
    <row r="530" ht="15" customHeight="1">
      <c r="A530" t="inlineStr">
        <is>
          <t>A 4230-2019</t>
        </is>
      </c>
      <c r="B530" s="1" t="n">
        <v>43483</v>
      </c>
      <c r="C530" s="1" t="n">
        <v>45186</v>
      </c>
      <c r="D530" t="inlineStr">
        <is>
          <t>STOCKHOLMS LÄN</t>
        </is>
      </c>
      <c r="E530" t="inlineStr">
        <is>
          <t>VALLENTUNA</t>
        </is>
      </c>
      <c r="G530" t="n">
        <v>1.7</v>
      </c>
      <c r="H530" t="n">
        <v>0</v>
      </c>
      <c r="I530" t="n">
        <v>0</v>
      </c>
      <c r="J530" t="n">
        <v>0</v>
      </c>
      <c r="K530" t="n">
        <v>0</v>
      </c>
      <c r="L530" t="n">
        <v>0</v>
      </c>
      <c r="M530" t="n">
        <v>0</v>
      </c>
      <c r="N530" t="n">
        <v>0</v>
      </c>
      <c r="O530" t="n">
        <v>0</v>
      </c>
      <c r="P530" t="n">
        <v>0</v>
      </c>
      <c r="Q530" t="n">
        <v>0</v>
      </c>
      <c r="R530" s="2" t="inlineStr"/>
    </row>
    <row r="531" ht="15" customHeight="1">
      <c r="A531" t="inlineStr">
        <is>
          <t>A 4133-2019</t>
        </is>
      </c>
      <c r="B531" s="1" t="n">
        <v>43483</v>
      </c>
      <c r="C531" s="1" t="n">
        <v>45186</v>
      </c>
      <c r="D531" t="inlineStr">
        <is>
          <t>STOCKHOLMS LÄN</t>
        </is>
      </c>
      <c r="E531" t="inlineStr">
        <is>
          <t>NORRTÄLJE</t>
        </is>
      </c>
      <c r="G531" t="n">
        <v>3.9</v>
      </c>
      <c r="H531" t="n">
        <v>0</v>
      </c>
      <c r="I531" t="n">
        <v>0</v>
      </c>
      <c r="J531" t="n">
        <v>0</v>
      </c>
      <c r="K531" t="n">
        <v>0</v>
      </c>
      <c r="L531" t="n">
        <v>0</v>
      </c>
      <c r="M531" t="n">
        <v>0</v>
      </c>
      <c r="N531" t="n">
        <v>0</v>
      </c>
      <c r="O531" t="n">
        <v>0</v>
      </c>
      <c r="P531" t="n">
        <v>0</v>
      </c>
      <c r="Q531" t="n">
        <v>0</v>
      </c>
      <c r="R531" s="2" t="inlineStr"/>
    </row>
    <row r="532" ht="15" customHeight="1">
      <c r="A532" t="inlineStr">
        <is>
          <t>A 4394-2019</t>
        </is>
      </c>
      <c r="B532" s="1" t="n">
        <v>43484</v>
      </c>
      <c r="C532" s="1" t="n">
        <v>45186</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4395-2019</t>
        </is>
      </c>
      <c r="B533" s="1" t="n">
        <v>43484</v>
      </c>
      <c r="C533" s="1" t="n">
        <v>45186</v>
      </c>
      <c r="D533" t="inlineStr">
        <is>
          <t>STOCKHOLMS LÄN</t>
        </is>
      </c>
      <c r="E533" t="inlineStr">
        <is>
          <t>NORRTÄLJE</t>
        </is>
      </c>
      <c r="G533" t="n">
        <v>1.2</v>
      </c>
      <c r="H533" t="n">
        <v>0</v>
      </c>
      <c r="I533" t="n">
        <v>0</v>
      </c>
      <c r="J533" t="n">
        <v>0</v>
      </c>
      <c r="K533" t="n">
        <v>0</v>
      </c>
      <c r="L533" t="n">
        <v>0</v>
      </c>
      <c r="M533" t="n">
        <v>0</v>
      </c>
      <c r="N533" t="n">
        <v>0</v>
      </c>
      <c r="O533" t="n">
        <v>0</v>
      </c>
      <c r="P533" t="n">
        <v>0</v>
      </c>
      <c r="Q533" t="n">
        <v>0</v>
      </c>
      <c r="R533" s="2" t="inlineStr"/>
    </row>
    <row r="534" ht="15" customHeight="1">
      <c r="A534" t="inlineStr">
        <is>
          <t>A 4393-2019</t>
        </is>
      </c>
      <c r="B534" s="1" t="n">
        <v>43484</v>
      </c>
      <c r="C534" s="1" t="n">
        <v>45186</v>
      </c>
      <c r="D534" t="inlineStr">
        <is>
          <t>STOCKHOLMS LÄN</t>
        </is>
      </c>
      <c r="E534" t="inlineStr">
        <is>
          <t>NORRTÄLJE</t>
        </is>
      </c>
      <c r="G534" t="n">
        <v>2.3</v>
      </c>
      <c r="H534" t="n">
        <v>0</v>
      </c>
      <c r="I534" t="n">
        <v>0</v>
      </c>
      <c r="J534" t="n">
        <v>0</v>
      </c>
      <c r="K534" t="n">
        <v>0</v>
      </c>
      <c r="L534" t="n">
        <v>0</v>
      </c>
      <c r="M534" t="n">
        <v>0</v>
      </c>
      <c r="N534" t="n">
        <v>0</v>
      </c>
      <c r="O534" t="n">
        <v>0</v>
      </c>
      <c r="P534" t="n">
        <v>0</v>
      </c>
      <c r="Q534" t="n">
        <v>0</v>
      </c>
      <c r="R534" s="2" t="inlineStr"/>
    </row>
    <row r="535" ht="15" customHeight="1">
      <c r="A535" t="inlineStr">
        <is>
          <t>A 4397-2019</t>
        </is>
      </c>
      <c r="B535" s="1" t="n">
        <v>43484</v>
      </c>
      <c r="C535" s="1" t="n">
        <v>45186</v>
      </c>
      <c r="D535" t="inlineStr">
        <is>
          <t>STOCKHOLMS LÄN</t>
        </is>
      </c>
      <c r="E535" t="inlineStr">
        <is>
          <t>NORRTÄLJE</t>
        </is>
      </c>
      <c r="G535" t="n">
        <v>1</v>
      </c>
      <c r="H535" t="n">
        <v>0</v>
      </c>
      <c r="I535" t="n">
        <v>0</v>
      </c>
      <c r="J535" t="n">
        <v>0</v>
      </c>
      <c r="K535" t="n">
        <v>0</v>
      </c>
      <c r="L535" t="n">
        <v>0</v>
      </c>
      <c r="M535" t="n">
        <v>0</v>
      </c>
      <c r="N535" t="n">
        <v>0</v>
      </c>
      <c r="O535" t="n">
        <v>0</v>
      </c>
      <c r="P535" t="n">
        <v>0</v>
      </c>
      <c r="Q535" t="n">
        <v>0</v>
      </c>
      <c r="R535" s="2" t="inlineStr"/>
    </row>
    <row r="536" ht="15" customHeight="1">
      <c r="A536" t="inlineStr">
        <is>
          <t>A 4457-2019</t>
        </is>
      </c>
      <c r="B536" s="1" t="n">
        <v>43485</v>
      </c>
      <c r="C536" s="1" t="n">
        <v>45186</v>
      </c>
      <c r="D536" t="inlineStr">
        <is>
          <t>STOCKHOLMS LÄN</t>
        </is>
      </c>
      <c r="E536" t="inlineStr">
        <is>
          <t>NORRTÄLJE</t>
        </is>
      </c>
      <c r="G536" t="n">
        <v>3.6</v>
      </c>
      <c r="H536" t="n">
        <v>0</v>
      </c>
      <c r="I536" t="n">
        <v>0</v>
      </c>
      <c r="J536" t="n">
        <v>0</v>
      </c>
      <c r="K536" t="n">
        <v>0</v>
      </c>
      <c r="L536" t="n">
        <v>0</v>
      </c>
      <c r="M536" t="n">
        <v>0</v>
      </c>
      <c r="N536" t="n">
        <v>0</v>
      </c>
      <c r="O536" t="n">
        <v>0</v>
      </c>
      <c r="P536" t="n">
        <v>0</v>
      </c>
      <c r="Q536" t="n">
        <v>0</v>
      </c>
      <c r="R536" s="2" t="inlineStr"/>
    </row>
    <row r="537" ht="15" customHeight="1">
      <c r="A537" t="inlineStr">
        <is>
          <t>A 4548-2019</t>
        </is>
      </c>
      <c r="B537" s="1" t="n">
        <v>43486</v>
      </c>
      <c r="C537" s="1" t="n">
        <v>45186</v>
      </c>
      <c r="D537" t="inlineStr">
        <is>
          <t>STOCKHOLMS LÄN</t>
        </is>
      </c>
      <c r="E537" t="inlineStr">
        <is>
          <t>NORRTÄLJE</t>
        </is>
      </c>
      <c r="F537" t="inlineStr">
        <is>
          <t>Kommuner</t>
        </is>
      </c>
      <c r="G537" t="n">
        <v>2</v>
      </c>
      <c r="H537" t="n">
        <v>0</v>
      </c>
      <c r="I537" t="n">
        <v>0</v>
      </c>
      <c r="J537" t="n">
        <v>0</v>
      </c>
      <c r="K537" t="n">
        <v>0</v>
      </c>
      <c r="L537" t="n">
        <v>0</v>
      </c>
      <c r="M537" t="n">
        <v>0</v>
      </c>
      <c r="N537" t="n">
        <v>0</v>
      </c>
      <c r="O537" t="n">
        <v>0</v>
      </c>
      <c r="P537" t="n">
        <v>0</v>
      </c>
      <c r="Q537" t="n">
        <v>0</v>
      </c>
      <c r="R537" s="2" t="inlineStr"/>
    </row>
    <row r="538" ht="15" customHeight="1">
      <c r="A538" t="inlineStr">
        <is>
          <t>A 4862-2019</t>
        </is>
      </c>
      <c r="B538" s="1" t="n">
        <v>43486</v>
      </c>
      <c r="C538" s="1" t="n">
        <v>45186</v>
      </c>
      <c r="D538" t="inlineStr">
        <is>
          <t>STOCKHOLMS LÄN</t>
        </is>
      </c>
      <c r="E538" t="inlineStr">
        <is>
          <t>NORRTÄLJE</t>
        </is>
      </c>
      <c r="G538" t="n">
        <v>14</v>
      </c>
      <c r="H538" t="n">
        <v>0</v>
      </c>
      <c r="I538" t="n">
        <v>0</v>
      </c>
      <c r="J538" t="n">
        <v>0</v>
      </c>
      <c r="K538" t="n">
        <v>0</v>
      </c>
      <c r="L538" t="n">
        <v>0</v>
      </c>
      <c r="M538" t="n">
        <v>0</v>
      </c>
      <c r="N538" t="n">
        <v>0</v>
      </c>
      <c r="O538" t="n">
        <v>0</v>
      </c>
      <c r="P538" t="n">
        <v>0</v>
      </c>
      <c r="Q538" t="n">
        <v>0</v>
      </c>
      <c r="R538" s="2" t="inlineStr"/>
    </row>
    <row r="539" ht="15" customHeight="1">
      <c r="A539" t="inlineStr">
        <is>
          <t>A 4528-2019</t>
        </is>
      </c>
      <c r="B539" s="1" t="n">
        <v>43486</v>
      </c>
      <c r="C539" s="1" t="n">
        <v>45186</v>
      </c>
      <c r="D539" t="inlineStr">
        <is>
          <t>STOCKHOLMS LÄN</t>
        </is>
      </c>
      <c r="E539" t="inlineStr">
        <is>
          <t>NORRTÄLJE</t>
        </is>
      </c>
      <c r="G539" t="n">
        <v>3.1</v>
      </c>
      <c r="H539" t="n">
        <v>0</v>
      </c>
      <c r="I539" t="n">
        <v>0</v>
      </c>
      <c r="J539" t="n">
        <v>0</v>
      </c>
      <c r="K539" t="n">
        <v>0</v>
      </c>
      <c r="L539" t="n">
        <v>0</v>
      </c>
      <c r="M539" t="n">
        <v>0</v>
      </c>
      <c r="N539" t="n">
        <v>0</v>
      </c>
      <c r="O539" t="n">
        <v>0</v>
      </c>
      <c r="P539" t="n">
        <v>0</v>
      </c>
      <c r="Q539" t="n">
        <v>0</v>
      </c>
      <c r="R539" s="2" t="inlineStr"/>
    </row>
    <row r="540" ht="15" customHeight="1">
      <c r="A540" t="inlineStr">
        <is>
          <t>A 4664-2019</t>
        </is>
      </c>
      <c r="B540" s="1" t="n">
        <v>43486</v>
      </c>
      <c r="C540" s="1" t="n">
        <v>45186</v>
      </c>
      <c r="D540" t="inlineStr">
        <is>
          <t>STOCKHOLMS LÄN</t>
        </is>
      </c>
      <c r="E540" t="inlineStr">
        <is>
          <t>VALLENTUNA</t>
        </is>
      </c>
      <c r="G540" t="n">
        <v>1.4</v>
      </c>
      <c r="H540" t="n">
        <v>0</v>
      </c>
      <c r="I540" t="n">
        <v>0</v>
      </c>
      <c r="J540" t="n">
        <v>0</v>
      </c>
      <c r="K540" t="n">
        <v>0</v>
      </c>
      <c r="L540" t="n">
        <v>0</v>
      </c>
      <c r="M540" t="n">
        <v>0</v>
      </c>
      <c r="N540" t="n">
        <v>0</v>
      </c>
      <c r="O540" t="n">
        <v>0</v>
      </c>
      <c r="P540" t="n">
        <v>0</v>
      </c>
      <c r="Q540" t="n">
        <v>0</v>
      </c>
      <c r="R540" s="2" t="inlineStr"/>
    </row>
    <row r="541" ht="15" customHeight="1">
      <c r="A541" t="inlineStr">
        <is>
          <t>A 4894-2019</t>
        </is>
      </c>
      <c r="B541" s="1" t="n">
        <v>43486</v>
      </c>
      <c r="C541" s="1" t="n">
        <v>45186</v>
      </c>
      <c r="D541" t="inlineStr">
        <is>
          <t>STOCKHOLMS LÄN</t>
        </is>
      </c>
      <c r="E541" t="inlineStr">
        <is>
          <t>VALLENTUNA</t>
        </is>
      </c>
      <c r="G541" t="n">
        <v>11.2</v>
      </c>
      <c r="H541" t="n">
        <v>0</v>
      </c>
      <c r="I541" t="n">
        <v>0</v>
      </c>
      <c r="J541" t="n">
        <v>0</v>
      </c>
      <c r="K541" t="n">
        <v>0</v>
      </c>
      <c r="L541" t="n">
        <v>0</v>
      </c>
      <c r="M541" t="n">
        <v>0</v>
      </c>
      <c r="N541" t="n">
        <v>0</v>
      </c>
      <c r="O541" t="n">
        <v>0</v>
      </c>
      <c r="P541" t="n">
        <v>0</v>
      </c>
      <c r="Q541" t="n">
        <v>0</v>
      </c>
      <c r="R541" s="2" t="inlineStr"/>
    </row>
    <row r="542" ht="15" customHeight="1">
      <c r="A542" t="inlineStr">
        <is>
          <t>A 4584-2019</t>
        </is>
      </c>
      <c r="B542" s="1" t="n">
        <v>43486</v>
      </c>
      <c r="C542" s="1" t="n">
        <v>45186</v>
      </c>
      <c r="D542" t="inlineStr">
        <is>
          <t>STOCKHOLMS LÄN</t>
        </is>
      </c>
      <c r="E542" t="inlineStr">
        <is>
          <t>SIGTUNA</t>
        </is>
      </c>
      <c r="G542" t="n">
        <v>3.9</v>
      </c>
      <c r="H542" t="n">
        <v>0</v>
      </c>
      <c r="I542" t="n">
        <v>0</v>
      </c>
      <c r="J542" t="n">
        <v>0</v>
      </c>
      <c r="K542" t="n">
        <v>0</v>
      </c>
      <c r="L542" t="n">
        <v>0</v>
      </c>
      <c r="M542" t="n">
        <v>0</v>
      </c>
      <c r="N542" t="n">
        <v>0</v>
      </c>
      <c r="O542" t="n">
        <v>0</v>
      </c>
      <c r="P542" t="n">
        <v>0</v>
      </c>
      <c r="Q542" t="n">
        <v>0</v>
      </c>
      <c r="R542" s="2" t="inlineStr"/>
    </row>
    <row r="543" ht="15" customHeight="1">
      <c r="A543" t="inlineStr">
        <is>
          <t>A 4800-2019</t>
        </is>
      </c>
      <c r="B543" s="1" t="n">
        <v>43486</v>
      </c>
      <c r="C543" s="1" t="n">
        <v>45186</v>
      </c>
      <c r="D543" t="inlineStr">
        <is>
          <t>STOCKHOLMS LÄN</t>
        </is>
      </c>
      <c r="E543" t="inlineStr">
        <is>
          <t>SIGTUNA</t>
        </is>
      </c>
      <c r="G543" t="n">
        <v>6</v>
      </c>
      <c r="H543" t="n">
        <v>0</v>
      </c>
      <c r="I543" t="n">
        <v>0</v>
      </c>
      <c r="J543" t="n">
        <v>0</v>
      </c>
      <c r="K543" t="n">
        <v>0</v>
      </c>
      <c r="L543" t="n">
        <v>0</v>
      </c>
      <c r="M543" t="n">
        <v>0</v>
      </c>
      <c r="N543" t="n">
        <v>0</v>
      </c>
      <c r="O543" t="n">
        <v>0</v>
      </c>
      <c r="P543" t="n">
        <v>0</v>
      </c>
      <c r="Q543" t="n">
        <v>0</v>
      </c>
      <c r="R543" s="2" t="inlineStr"/>
    </row>
    <row r="544" ht="15" customHeight="1">
      <c r="A544" t="inlineStr">
        <is>
          <t>A 4833-2019</t>
        </is>
      </c>
      <c r="B544" s="1" t="n">
        <v>43486</v>
      </c>
      <c r="C544" s="1" t="n">
        <v>45186</v>
      </c>
      <c r="D544" t="inlineStr">
        <is>
          <t>STOCKHOLMS LÄN</t>
        </is>
      </c>
      <c r="E544" t="inlineStr">
        <is>
          <t>NORRTÄLJE</t>
        </is>
      </c>
      <c r="G544" t="n">
        <v>7.5</v>
      </c>
      <c r="H544" t="n">
        <v>0</v>
      </c>
      <c r="I544" t="n">
        <v>0</v>
      </c>
      <c r="J544" t="n">
        <v>0</v>
      </c>
      <c r="K544" t="n">
        <v>0</v>
      </c>
      <c r="L544" t="n">
        <v>0</v>
      </c>
      <c r="M544" t="n">
        <v>0</v>
      </c>
      <c r="N544" t="n">
        <v>0</v>
      </c>
      <c r="O544" t="n">
        <v>0</v>
      </c>
      <c r="P544" t="n">
        <v>0</v>
      </c>
      <c r="Q544" t="n">
        <v>0</v>
      </c>
      <c r="R544" s="2" t="inlineStr"/>
    </row>
    <row r="545" ht="15" customHeight="1">
      <c r="A545" t="inlineStr">
        <is>
          <t>A 4885-2019</t>
        </is>
      </c>
      <c r="B545" s="1" t="n">
        <v>43486</v>
      </c>
      <c r="C545" s="1" t="n">
        <v>45186</v>
      </c>
      <c r="D545" t="inlineStr">
        <is>
          <t>STOCKHOLMS LÄN</t>
        </is>
      </c>
      <c r="E545" t="inlineStr">
        <is>
          <t>NORRTÄLJE</t>
        </is>
      </c>
      <c r="G545" t="n">
        <v>11.4</v>
      </c>
      <c r="H545" t="n">
        <v>0</v>
      </c>
      <c r="I545" t="n">
        <v>0</v>
      </c>
      <c r="J545" t="n">
        <v>0</v>
      </c>
      <c r="K545" t="n">
        <v>0</v>
      </c>
      <c r="L545" t="n">
        <v>0</v>
      </c>
      <c r="M545" t="n">
        <v>0</v>
      </c>
      <c r="N545" t="n">
        <v>0</v>
      </c>
      <c r="O545" t="n">
        <v>0</v>
      </c>
      <c r="P545" t="n">
        <v>0</v>
      </c>
      <c r="Q545" t="n">
        <v>0</v>
      </c>
      <c r="R545" s="2" t="inlineStr"/>
    </row>
    <row r="546" ht="15" customHeight="1">
      <c r="A546" t="inlineStr">
        <is>
          <t>A 4857-2019</t>
        </is>
      </c>
      <c r="B546" s="1" t="n">
        <v>43487</v>
      </c>
      <c r="C546" s="1" t="n">
        <v>45186</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5109-2019</t>
        </is>
      </c>
      <c r="B547" s="1" t="n">
        <v>43487</v>
      </c>
      <c r="C547" s="1" t="n">
        <v>45186</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4922-2019</t>
        </is>
      </c>
      <c r="B548" s="1" t="n">
        <v>43487</v>
      </c>
      <c r="C548" s="1" t="n">
        <v>45186</v>
      </c>
      <c r="D548" t="inlineStr">
        <is>
          <t>STOCKHOLMS LÄN</t>
        </is>
      </c>
      <c r="E548" t="inlineStr">
        <is>
          <t>SÖDERTÄLJE</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4947-2019</t>
        </is>
      </c>
      <c r="B549" s="1" t="n">
        <v>43487</v>
      </c>
      <c r="C549" s="1" t="n">
        <v>45186</v>
      </c>
      <c r="D549" t="inlineStr">
        <is>
          <t>STOCKHOLMS LÄN</t>
        </is>
      </c>
      <c r="E549" t="inlineStr">
        <is>
          <t>NORRTÄLJE</t>
        </is>
      </c>
      <c r="G549" t="n">
        <v>0.9</v>
      </c>
      <c r="H549" t="n">
        <v>0</v>
      </c>
      <c r="I549" t="n">
        <v>0</v>
      </c>
      <c r="J549" t="n">
        <v>0</v>
      </c>
      <c r="K549" t="n">
        <v>0</v>
      </c>
      <c r="L549" t="n">
        <v>0</v>
      </c>
      <c r="M549" t="n">
        <v>0</v>
      </c>
      <c r="N549" t="n">
        <v>0</v>
      </c>
      <c r="O549" t="n">
        <v>0</v>
      </c>
      <c r="P549" t="n">
        <v>0</v>
      </c>
      <c r="Q549" t="n">
        <v>0</v>
      </c>
      <c r="R549" s="2" t="inlineStr"/>
    </row>
    <row r="550" ht="15" customHeight="1">
      <c r="A550" t="inlineStr">
        <is>
          <t>A 5080-2019</t>
        </is>
      </c>
      <c r="B550" s="1" t="n">
        <v>43487</v>
      </c>
      <c r="C550" s="1" t="n">
        <v>45186</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5106-2019</t>
        </is>
      </c>
      <c r="B551" s="1" t="n">
        <v>43487</v>
      </c>
      <c r="C551" s="1" t="n">
        <v>45186</v>
      </c>
      <c r="D551" t="inlineStr">
        <is>
          <t>STOCKHOLMS LÄN</t>
        </is>
      </c>
      <c r="E551" t="inlineStr">
        <is>
          <t>NORRTÄLJE</t>
        </is>
      </c>
      <c r="G551" t="n">
        <v>1.5</v>
      </c>
      <c r="H551" t="n">
        <v>0</v>
      </c>
      <c r="I551" t="n">
        <v>0</v>
      </c>
      <c r="J551" t="n">
        <v>0</v>
      </c>
      <c r="K551" t="n">
        <v>0</v>
      </c>
      <c r="L551" t="n">
        <v>0</v>
      </c>
      <c r="M551" t="n">
        <v>0</v>
      </c>
      <c r="N551" t="n">
        <v>0</v>
      </c>
      <c r="O551" t="n">
        <v>0</v>
      </c>
      <c r="P551" t="n">
        <v>0</v>
      </c>
      <c r="Q551" t="n">
        <v>0</v>
      </c>
      <c r="R551" s="2" t="inlineStr"/>
    </row>
    <row r="552" ht="15" customHeight="1">
      <c r="A552" t="inlineStr">
        <is>
          <t>A 6606-2019</t>
        </is>
      </c>
      <c r="B552" s="1" t="n">
        <v>43487</v>
      </c>
      <c r="C552" s="1" t="n">
        <v>45186</v>
      </c>
      <c r="D552" t="inlineStr">
        <is>
          <t>STOCKHOLMS LÄN</t>
        </is>
      </c>
      <c r="E552" t="inlineStr">
        <is>
          <t>NORRTÄLJE</t>
        </is>
      </c>
      <c r="G552" t="n">
        <v>1.7</v>
      </c>
      <c r="H552" t="n">
        <v>0</v>
      </c>
      <c r="I552" t="n">
        <v>0</v>
      </c>
      <c r="J552" t="n">
        <v>0</v>
      </c>
      <c r="K552" t="n">
        <v>0</v>
      </c>
      <c r="L552" t="n">
        <v>0</v>
      </c>
      <c r="M552" t="n">
        <v>0</v>
      </c>
      <c r="N552" t="n">
        <v>0</v>
      </c>
      <c r="O552" t="n">
        <v>0</v>
      </c>
      <c r="P552" t="n">
        <v>0</v>
      </c>
      <c r="Q552" t="n">
        <v>0</v>
      </c>
      <c r="R552" s="2" t="inlineStr"/>
    </row>
    <row r="553" ht="15" customHeight="1">
      <c r="A553" t="inlineStr">
        <is>
          <t>A 5314-2019</t>
        </is>
      </c>
      <c r="B553" s="1" t="n">
        <v>43488</v>
      </c>
      <c r="C553" s="1" t="n">
        <v>45186</v>
      </c>
      <c r="D553" t="inlineStr">
        <is>
          <t>STOCKHOLMS LÄN</t>
        </is>
      </c>
      <c r="E553" t="inlineStr">
        <is>
          <t>NORRTÄLJE</t>
        </is>
      </c>
      <c r="G553" t="n">
        <v>0.3</v>
      </c>
      <c r="H553" t="n">
        <v>0</v>
      </c>
      <c r="I553" t="n">
        <v>0</v>
      </c>
      <c r="J553" t="n">
        <v>0</v>
      </c>
      <c r="K553" t="n">
        <v>0</v>
      </c>
      <c r="L553" t="n">
        <v>0</v>
      </c>
      <c r="M553" t="n">
        <v>0</v>
      </c>
      <c r="N553" t="n">
        <v>0</v>
      </c>
      <c r="O553" t="n">
        <v>0</v>
      </c>
      <c r="P553" t="n">
        <v>0</v>
      </c>
      <c r="Q553" t="n">
        <v>0</v>
      </c>
      <c r="R553" s="2" t="inlineStr"/>
    </row>
    <row r="554" ht="15" customHeight="1">
      <c r="A554" t="inlineStr">
        <is>
          <t>A 5386-2019</t>
        </is>
      </c>
      <c r="B554" s="1" t="n">
        <v>43488</v>
      </c>
      <c r="C554" s="1" t="n">
        <v>45186</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5504-2019</t>
        </is>
      </c>
      <c r="B555" s="1" t="n">
        <v>43489</v>
      </c>
      <c r="C555" s="1" t="n">
        <v>45186</v>
      </c>
      <c r="D555" t="inlineStr">
        <is>
          <t>STOCKHOLMS LÄN</t>
        </is>
      </c>
      <c r="E555" t="inlineStr">
        <is>
          <t>NORRTÄLJE</t>
        </is>
      </c>
      <c r="G555" t="n">
        <v>1.7</v>
      </c>
      <c r="H555" t="n">
        <v>0</v>
      </c>
      <c r="I555" t="n">
        <v>0</v>
      </c>
      <c r="J555" t="n">
        <v>0</v>
      </c>
      <c r="K555" t="n">
        <v>0</v>
      </c>
      <c r="L555" t="n">
        <v>0</v>
      </c>
      <c r="M555" t="n">
        <v>0</v>
      </c>
      <c r="N555" t="n">
        <v>0</v>
      </c>
      <c r="O555" t="n">
        <v>0</v>
      </c>
      <c r="P555" t="n">
        <v>0</v>
      </c>
      <c r="Q555" t="n">
        <v>0</v>
      </c>
      <c r="R555" s="2" t="inlineStr"/>
    </row>
    <row r="556" ht="15" customHeight="1">
      <c r="A556" t="inlineStr">
        <is>
          <t>A 5640-2019</t>
        </is>
      </c>
      <c r="B556" s="1" t="n">
        <v>43489</v>
      </c>
      <c r="C556" s="1" t="n">
        <v>45186</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5517-2019</t>
        </is>
      </c>
      <c r="B557" s="1" t="n">
        <v>43489</v>
      </c>
      <c r="C557" s="1" t="n">
        <v>45186</v>
      </c>
      <c r="D557" t="inlineStr">
        <is>
          <t>STOCKHOLMS LÄN</t>
        </is>
      </c>
      <c r="E557" t="inlineStr">
        <is>
          <t>NORRTÄLJE</t>
        </is>
      </c>
      <c r="G557" t="n">
        <v>3.3</v>
      </c>
      <c r="H557" t="n">
        <v>0</v>
      </c>
      <c r="I557" t="n">
        <v>0</v>
      </c>
      <c r="J557" t="n">
        <v>0</v>
      </c>
      <c r="K557" t="n">
        <v>0</v>
      </c>
      <c r="L557" t="n">
        <v>0</v>
      </c>
      <c r="M557" t="n">
        <v>0</v>
      </c>
      <c r="N557" t="n">
        <v>0</v>
      </c>
      <c r="O557" t="n">
        <v>0</v>
      </c>
      <c r="P557" t="n">
        <v>0</v>
      </c>
      <c r="Q557" t="n">
        <v>0</v>
      </c>
      <c r="R557" s="2" t="inlineStr"/>
    </row>
    <row r="558" ht="15" customHeight="1">
      <c r="A558" t="inlineStr">
        <is>
          <t>A 5548-2019</t>
        </is>
      </c>
      <c r="B558" s="1" t="n">
        <v>43489</v>
      </c>
      <c r="C558" s="1" t="n">
        <v>45186</v>
      </c>
      <c r="D558" t="inlineStr">
        <is>
          <t>STOCKHOLMS LÄN</t>
        </is>
      </c>
      <c r="E558" t="inlineStr">
        <is>
          <t>NORRTÄLJE</t>
        </is>
      </c>
      <c r="G558" t="n">
        <v>1.8</v>
      </c>
      <c r="H558" t="n">
        <v>0</v>
      </c>
      <c r="I558" t="n">
        <v>0</v>
      </c>
      <c r="J558" t="n">
        <v>0</v>
      </c>
      <c r="K558" t="n">
        <v>0</v>
      </c>
      <c r="L558" t="n">
        <v>0</v>
      </c>
      <c r="M558" t="n">
        <v>0</v>
      </c>
      <c r="N558" t="n">
        <v>0</v>
      </c>
      <c r="O558" t="n">
        <v>0</v>
      </c>
      <c r="P558" t="n">
        <v>0</v>
      </c>
      <c r="Q558" t="n">
        <v>0</v>
      </c>
      <c r="R558" s="2" t="inlineStr"/>
    </row>
    <row r="559" ht="15" customHeight="1">
      <c r="A559" t="inlineStr">
        <is>
          <t>A 5664-2019</t>
        </is>
      </c>
      <c r="B559" s="1" t="n">
        <v>43489</v>
      </c>
      <c r="C559" s="1" t="n">
        <v>45186</v>
      </c>
      <c r="D559" t="inlineStr">
        <is>
          <t>STOCKHOLMS LÄN</t>
        </is>
      </c>
      <c r="E559" t="inlineStr">
        <is>
          <t>NORRTÄLJE</t>
        </is>
      </c>
      <c r="G559" t="n">
        <v>2.2</v>
      </c>
      <c r="H559" t="n">
        <v>0</v>
      </c>
      <c r="I559" t="n">
        <v>0</v>
      </c>
      <c r="J559" t="n">
        <v>0</v>
      </c>
      <c r="K559" t="n">
        <v>0</v>
      </c>
      <c r="L559" t="n">
        <v>0</v>
      </c>
      <c r="M559" t="n">
        <v>0</v>
      </c>
      <c r="N559" t="n">
        <v>0</v>
      </c>
      <c r="O559" t="n">
        <v>0</v>
      </c>
      <c r="P559" t="n">
        <v>0</v>
      </c>
      <c r="Q559" t="n">
        <v>0</v>
      </c>
      <c r="R559" s="2" t="inlineStr"/>
    </row>
    <row r="560" ht="15" customHeight="1">
      <c r="A560" t="inlineStr">
        <is>
          <t>A 5486-2019</t>
        </is>
      </c>
      <c r="B560" s="1" t="n">
        <v>43489</v>
      </c>
      <c r="C560" s="1" t="n">
        <v>45186</v>
      </c>
      <c r="D560" t="inlineStr">
        <is>
          <t>STOCKHOLMS LÄN</t>
        </is>
      </c>
      <c r="E560" t="inlineStr">
        <is>
          <t>NORRTÄLJE</t>
        </is>
      </c>
      <c r="F560" t="inlineStr">
        <is>
          <t>Övriga Aktiebolag</t>
        </is>
      </c>
      <c r="G560" t="n">
        <v>3.9</v>
      </c>
      <c r="H560" t="n">
        <v>0</v>
      </c>
      <c r="I560" t="n">
        <v>0</v>
      </c>
      <c r="J560" t="n">
        <v>0</v>
      </c>
      <c r="K560" t="n">
        <v>0</v>
      </c>
      <c r="L560" t="n">
        <v>0</v>
      </c>
      <c r="M560" t="n">
        <v>0</v>
      </c>
      <c r="N560" t="n">
        <v>0</v>
      </c>
      <c r="O560" t="n">
        <v>0</v>
      </c>
      <c r="P560" t="n">
        <v>0</v>
      </c>
      <c r="Q560" t="n">
        <v>0</v>
      </c>
      <c r="R560" s="2" t="inlineStr"/>
    </row>
    <row r="561" ht="15" customHeight="1">
      <c r="A561" t="inlineStr">
        <is>
          <t>A 5717-2019</t>
        </is>
      </c>
      <c r="B561" s="1" t="n">
        <v>43489</v>
      </c>
      <c r="C561" s="1" t="n">
        <v>45186</v>
      </c>
      <c r="D561" t="inlineStr">
        <is>
          <t>STOCKHOLMS LÄN</t>
        </is>
      </c>
      <c r="E561" t="inlineStr">
        <is>
          <t>EKERÖ</t>
        </is>
      </c>
      <c r="F561" t="inlineStr">
        <is>
          <t>Övriga statliga verk och myndigheter</t>
        </is>
      </c>
      <c r="G561" t="n">
        <v>0.8</v>
      </c>
      <c r="H561" t="n">
        <v>0</v>
      </c>
      <c r="I561" t="n">
        <v>0</v>
      </c>
      <c r="J561" t="n">
        <v>0</v>
      </c>
      <c r="K561" t="n">
        <v>0</v>
      </c>
      <c r="L561" t="n">
        <v>0</v>
      </c>
      <c r="M561" t="n">
        <v>0</v>
      </c>
      <c r="N561" t="n">
        <v>0</v>
      </c>
      <c r="O561" t="n">
        <v>0</v>
      </c>
      <c r="P561" t="n">
        <v>0</v>
      </c>
      <c r="Q561" t="n">
        <v>0</v>
      </c>
      <c r="R561" s="2" t="inlineStr"/>
    </row>
    <row r="562" ht="15" customHeight="1">
      <c r="A562" t="inlineStr">
        <is>
          <t>A 5580-2019</t>
        </is>
      </c>
      <c r="B562" s="1" t="n">
        <v>43489</v>
      </c>
      <c r="C562" s="1" t="n">
        <v>45186</v>
      </c>
      <c r="D562" t="inlineStr">
        <is>
          <t>STOCKHOLMS LÄN</t>
        </is>
      </c>
      <c r="E562" t="inlineStr">
        <is>
          <t>NORRTÄLJE</t>
        </is>
      </c>
      <c r="G562" t="n">
        <v>1.4</v>
      </c>
      <c r="H562" t="n">
        <v>0</v>
      </c>
      <c r="I562" t="n">
        <v>0</v>
      </c>
      <c r="J562" t="n">
        <v>0</v>
      </c>
      <c r="K562" t="n">
        <v>0</v>
      </c>
      <c r="L562" t="n">
        <v>0</v>
      </c>
      <c r="M562" t="n">
        <v>0</v>
      </c>
      <c r="N562" t="n">
        <v>0</v>
      </c>
      <c r="O562" t="n">
        <v>0</v>
      </c>
      <c r="P562" t="n">
        <v>0</v>
      </c>
      <c r="Q562" t="n">
        <v>0</v>
      </c>
      <c r="R562" s="2" t="inlineStr"/>
    </row>
    <row r="563" ht="15" customHeight="1">
      <c r="A563" t="inlineStr">
        <is>
          <t>A 5919-2019</t>
        </is>
      </c>
      <c r="B563" s="1" t="n">
        <v>43490</v>
      </c>
      <c r="C563" s="1" t="n">
        <v>45186</v>
      </c>
      <c r="D563" t="inlineStr">
        <is>
          <t>STOCKHOLMS LÄN</t>
        </is>
      </c>
      <c r="E563" t="inlineStr">
        <is>
          <t>NORRTÄLJE</t>
        </is>
      </c>
      <c r="G563" t="n">
        <v>0.6</v>
      </c>
      <c r="H563" t="n">
        <v>0</v>
      </c>
      <c r="I563" t="n">
        <v>0</v>
      </c>
      <c r="J563" t="n">
        <v>0</v>
      </c>
      <c r="K563" t="n">
        <v>0</v>
      </c>
      <c r="L563" t="n">
        <v>0</v>
      </c>
      <c r="M563" t="n">
        <v>0</v>
      </c>
      <c r="N563" t="n">
        <v>0</v>
      </c>
      <c r="O563" t="n">
        <v>0</v>
      </c>
      <c r="P563" t="n">
        <v>0</v>
      </c>
      <c r="Q563" t="n">
        <v>0</v>
      </c>
      <c r="R563" s="2" t="inlineStr"/>
    </row>
    <row r="564" ht="15" customHeight="1">
      <c r="A564" t="inlineStr">
        <is>
          <t>A 5959-2019</t>
        </is>
      </c>
      <c r="B564" s="1" t="n">
        <v>43492</v>
      </c>
      <c r="C564" s="1" t="n">
        <v>45186</v>
      </c>
      <c r="D564" t="inlineStr">
        <is>
          <t>STOCKHOLMS LÄN</t>
        </is>
      </c>
      <c r="E564" t="inlineStr">
        <is>
          <t>NORRTÄLJE</t>
        </is>
      </c>
      <c r="G564" t="n">
        <v>1.6</v>
      </c>
      <c r="H564" t="n">
        <v>0</v>
      </c>
      <c r="I564" t="n">
        <v>0</v>
      </c>
      <c r="J564" t="n">
        <v>0</v>
      </c>
      <c r="K564" t="n">
        <v>0</v>
      </c>
      <c r="L564" t="n">
        <v>0</v>
      </c>
      <c r="M564" t="n">
        <v>0</v>
      </c>
      <c r="N564" t="n">
        <v>0</v>
      </c>
      <c r="O564" t="n">
        <v>0</v>
      </c>
      <c r="P564" t="n">
        <v>0</v>
      </c>
      <c r="Q564" t="n">
        <v>0</v>
      </c>
      <c r="R564" s="2" t="inlineStr"/>
    </row>
    <row r="565" ht="15" customHeight="1">
      <c r="A565" t="inlineStr">
        <is>
          <t>A 6121-2019</t>
        </is>
      </c>
      <c r="B565" s="1" t="n">
        <v>43493</v>
      </c>
      <c r="C565" s="1" t="n">
        <v>45186</v>
      </c>
      <c r="D565" t="inlineStr">
        <is>
          <t>STOCKHOLMS LÄN</t>
        </is>
      </c>
      <c r="E565" t="inlineStr">
        <is>
          <t>NORRTÄLJE</t>
        </is>
      </c>
      <c r="G565" t="n">
        <v>4.8</v>
      </c>
      <c r="H565" t="n">
        <v>0</v>
      </c>
      <c r="I565" t="n">
        <v>0</v>
      </c>
      <c r="J565" t="n">
        <v>0</v>
      </c>
      <c r="K565" t="n">
        <v>0</v>
      </c>
      <c r="L565" t="n">
        <v>0</v>
      </c>
      <c r="M565" t="n">
        <v>0</v>
      </c>
      <c r="N565" t="n">
        <v>0</v>
      </c>
      <c r="O565" t="n">
        <v>0</v>
      </c>
      <c r="P565" t="n">
        <v>0</v>
      </c>
      <c r="Q565" t="n">
        <v>0</v>
      </c>
      <c r="R565" s="2" t="inlineStr"/>
    </row>
    <row r="566" ht="15" customHeight="1">
      <c r="A566" t="inlineStr">
        <is>
          <t>A 6184-2019</t>
        </is>
      </c>
      <c r="B566" s="1" t="n">
        <v>43493</v>
      </c>
      <c r="C566" s="1" t="n">
        <v>45186</v>
      </c>
      <c r="D566" t="inlineStr">
        <is>
          <t>STOCKHOLMS LÄN</t>
        </is>
      </c>
      <c r="E566" t="inlineStr">
        <is>
          <t>NORRTÄLJE</t>
        </is>
      </c>
      <c r="F566" t="inlineStr">
        <is>
          <t>Holmen skog AB</t>
        </is>
      </c>
      <c r="G566" t="n">
        <v>1.2</v>
      </c>
      <c r="H566" t="n">
        <v>0</v>
      </c>
      <c r="I566" t="n">
        <v>0</v>
      </c>
      <c r="J566" t="n">
        <v>0</v>
      </c>
      <c r="K566" t="n">
        <v>0</v>
      </c>
      <c r="L566" t="n">
        <v>0</v>
      </c>
      <c r="M566" t="n">
        <v>0</v>
      </c>
      <c r="N566" t="n">
        <v>0</v>
      </c>
      <c r="O566" t="n">
        <v>0</v>
      </c>
      <c r="P566" t="n">
        <v>0</v>
      </c>
      <c r="Q566" t="n">
        <v>0</v>
      </c>
      <c r="R566" s="2" t="inlineStr"/>
    </row>
    <row r="567" ht="15" customHeight="1">
      <c r="A567" t="inlineStr">
        <is>
          <t>A 6170-2019</t>
        </is>
      </c>
      <c r="B567" s="1" t="n">
        <v>43493</v>
      </c>
      <c r="C567" s="1" t="n">
        <v>45186</v>
      </c>
      <c r="D567" t="inlineStr">
        <is>
          <t>STOCKHOLMS LÄN</t>
        </is>
      </c>
      <c r="E567" t="inlineStr">
        <is>
          <t>NORRTÄLJE</t>
        </is>
      </c>
      <c r="G567" t="n">
        <v>2.4</v>
      </c>
      <c r="H567" t="n">
        <v>0</v>
      </c>
      <c r="I567" t="n">
        <v>0</v>
      </c>
      <c r="J567" t="n">
        <v>0</v>
      </c>
      <c r="K567" t="n">
        <v>0</v>
      </c>
      <c r="L567" t="n">
        <v>0</v>
      </c>
      <c r="M567" t="n">
        <v>0</v>
      </c>
      <c r="N567" t="n">
        <v>0</v>
      </c>
      <c r="O567" t="n">
        <v>0</v>
      </c>
      <c r="P567" t="n">
        <v>0</v>
      </c>
      <c r="Q567" t="n">
        <v>0</v>
      </c>
      <c r="R567" s="2" t="inlineStr"/>
    </row>
    <row r="568" ht="15" customHeight="1">
      <c r="A568" t="inlineStr">
        <is>
          <t>A 6187-2019</t>
        </is>
      </c>
      <c r="B568" s="1" t="n">
        <v>43493</v>
      </c>
      <c r="C568" s="1" t="n">
        <v>45186</v>
      </c>
      <c r="D568" t="inlineStr">
        <is>
          <t>STOCKHOLMS LÄN</t>
        </is>
      </c>
      <c r="E568" t="inlineStr">
        <is>
          <t>NORRTÄLJE</t>
        </is>
      </c>
      <c r="G568" t="n">
        <v>1.5</v>
      </c>
      <c r="H568" t="n">
        <v>0</v>
      </c>
      <c r="I568" t="n">
        <v>0</v>
      </c>
      <c r="J568" t="n">
        <v>0</v>
      </c>
      <c r="K568" t="n">
        <v>0</v>
      </c>
      <c r="L568" t="n">
        <v>0</v>
      </c>
      <c r="M568" t="n">
        <v>0</v>
      </c>
      <c r="N568" t="n">
        <v>0</v>
      </c>
      <c r="O568" t="n">
        <v>0</v>
      </c>
      <c r="P568" t="n">
        <v>0</v>
      </c>
      <c r="Q568" t="n">
        <v>0</v>
      </c>
      <c r="R568" s="2" t="inlineStr"/>
    </row>
    <row r="569" ht="15" customHeight="1">
      <c r="A569" t="inlineStr">
        <is>
          <t>A 6222-2019</t>
        </is>
      </c>
      <c r="B569" s="1" t="n">
        <v>43493</v>
      </c>
      <c r="C569" s="1" t="n">
        <v>45186</v>
      </c>
      <c r="D569" t="inlineStr">
        <is>
          <t>STOCKHOLMS LÄN</t>
        </is>
      </c>
      <c r="E569" t="inlineStr">
        <is>
          <t>VALLENTUNA</t>
        </is>
      </c>
      <c r="G569" t="n">
        <v>1.9</v>
      </c>
      <c r="H569" t="n">
        <v>0</v>
      </c>
      <c r="I569" t="n">
        <v>0</v>
      </c>
      <c r="J569" t="n">
        <v>0</v>
      </c>
      <c r="K569" t="n">
        <v>0</v>
      </c>
      <c r="L569" t="n">
        <v>0</v>
      </c>
      <c r="M569" t="n">
        <v>0</v>
      </c>
      <c r="N569" t="n">
        <v>0</v>
      </c>
      <c r="O569" t="n">
        <v>0</v>
      </c>
      <c r="P569" t="n">
        <v>0</v>
      </c>
      <c r="Q569" t="n">
        <v>0</v>
      </c>
      <c r="R569" s="2" t="inlineStr"/>
    </row>
    <row r="570" ht="15" customHeight="1">
      <c r="A570" t="inlineStr">
        <is>
          <t>A 6530-2019</t>
        </is>
      </c>
      <c r="B570" s="1" t="n">
        <v>43494</v>
      </c>
      <c r="C570" s="1" t="n">
        <v>45186</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6671-2019</t>
        </is>
      </c>
      <c r="B571" s="1" t="n">
        <v>43494</v>
      </c>
      <c r="C571" s="1" t="n">
        <v>45186</v>
      </c>
      <c r="D571" t="inlineStr">
        <is>
          <t>STOCKHOLMS LÄN</t>
        </is>
      </c>
      <c r="E571" t="inlineStr">
        <is>
          <t>VAXHOLM</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6740-2019</t>
        </is>
      </c>
      <c r="B572" s="1" t="n">
        <v>43494</v>
      </c>
      <c r="C572" s="1" t="n">
        <v>45186</v>
      </c>
      <c r="D572" t="inlineStr">
        <is>
          <t>STOCKHOLMS LÄN</t>
        </is>
      </c>
      <c r="E572" t="inlineStr">
        <is>
          <t>NORRTÄLJE</t>
        </is>
      </c>
      <c r="G572" t="n">
        <v>4.9</v>
      </c>
      <c r="H572" t="n">
        <v>0</v>
      </c>
      <c r="I572" t="n">
        <v>0</v>
      </c>
      <c r="J572" t="n">
        <v>0</v>
      </c>
      <c r="K572" t="n">
        <v>0</v>
      </c>
      <c r="L572" t="n">
        <v>0</v>
      </c>
      <c r="M572" t="n">
        <v>0</v>
      </c>
      <c r="N572" t="n">
        <v>0</v>
      </c>
      <c r="O572" t="n">
        <v>0</v>
      </c>
      <c r="P572" t="n">
        <v>0</v>
      </c>
      <c r="Q572" t="n">
        <v>0</v>
      </c>
      <c r="R572" s="2" t="inlineStr"/>
    </row>
    <row r="573" ht="15" customHeight="1">
      <c r="A573" t="inlineStr">
        <is>
          <t>A 6563-2019</t>
        </is>
      </c>
      <c r="B573" s="1" t="n">
        <v>43494</v>
      </c>
      <c r="C573" s="1" t="n">
        <v>45186</v>
      </c>
      <c r="D573" t="inlineStr">
        <is>
          <t>STOCKHOLMS LÄN</t>
        </is>
      </c>
      <c r="E573" t="inlineStr">
        <is>
          <t>NORRTÄLJE</t>
        </is>
      </c>
      <c r="G573" t="n">
        <v>0.4</v>
      </c>
      <c r="H573" t="n">
        <v>0</v>
      </c>
      <c r="I573" t="n">
        <v>0</v>
      </c>
      <c r="J573" t="n">
        <v>0</v>
      </c>
      <c r="K573" t="n">
        <v>0</v>
      </c>
      <c r="L573" t="n">
        <v>0</v>
      </c>
      <c r="M573" t="n">
        <v>0</v>
      </c>
      <c r="N573" t="n">
        <v>0</v>
      </c>
      <c r="O573" t="n">
        <v>0</v>
      </c>
      <c r="P573" t="n">
        <v>0</v>
      </c>
      <c r="Q573" t="n">
        <v>0</v>
      </c>
      <c r="R573" s="2" t="inlineStr"/>
    </row>
    <row r="574" ht="15" customHeight="1">
      <c r="A574" t="inlineStr">
        <is>
          <t>A 6545-2019</t>
        </is>
      </c>
      <c r="B574" s="1" t="n">
        <v>43494</v>
      </c>
      <c r="C574" s="1" t="n">
        <v>45186</v>
      </c>
      <c r="D574" t="inlineStr">
        <is>
          <t>STOCKHOLMS LÄN</t>
        </is>
      </c>
      <c r="E574" t="inlineStr">
        <is>
          <t>NORRTÄLJE</t>
        </is>
      </c>
      <c r="G574" t="n">
        <v>2.1</v>
      </c>
      <c r="H574" t="n">
        <v>0</v>
      </c>
      <c r="I574" t="n">
        <v>0</v>
      </c>
      <c r="J574" t="n">
        <v>0</v>
      </c>
      <c r="K574" t="n">
        <v>0</v>
      </c>
      <c r="L574" t="n">
        <v>0</v>
      </c>
      <c r="M574" t="n">
        <v>0</v>
      </c>
      <c r="N574" t="n">
        <v>0</v>
      </c>
      <c r="O574" t="n">
        <v>0</v>
      </c>
      <c r="P574" t="n">
        <v>0</v>
      </c>
      <c r="Q574" t="n">
        <v>0</v>
      </c>
      <c r="R574" s="2" t="inlineStr"/>
    </row>
    <row r="575" ht="15" customHeight="1">
      <c r="A575" t="inlineStr">
        <is>
          <t>A 6560-2019</t>
        </is>
      </c>
      <c r="B575" s="1" t="n">
        <v>43494</v>
      </c>
      <c r="C575" s="1" t="n">
        <v>45186</v>
      </c>
      <c r="D575" t="inlineStr">
        <is>
          <t>STOCKHOLMS LÄN</t>
        </is>
      </c>
      <c r="E575" t="inlineStr">
        <is>
          <t>NORRTÄLJE</t>
        </is>
      </c>
      <c r="G575" t="n">
        <v>0.7</v>
      </c>
      <c r="H575" t="n">
        <v>0</v>
      </c>
      <c r="I575" t="n">
        <v>0</v>
      </c>
      <c r="J575" t="n">
        <v>0</v>
      </c>
      <c r="K575" t="n">
        <v>0</v>
      </c>
      <c r="L575" t="n">
        <v>0</v>
      </c>
      <c r="M575" t="n">
        <v>0</v>
      </c>
      <c r="N575" t="n">
        <v>0</v>
      </c>
      <c r="O575" t="n">
        <v>0</v>
      </c>
      <c r="P575" t="n">
        <v>0</v>
      </c>
      <c r="Q575" t="n">
        <v>0</v>
      </c>
      <c r="R575" s="2" t="inlineStr"/>
    </row>
    <row r="576" ht="15" customHeight="1">
      <c r="A576" t="inlineStr">
        <is>
          <t>A 6496-2019</t>
        </is>
      </c>
      <c r="B576" s="1" t="n">
        <v>43494</v>
      </c>
      <c r="C576" s="1" t="n">
        <v>45186</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6672-2019</t>
        </is>
      </c>
      <c r="B577" s="1" t="n">
        <v>43494</v>
      </c>
      <c r="C577" s="1" t="n">
        <v>45186</v>
      </c>
      <c r="D577" t="inlineStr">
        <is>
          <t>STOCKHOLMS LÄN</t>
        </is>
      </c>
      <c r="E577" t="inlineStr">
        <is>
          <t>VAXHOLM</t>
        </is>
      </c>
      <c r="F577" t="inlineStr">
        <is>
          <t>Övriga statliga verk och myndigheter</t>
        </is>
      </c>
      <c r="G577" t="n">
        <v>2.1</v>
      </c>
      <c r="H577" t="n">
        <v>0</v>
      </c>
      <c r="I577" t="n">
        <v>0</v>
      </c>
      <c r="J577" t="n">
        <v>0</v>
      </c>
      <c r="K577" t="n">
        <v>0</v>
      </c>
      <c r="L577" t="n">
        <v>0</v>
      </c>
      <c r="M577" t="n">
        <v>0</v>
      </c>
      <c r="N577" t="n">
        <v>0</v>
      </c>
      <c r="O577" t="n">
        <v>0</v>
      </c>
      <c r="P577" t="n">
        <v>0</v>
      </c>
      <c r="Q577" t="n">
        <v>0</v>
      </c>
      <c r="R577" s="2" t="inlineStr"/>
    </row>
    <row r="578" ht="15" customHeight="1">
      <c r="A578" t="inlineStr">
        <is>
          <t>A 6921-2019</t>
        </is>
      </c>
      <c r="B578" s="1" t="n">
        <v>43495</v>
      </c>
      <c r="C578" s="1" t="n">
        <v>45186</v>
      </c>
      <c r="D578" t="inlineStr">
        <is>
          <t>STOCKHOLMS LÄN</t>
        </is>
      </c>
      <c r="E578" t="inlineStr">
        <is>
          <t>NORRTÄLJE</t>
        </is>
      </c>
      <c r="G578" t="n">
        <v>5.8</v>
      </c>
      <c r="H578" t="n">
        <v>0</v>
      </c>
      <c r="I578" t="n">
        <v>0</v>
      </c>
      <c r="J578" t="n">
        <v>0</v>
      </c>
      <c r="K578" t="n">
        <v>0</v>
      </c>
      <c r="L578" t="n">
        <v>0</v>
      </c>
      <c r="M578" t="n">
        <v>0</v>
      </c>
      <c r="N578" t="n">
        <v>0</v>
      </c>
      <c r="O578" t="n">
        <v>0</v>
      </c>
      <c r="P578" t="n">
        <v>0</v>
      </c>
      <c r="Q578" t="n">
        <v>0</v>
      </c>
      <c r="R578" s="2" t="inlineStr"/>
    </row>
    <row r="579" ht="15" customHeight="1">
      <c r="A579" t="inlineStr">
        <is>
          <t>A 6985-2019</t>
        </is>
      </c>
      <c r="B579" s="1" t="n">
        <v>43495</v>
      </c>
      <c r="C579" s="1" t="n">
        <v>45186</v>
      </c>
      <c r="D579" t="inlineStr">
        <is>
          <t>STOCKHOLMS LÄN</t>
        </is>
      </c>
      <c r="E579" t="inlineStr">
        <is>
          <t>NORRTÄLJE</t>
        </is>
      </c>
      <c r="G579" t="n">
        <v>75.09999999999999</v>
      </c>
      <c r="H579" t="n">
        <v>0</v>
      </c>
      <c r="I579" t="n">
        <v>0</v>
      </c>
      <c r="J579" t="n">
        <v>0</v>
      </c>
      <c r="K579" t="n">
        <v>0</v>
      </c>
      <c r="L579" t="n">
        <v>0</v>
      </c>
      <c r="M579" t="n">
        <v>0</v>
      </c>
      <c r="N579" t="n">
        <v>0</v>
      </c>
      <c r="O579" t="n">
        <v>0</v>
      </c>
      <c r="P579" t="n">
        <v>0</v>
      </c>
      <c r="Q579" t="n">
        <v>0</v>
      </c>
      <c r="R579" s="2" t="inlineStr"/>
    </row>
    <row r="580" ht="15" customHeight="1">
      <c r="A580" t="inlineStr">
        <is>
          <t>A 7003-2019</t>
        </is>
      </c>
      <c r="B580" s="1" t="n">
        <v>43495</v>
      </c>
      <c r="C580" s="1" t="n">
        <v>45186</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7040-2019</t>
        </is>
      </c>
      <c r="B581" s="1" t="n">
        <v>43495</v>
      </c>
      <c r="C581" s="1" t="n">
        <v>45186</v>
      </c>
      <c r="D581" t="inlineStr">
        <is>
          <t>STOCKHOLMS LÄN</t>
        </is>
      </c>
      <c r="E581" t="inlineStr">
        <is>
          <t>NORRTÄLJE</t>
        </is>
      </c>
      <c r="G581" t="n">
        <v>0.7</v>
      </c>
      <c r="H581" t="n">
        <v>0</v>
      </c>
      <c r="I581" t="n">
        <v>0</v>
      </c>
      <c r="J581" t="n">
        <v>0</v>
      </c>
      <c r="K581" t="n">
        <v>0</v>
      </c>
      <c r="L581" t="n">
        <v>0</v>
      </c>
      <c r="M581" t="n">
        <v>0</v>
      </c>
      <c r="N581" t="n">
        <v>0</v>
      </c>
      <c r="O581" t="n">
        <v>0</v>
      </c>
      <c r="P581" t="n">
        <v>0</v>
      </c>
      <c r="Q581" t="n">
        <v>0</v>
      </c>
      <c r="R581" s="2" t="inlineStr"/>
    </row>
    <row r="582" ht="15" customHeight="1">
      <c r="A582" t="inlineStr">
        <is>
          <t>A 7015-2019</t>
        </is>
      </c>
      <c r="B582" s="1" t="n">
        <v>43495</v>
      </c>
      <c r="C582" s="1" t="n">
        <v>45186</v>
      </c>
      <c r="D582" t="inlineStr">
        <is>
          <t>STOCKHOLMS LÄN</t>
        </is>
      </c>
      <c r="E582" t="inlineStr">
        <is>
          <t>NORRTÄLJE</t>
        </is>
      </c>
      <c r="G582" t="n">
        <v>1</v>
      </c>
      <c r="H582" t="n">
        <v>0</v>
      </c>
      <c r="I582" t="n">
        <v>0</v>
      </c>
      <c r="J582" t="n">
        <v>0</v>
      </c>
      <c r="K582" t="n">
        <v>0</v>
      </c>
      <c r="L582" t="n">
        <v>0</v>
      </c>
      <c r="M582" t="n">
        <v>0</v>
      </c>
      <c r="N582" t="n">
        <v>0</v>
      </c>
      <c r="O582" t="n">
        <v>0</v>
      </c>
      <c r="P582" t="n">
        <v>0</v>
      </c>
      <c r="Q582" t="n">
        <v>0</v>
      </c>
      <c r="R582" s="2" t="inlineStr"/>
    </row>
    <row r="583" ht="15" customHeight="1">
      <c r="A583" t="inlineStr">
        <is>
          <t>A 7041-2019</t>
        </is>
      </c>
      <c r="B583" s="1" t="n">
        <v>43495</v>
      </c>
      <c r="C583" s="1" t="n">
        <v>45186</v>
      </c>
      <c r="D583" t="inlineStr">
        <is>
          <t>STOCKHOLMS LÄN</t>
        </is>
      </c>
      <c r="E583" t="inlineStr">
        <is>
          <t>NORRTÄLJE</t>
        </is>
      </c>
      <c r="G583" t="n">
        <v>1.3</v>
      </c>
      <c r="H583" t="n">
        <v>0</v>
      </c>
      <c r="I583" t="n">
        <v>0</v>
      </c>
      <c r="J583" t="n">
        <v>0</v>
      </c>
      <c r="K583" t="n">
        <v>0</v>
      </c>
      <c r="L583" t="n">
        <v>0</v>
      </c>
      <c r="M583" t="n">
        <v>0</v>
      </c>
      <c r="N583" t="n">
        <v>0</v>
      </c>
      <c r="O583" t="n">
        <v>0</v>
      </c>
      <c r="P583" t="n">
        <v>0</v>
      </c>
      <c r="Q583" t="n">
        <v>0</v>
      </c>
      <c r="R583" s="2" t="inlineStr"/>
    </row>
    <row r="584" ht="15" customHeight="1">
      <c r="A584" t="inlineStr">
        <is>
          <t>A 7090-2019</t>
        </is>
      </c>
      <c r="B584" s="1" t="n">
        <v>43495</v>
      </c>
      <c r="C584" s="1" t="n">
        <v>45186</v>
      </c>
      <c r="D584" t="inlineStr">
        <is>
          <t>STOCKHOLMS LÄN</t>
        </is>
      </c>
      <c r="E584" t="inlineStr">
        <is>
          <t>NORRTÄLJE</t>
        </is>
      </c>
      <c r="G584" t="n">
        <v>1.1</v>
      </c>
      <c r="H584" t="n">
        <v>0</v>
      </c>
      <c r="I584" t="n">
        <v>0</v>
      </c>
      <c r="J584" t="n">
        <v>0</v>
      </c>
      <c r="K584" t="n">
        <v>0</v>
      </c>
      <c r="L584" t="n">
        <v>0</v>
      </c>
      <c r="M584" t="n">
        <v>0</v>
      </c>
      <c r="N584" t="n">
        <v>0</v>
      </c>
      <c r="O584" t="n">
        <v>0</v>
      </c>
      <c r="P584" t="n">
        <v>0</v>
      </c>
      <c r="Q584" t="n">
        <v>0</v>
      </c>
      <c r="R584" s="2" t="inlineStr"/>
    </row>
    <row r="585" ht="15" customHeight="1">
      <c r="A585" t="inlineStr">
        <is>
          <t>A 8087-2019</t>
        </is>
      </c>
      <c r="B585" s="1" t="n">
        <v>43495</v>
      </c>
      <c r="C585" s="1" t="n">
        <v>45186</v>
      </c>
      <c r="D585" t="inlineStr">
        <is>
          <t>STOCKHOLMS LÄN</t>
        </is>
      </c>
      <c r="E585" t="inlineStr">
        <is>
          <t>HANINGE</t>
        </is>
      </c>
      <c r="G585" t="n">
        <v>1.8</v>
      </c>
      <c r="H585" t="n">
        <v>0</v>
      </c>
      <c r="I585" t="n">
        <v>0</v>
      </c>
      <c r="J585" t="n">
        <v>0</v>
      </c>
      <c r="K585" t="n">
        <v>0</v>
      </c>
      <c r="L585" t="n">
        <v>0</v>
      </c>
      <c r="M585" t="n">
        <v>0</v>
      </c>
      <c r="N585" t="n">
        <v>0</v>
      </c>
      <c r="O585" t="n">
        <v>0</v>
      </c>
      <c r="P585" t="n">
        <v>0</v>
      </c>
      <c r="Q585" t="n">
        <v>0</v>
      </c>
      <c r="R585" s="2" t="inlineStr"/>
    </row>
    <row r="586" ht="15" customHeight="1">
      <c r="A586" t="inlineStr">
        <is>
          <t>A 6970-2019</t>
        </is>
      </c>
      <c r="B586" s="1" t="n">
        <v>43495</v>
      </c>
      <c r="C586" s="1" t="n">
        <v>45186</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7255-2019</t>
        </is>
      </c>
      <c r="B587" s="1" t="n">
        <v>43496</v>
      </c>
      <c r="C587" s="1" t="n">
        <v>45186</v>
      </c>
      <c r="D587" t="inlineStr">
        <is>
          <t>STOCKHOLMS LÄN</t>
        </is>
      </c>
      <c r="E587" t="inlineStr">
        <is>
          <t>NORRTÄLJE</t>
        </is>
      </c>
      <c r="G587" t="n">
        <v>1.8</v>
      </c>
      <c r="H587" t="n">
        <v>0</v>
      </c>
      <c r="I587" t="n">
        <v>0</v>
      </c>
      <c r="J587" t="n">
        <v>0</v>
      </c>
      <c r="K587" t="n">
        <v>0</v>
      </c>
      <c r="L587" t="n">
        <v>0</v>
      </c>
      <c r="M587" t="n">
        <v>0</v>
      </c>
      <c r="N587" t="n">
        <v>0</v>
      </c>
      <c r="O587" t="n">
        <v>0</v>
      </c>
      <c r="P587" t="n">
        <v>0</v>
      </c>
      <c r="Q587" t="n">
        <v>0</v>
      </c>
      <c r="R587" s="2" t="inlineStr"/>
    </row>
    <row r="588" ht="15" customHeight="1">
      <c r="A588" t="inlineStr">
        <is>
          <t>A 7343-2019</t>
        </is>
      </c>
      <c r="B588" s="1" t="n">
        <v>43496</v>
      </c>
      <c r="C588" s="1" t="n">
        <v>45186</v>
      </c>
      <c r="D588" t="inlineStr">
        <is>
          <t>STOCKHOLMS LÄN</t>
        </is>
      </c>
      <c r="E588" t="inlineStr">
        <is>
          <t>NORRTÄLJE</t>
        </is>
      </c>
      <c r="G588" t="n">
        <v>1.4</v>
      </c>
      <c r="H588" t="n">
        <v>0</v>
      </c>
      <c r="I588" t="n">
        <v>0</v>
      </c>
      <c r="J588" t="n">
        <v>0</v>
      </c>
      <c r="K588" t="n">
        <v>0</v>
      </c>
      <c r="L588" t="n">
        <v>0</v>
      </c>
      <c r="M588" t="n">
        <v>0</v>
      </c>
      <c r="N588" t="n">
        <v>0</v>
      </c>
      <c r="O588" t="n">
        <v>0</v>
      </c>
      <c r="P588" t="n">
        <v>0</v>
      </c>
      <c r="Q588" t="n">
        <v>0</v>
      </c>
      <c r="R588" s="2" t="inlineStr"/>
    </row>
    <row r="589" ht="15" customHeight="1">
      <c r="A589" t="inlineStr">
        <is>
          <t>A 7174-2019</t>
        </is>
      </c>
      <c r="B589" s="1" t="n">
        <v>43496</v>
      </c>
      <c r="C589" s="1" t="n">
        <v>45186</v>
      </c>
      <c r="D589" t="inlineStr">
        <is>
          <t>STOCKHOLMS LÄN</t>
        </is>
      </c>
      <c r="E589" t="inlineStr">
        <is>
          <t>NORRTÄLJE</t>
        </is>
      </c>
      <c r="G589" t="n">
        <v>1.9</v>
      </c>
      <c r="H589" t="n">
        <v>0</v>
      </c>
      <c r="I589" t="n">
        <v>0</v>
      </c>
      <c r="J589" t="n">
        <v>0</v>
      </c>
      <c r="K589" t="n">
        <v>0</v>
      </c>
      <c r="L589" t="n">
        <v>0</v>
      </c>
      <c r="M589" t="n">
        <v>0</v>
      </c>
      <c r="N589" t="n">
        <v>0</v>
      </c>
      <c r="O589" t="n">
        <v>0</v>
      </c>
      <c r="P589" t="n">
        <v>0</v>
      </c>
      <c r="Q589" t="n">
        <v>0</v>
      </c>
      <c r="R589" s="2" t="inlineStr"/>
    </row>
    <row r="590" ht="15" customHeight="1">
      <c r="A590" t="inlineStr">
        <is>
          <t>A 7285-2019</t>
        </is>
      </c>
      <c r="B590" s="1" t="n">
        <v>43496</v>
      </c>
      <c r="C590" s="1" t="n">
        <v>45186</v>
      </c>
      <c r="D590" t="inlineStr">
        <is>
          <t>STOCKHOLMS LÄN</t>
        </is>
      </c>
      <c r="E590" t="inlineStr">
        <is>
          <t>NORRTÄLJE</t>
        </is>
      </c>
      <c r="G590" t="n">
        <v>7.8</v>
      </c>
      <c r="H590" t="n">
        <v>0</v>
      </c>
      <c r="I590" t="n">
        <v>0</v>
      </c>
      <c r="J590" t="n">
        <v>0</v>
      </c>
      <c r="K590" t="n">
        <v>0</v>
      </c>
      <c r="L590" t="n">
        <v>0</v>
      </c>
      <c r="M590" t="n">
        <v>0</v>
      </c>
      <c r="N590" t="n">
        <v>0</v>
      </c>
      <c r="O590" t="n">
        <v>0</v>
      </c>
      <c r="P590" t="n">
        <v>0</v>
      </c>
      <c r="Q590" t="n">
        <v>0</v>
      </c>
      <c r="R590" s="2" t="inlineStr"/>
    </row>
    <row r="591" ht="15" customHeight="1">
      <c r="A591" t="inlineStr">
        <is>
          <t>A 7117-2019</t>
        </is>
      </c>
      <c r="B591" s="1" t="n">
        <v>43496</v>
      </c>
      <c r="C591" s="1" t="n">
        <v>45186</v>
      </c>
      <c r="D591" t="inlineStr">
        <is>
          <t>STOCKHOLMS LÄN</t>
        </is>
      </c>
      <c r="E591" t="inlineStr">
        <is>
          <t>NORRTÄLJE</t>
        </is>
      </c>
      <c r="F591" t="inlineStr">
        <is>
          <t>Holmen skog AB</t>
        </is>
      </c>
      <c r="G591" t="n">
        <v>1.5</v>
      </c>
      <c r="H591" t="n">
        <v>0</v>
      </c>
      <c r="I591" t="n">
        <v>0</v>
      </c>
      <c r="J591" t="n">
        <v>0</v>
      </c>
      <c r="K591" t="n">
        <v>0</v>
      </c>
      <c r="L591" t="n">
        <v>0</v>
      </c>
      <c r="M591" t="n">
        <v>0</v>
      </c>
      <c r="N591" t="n">
        <v>0</v>
      </c>
      <c r="O591" t="n">
        <v>0</v>
      </c>
      <c r="P591" t="n">
        <v>0</v>
      </c>
      <c r="Q591" t="n">
        <v>0</v>
      </c>
      <c r="R591" s="2" t="inlineStr"/>
    </row>
    <row r="592" ht="15" customHeight="1">
      <c r="A592" t="inlineStr">
        <is>
          <t>A 7170-2019</t>
        </is>
      </c>
      <c r="B592" s="1" t="n">
        <v>43496</v>
      </c>
      <c r="C592" s="1" t="n">
        <v>45186</v>
      </c>
      <c r="D592" t="inlineStr">
        <is>
          <t>STOCKHOLMS LÄN</t>
        </is>
      </c>
      <c r="E592" t="inlineStr">
        <is>
          <t>NORRTÄLJE</t>
        </is>
      </c>
      <c r="F592" t="inlineStr">
        <is>
          <t>Holmen skog AB</t>
        </is>
      </c>
      <c r="G592" t="n">
        <v>14.6</v>
      </c>
      <c r="H592" t="n">
        <v>0</v>
      </c>
      <c r="I592" t="n">
        <v>0</v>
      </c>
      <c r="J592" t="n">
        <v>0</v>
      </c>
      <c r="K592" t="n">
        <v>0</v>
      </c>
      <c r="L592" t="n">
        <v>0</v>
      </c>
      <c r="M592" t="n">
        <v>0</v>
      </c>
      <c r="N592" t="n">
        <v>0</v>
      </c>
      <c r="O592" t="n">
        <v>0</v>
      </c>
      <c r="P592" t="n">
        <v>0</v>
      </c>
      <c r="Q592" t="n">
        <v>0</v>
      </c>
      <c r="R592" s="2" t="inlineStr"/>
    </row>
    <row r="593" ht="15" customHeight="1">
      <c r="A593" t="inlineStr">
        <is>
          <t>A 7176-2019</t>
        </is>
      </c>
      <c r="B593" s="1" t="n">
        <v>43496</v>
      </c>
      <c r="C593" s="1" t="n">
        <v>45186</v>
      </c>
      <c r="D593" t="inlineStr">
        <is>
          <t>STOCKHOLMS LÄN</t>
        </is>
      </c>
      <c r="E593" t="inlineStr">
        <is>
          <t>NORRTÄLJE</t>
        </is>
      </c>
      <c r="G593" t="n">
        <v>2</v>
      </c>
      <c r="H593" t="n">
        <v>0</v>
      </c>
      <c r="I593" t="n">
        <v>0</v>
      </c>
      <c r="J593" t="n">
        <v>0</v>
      </c>
      <c r="K593" t="n">
        <v>0</v>
      </c>
      <c r="L593" t="n">
        <v>0</v>
      </c>
      <c r="M593" t="n">
        <v>0</v>
      </c>
      <c r="N593" t="n">
        <v>0</v>
      </c>
      <c r="O593" t="n">
        <v>0</v>
      </c>
      <c r="P593" t="n">
        <v>0</v>
      </c>
      <c r="Q593" t="n">
        <v>0</v>
      </c>
      <c r="R593" s="2" t="inlineStr"/>
    </row>
    <row r="594" ht="15" customHeight="1">
      <c r="A594" t="inlineStr">
        <is>
          <t>A 7288-2019</t>
        </is>
      </c>
      <c r="B594" s="1" t="n">
        <v>43496</v>
      </c>
      <c r="C594" s="1" t="n">
        <v>45186</v>
      </c>
      <c r="D594" t="inlineStr">
        <is>
          <t>STOCKHOLMS LÄN</t>
        </is>
      </c>
      <c r="E594" t="inlineStr">
        <is>
          <t>NORRTÄLJE</t>
        </is>
      </c>
      <c r="G594" t="n">
        <v>7.6</v>
      </c>
      <c r="H594" t="n">
        <v>0</v>
      </c>
      <c r="I594" t="n">
        <v>0</v>
      </c>
      <c r="J594" t="n">
        <v>0</v>
      </c>
      <c r="K594" t="n">
        <v>0</v>
      </c>
      <c r="L594" t="n">
        <v>0</v>
      </c>
      <c r="M594" t="n">
        <v>0</v>
      </c>
      <c r="N594" t="n">
        <v>0</v>
      </c>
      <c r="O594" t="n">
        <v>0</v>
      </c>
      <c r="P594" t="n">
        <v>0</v>
      </c>
      <c r="Q594" t="n">
        <v>0</v>
      </c>
      <c r="R594" s="2" t="inlineStr"/>
    </row>
    <row r="595" ht="15" customHeight="1">
      <c r="A595" t="inlineStr">
        <is>
          <t>A 7278-2019</t>
        </is>
      </c>
      <c r="B595" s="1" t="n">
        <v>43496</v>
      </c>
      <c r="C595" s="1" t="n">
        <v>45186</v>
      </c>
      <c r="D595" t="inlineStr">
        <is>
          <t>STOCKHOLMS LÄN</t>
        </is>
      </c>
      <c r="E595" t="inlineStr">
        <is>
          <t>NORRTÄLJE</t>
        </is>
      </c>
      <c r="G595" t="n">
        <v>13.6</v>
      </c>
      <c r="H595" t="n">
        <v>0</v>
      </c>
      <c r="I595" t="n">
        <v>0</v>
      </c>
      <c r="J595" t="n">
        <v>0</v>
      </c>
      <c r="K595" t="n">
        <v>0</v>
      </c>
      <c r="L595" t="n">
        <v>0</v>
      </c>
      <c r="M595" t="n">
        <v>0</v>
      </c>
      <c r="N595" t="n">
        <v>0</v>
      </c>
      <c r="O595" t="n">
        <v>0</v>
      </c>
      <c r="P595" t="n">
        <v>0</v>
      </c>
      <c r="Q595" t="n">
        <v>0</v>
      </c>
      <c r="R595" s="2" t="inlineStr"/>
    </row>
    <row r="596" ht="15" customHeight="1">
      <c r="A596" t="inlineStr">
        <is>
          <t>A 7426-2019</t>
        </is>
      </c>
      <c r="B596" s="1" t="n">
        <v>43497</v>
      </c>
      <c r="C596" s="1" t="n">
        <v>45186</v>
      </c>
      <c r="D596" t="inlineStr">
        <is>
          <t>STOCKHOLMS LÄN</t>
        </is>
      </c>
      <c r="E596" t="inlineStr">
        <is>
          <t>NORRTÄLJE</t>
        </is>
      </c>
      <c r="G596" t="n">
        <v>3.8</v>
      </c>
      <c r="H596" t="n">
        <v>0</v>
      </c>
      <c r="I596" t="n">
        <v>0</v>
      </c>
      <c r="J596" t="n">
        <v>0</v>
      </c>
      <c r="K596" t="n">
        <v>0</v>
      </c>
      <c r="L596" t="n">
        <v>0</v>
      </c>
      <c r="M596" t="n">
        <v>0</v>
      </c>
      <c r="N596" t="n">
        <v>0</v>
      </c>
      <c r="O596" t="n">
        <v>0</v>
      </c>
      <c r="P596" t="n">
        <v>0</v>
      </c>
      <c r="Q596" t="n">
        <v>0</v>
      </c>
      <c r="R596" s="2" t="inlineStr"/>
    </row>
    <row r="597" ht="15" customHeight="1">
      <c r="A597" t="inlineStr">
        <is>
          <t>A 7429-2019</t>
        </is>
      </c>
      <c r="B597" s="1" t="n">
        <v>43497</v>
      </c>
      <c r="C597" s="1" t="n">
        <v>45186</v>
      </c>
      <c r="D597" t="inlineStr">
        <is>
          <t>STOCKHOLMS LÄN</t>
        </is>
      </c>
      <c r="E597" t="inlineStr">
        <is>
          <t>NORRTÄLJE</t>
        </is>
      </c>
      <c r="G597" t="n">
        <v>2.2</v>
      </c>
      <c r="H597" t="n">
        <v>0</v>
      </c>
      <c r="I597" t="n">
        <v>0</v>
      </c>
      <c r="J597" t="n">
        <v>0</v>
      </c>
      <c r="K597" t="n">
        <v>0</v>
      </c>
      <c r="L597" t="n">
        <v>0</v>
      </c>
      <c r="M597" t="n">
        <v>0</v>
      </c>
      <c r="N597" t="n">
        <v>0</v>
      </c>
      <c r="O597" t="n">
        <v>0</v>
      </c>
      <c r="P597" t="n">
        <v>0</v>
      </c>
      <c r="Q597" t="n">
        <v>0</v>
      </c>
      <c r="R597" s="2" t="inlineStr"/>
    </row>
    <row r="598" ht="15" customHeight="1">
      <c r="A598" t="inlineStr">
        <is>
          <t>A 7419-2019</t>
        </is>
      </c>
      <c r="B598" s="1" t="n">
        <v>43497</v>
      </c>
      <c r="C598" s="1" t="n">
        <v>45186</v>
      </c>
      <c r="D598" t="inlineStr">
        <is>
          <t>STOCKHOLMS LÄN</t>
        </is>
      </c>
      <c r="E598" t="inlineStr">
        <is>
          <t>SÖDERTÄLJE</t>
        </is>
      </c>
      <c r="G598" t="n">
        <v>1.6</v>
      </c>
      <c r="H598" t="n">
        <v>0</v>
      </c>
      <c r="I598" t="n">
        <v>0</v>
      </c>
      <c r="J598" t="n">
        <v>0</v>
      </c>
      <c r="K598" t="n">
        <v>0</v>
      </c>
      <c r="L598" t="n">
        <v>0</v>
      </c>
      <c r="M598" t="n">
        <v>0</v>
      </c>
      <c r="N598" t="n">
        <v>0</v>
      </c>
      <c r="O598" t="n">
        <v>0</v>
      </c>
      <c r="P598" t="n">
        <v>0</v>
      </c>
      <c r="Q598" t="n">
        <v>0</v>
      </c>
      <c r="R598" s="2" t="inlineStr"/>
    </row>
    <row r="599" ht="15" customHeight="1">
      <c r="A599" t="inlineStr">
        <is>
          <t>A 7502-2019</t>
        </is>
      </c>
      <c r="B599" s="1" t="n">
        <v>43497</v>
      </c>
      <c r="C599" s="1" t="n">
        <v>45186</v>
      </c>
      <c r="D599" t="inlineStr">
        <is>
          <t>STOCKHOLMS LÄN</t>
        </is>
      </c>
      <c r="E599" t="inlineStr">
        <is>
          <t>NORRTÄLJE</t>
        </is>
      </c>
      <c r="F599" t="inlineStr">
        <is>
          <t>Sveaskog</t>
        </is>
      </c>
      <c r="G599" t="n">
        <v>1.1</v>
      </c>
      <c r="H599" t="n">
        <v>0</v>
      </c>
      <c r="I599" t="n">
        <v>0</v>
      </c>
      <c r="J599" t="n">
        <v>0</v>
      </c>
      <c r="K599" t="n">
        <v>0</v>
      </c>
      <c r="L599" t="n">
        <v>0</v>
      </c>
      <c r="M599" t="n">
        <v>0</v>
      </c>
      <c r="N599" t="n">
        <v>0</v>
      </c>
      <c r="O599" t="n">
        <v>0</v>
      </c>
      <c r="P599" t="n">
        <v>0</v>
      </c>
      <c r="Q599" t="n">
        <v>0</v>
      </c>
      <c r="R599" s="2" t="inlineStr"/>
    </row>
    <row r="600" ht="15" customHeight="1">
      <c r="A600" t="inlineStr">
        <is>
          <t>A 7432-2019</t>
        </is>
      </c>
      <c r="B600" s="1" t="n">
        <v>43497</v>
      </c>
      <c r="C600" s="1" t="n">
        <v>45186</v>
      </c>
      <c r="D600" t="inlineStr">
        <is>
          <t>STOCKHOLMS LÄN</t>
        </is>
      </c>
      <c r="E600" t="inlineStr">
        <is>
          <t>NYNÄSHAMN</t>
        </is>
      </c>
      <c r="G600" t="n">
        <v>3</v>
      </c>
      <c r="H600" t="n">
        <v>0</v>
      </c>
      <c r="I600" t="n">
        <v>0</v>
      </c>
      <c r="J600" t="n">
        <v>0</v>
      </c>
      <c r="K600" t="n">
        <v>0</v>
      </c>
      <c r="L600" t="n">
        <v>0</v>
      </c>
      <c r="M600" t="n">
        <v>0</v>
      </c>
      <c r="N600" t="n">
        <v>0</v>
      </c>
      <c r="O600" t="n">
        <v>0</v>
      </c>
      <c r="P600" t="n">
        <v>0</v>
      </c>
      <c r="Q600" t="n">
        <v>0</v>
      </c>
      <c r="R600" s="2" t="inlineStr"/>
    </row>
    <row r="601" ht="15" customHeight="1">
      <c r="A601" t="inlineStr">
        <is>
          <t>A 7568-2019</t>
        </is>
      </c>
      <c r="B601" s="1" t="n">
        <v>43497</v>
      </c>
      <c r="C601" s="1" t="n">
        <v>45186</v>
      </c>
      <c r="D601" t="inlineStr">
        <is>
          <t>STOCKHOLMS LÄN</t>
        </is>
      </c>
      <c r="E601" t="inlineStr">
        <is>
          <t>NORRTÄLJE</t>
        </is>
      </c>
      <c r="G601" t="n">
        <v>4.2</v>
      </c>
      <c r="H601" t="n">
        <v>0</v>
      </c>
      <c r="I601" t="n">
        <v>0</v>
      </c>
      <c r="J601" t="n">
        <v>0</v>
      </c>
      <c r="K601" t="n">
        <v>0</v>
      </c>
      <c r="L601" t="n">
        <v>0</v>
      </c>
      <c r="M601" t="n">
        <v>0</v>
      </c>
      <c r="N601" t="n">
        <v>0</v>
      </c>
      <c r="O601" t="n">
        <v>0</v>
      </c>
      <c r="P601" t="n">
        <v>0</v>
      </c>
      <c r="Q601" t="n">
        <v>0</v>
      </c>
      <c r="R601" s="2" t="inlineStr"/>
    </row>
    <row r="602" ht="15" customHeight="1">
      <c r="A602" t="inlineStr">
        <is>
          <t>A 7579-2019</t>
        </is>
      </c>
      <c r="B602" s="1" t="n">
        <v>43498</v>
      </c>
      <c r="C602" s="1" t="n">
        <v>45186</v>
      </c>
      <c r="D602" t="inlineStr">
        <is>
          <t>STOCKHOLMS LÄN</t>
        </is>
      </c>
      <c r="E602" t="inlineStr">
        <is>
          <t>NORRTÄLJE</t>
        </is>
      </c>
      <c r="G602" t="n">
        <v>2.8</v>
      </c>
      <c r="H602" t="n">
        <v>0</v>
      </c>
      <c r="I602" t="n">
        <v>0</v>
      </c>
      <c r="J602" t="n">
        <v>0</v>
      </c>
      <c r="K602" t="n">
        <v>0</v>
      </c>
      <c r="L602" t="n">
        <v>0</v>
      </c>
      <c r="M602" t="n">
        <v>0</v>
      </c>
      <c r="N602" t="n">
        <v>0</v>
      </c>
      <c r="O602" t="n">
        <v>0</v>
      </c>
      <c r="P602" t="n">
        <v>0</v>
      </c>
      <c r="Q602" t="n">
        <v>0</v>
      </c>
      <c r="R602" s="2" t="inlineStr"/>
    </row>
    <row r="603" ht="15" customHeight="1">
      <c r="A603" t="inlineStr">
        <is>
          <t>A 7606-2019</t>
        </is>
      </c>
      <c r="B603" s="1" t="n">
        <v>43499</v>
      </c>
      <c r="C603" s="1" t="n">
        <v>45186</v>
      </c>
      <c r="D603" t="inlineStr">
        <is>
          <t>STOCKHOLMS LÄN</t>
        </is>
      </c>
      <c r="E603" t="inlineStr">
        <is>
          <t>NORRTÄLJE</t>
        </is>
      </c>
      <c r="G603" t="n">
        <v>1</v>
      </c>
      <c r="H603" t="n">
        <v>0</v>
      </c>
      <c r="I603" t="n">
        <v>0</v>
      </c>
      <c r="J603" t="n">
        <v>0</v>
      </c>
      <c r="K603" t="n">
        <v>0</v>
      </c>
      <c r="L603" t="n">
        <v>0</v>
      </c>
      <c r="M603" t="n">
        <v>0</v>
      </c>
      <c r="N603" t="n">
        <v>0</v>
      </c>
      <c r="O603" t="n">
        <v>0</v>
      </c>
      <c r="P603" t="n">
        <v>0</v>
      </c>
      <c r="Q603" t="n">
        <v>0</v>
      </c>
      <c r="R603" s="2" t="inlineStr"/>
    </row>
    <row r="604" ht="15" customHeight="1">
      <c r="A604" t="inlineStr">
        <is>
          <t>A 7608-2019</t>
        </is>
      </c>
      <c r="B604" s="1" t="n">
        <v>43499</v>
      </c>
      <c r="C604" s="1" t="n">
        <v>45186</v>
      </c>
      <c r="D604" t="inlineStr">
        <is>
          <t>STOCKHOLMS LÄN</t>
        </is>
      </c>
      <c r="E604" t="inlineStr">
        <is>
          <t>NORRTÄLJE</t>
        </is>
      </c>
      <c r="G604" t="n">
        <v>10</v>
      </c>
      <c r="H604" t="n">
        <v>0</v>
      </c>
      <c r="I604" t="n">
        <v>0</v>
      </c>
      <c r="J604" t="n">
        <v>0</v>
      </c>
      <c r="K604" t="n">
        <v>0</v>
      </c>
      <c r="L604" t="n">
        <v>0</v>
      </c>
      <c r="M604" t="n">
        <v>0</v>
      </c>
      <c r="N604" t="n">
        <v>0</v>
      </c>
      <c r="O604" t="n">
        <v>0</v>
      </c>
      <c r="P604" t="n">
        <v>0</v>
      </c>
      <c r="Q604" t="n">
        <v>0</v>
      </c>
      <c r="R604" s="2" t="inlineStr"/>
    </row>
    <row r="605" ht="15" customHeight="1">
      <c r="A605" t="inlineStr">
        <is>
          <t>A 7607-2019</t>
        </is>
      </c>
      <c r="B605" s="1" t="n">
        <v>43499</v>
      </c>
      <c r="C605" s="1" t="n">
        <v>45186</v>
      </c>
      <c r="D605" t="inlineStr">
        <is>
          <t>STOCKHOLMS LÄN</t>
        </is>
      </c>
      <c r="E605" t="inlineStr">
        <is>
          <t>NORRTÄLJE</t>
        </is>
      </c>
      <c r="G605" t="n">
        <v>1.9</v>
      </c>
      <c r="H605" t="n">
        <v>0</v>
      </c>
      <c r="I605" t="n">
        <v>0</v>
      </c>
      <c r="J605" t="n">
        <v>0</v>
      </c>
      <c r="K605" t="n">
        <v>0</v>
      </c>
      <c r="L605" t="n">
        <v>0</v>
      </c>
      <c r="M605" t="n">
        <v>0</v>
      </c>
      <c r="N605" t="n">
        <v>0</v>
      </c>
      <c r="O605" t="n">
        <v>0</v>
      </c>
      <c r="P605" t="n">
        <v>0</v>
      </c>
      <c r="Q605" t="n">
        <v>0</v>
      </c>
      <c r="R605" s="2" t="inlineStr"/>
    </row>
    <row r="606" ht="15" customHeight="1">
      <c r="A606" t="inlineStr">
        <is>
          <t>A 7892-2019</t>
        </is>
      </c>
      <c r="B606" s="1" t="n">
        <v>43500</v>
      </c>
      <c r="C606" s="1" t="n">
        <v>45186</v>
      </c>
      <c r="D606" t="inlineStr">
        <is>
          <t>STOCKHOLMS LÄN</t>
        </is>
      </c>
      <c r="E606" t="inlineStr">
        <is>
          <t>ÖSTERÅKER</t>
        </is>
      </c>
      <c r="G606" t="n">
        <v>0.8</v>
      </c>
      <c r="H606" t="n">
        <v>0</v>
      </c>
      <c r="I606" t="n">
        <v>0</v>
      </c>
      <c r="J606" t="n">
        <v>0</v>
      </c>
      <c r="K606" t="n">
        <v>0</v>
      </c>
      <c r="L606" t="n">
        <v>0</v>
      </c>
      <c r="M606" t="n">
        <v>0</v>
      </c>
      <c r="N606" t="n">
        <v>0</v>
      </c>
      <c r="O606" t="n">
        <v>0</v>
      </c>
      <c r="P606" t="n">
        <v>0</v>
      </c>
      <c r="Q606" t="n">
        <v>0</v>
      </c>
      <c r="R606" s="2" t="inlineStr"/>
    </row>
    <row r="607" ht="15" customHeight="1">
      <c r="A607" t="inlineStr">
        <is>
          <t>A 7650-2019</t>
        </is>
      </c>
      <c r="B607" s="1" t="n">
        <v>43500</v>
      </c>
      <c r="C607" s="1" t="n">
        <v>45186</v>
      </c>
      <c r="D607" t="inlineStr">
        <is>
          <t>STOCKHOLMS LÄN</t>
        </is>
      </c>
      <c r="E607" t="inlineStr">
        <is>
          <t>NORRTÄLJE</t>
        </is>
      </c>
      <c r="F607" t="inlineStr">
        <is>
          <t>Övriga Aktiebolag</t>
        </is>
      </c>
      <c r="G607" t="n">
        <v>3.8</v>
      </c>
      <c r="H607" t="n">
        <v>0</v>
      </c>
      <c r="I607" t="n">
        <v>0</v>
      </c>
      <c r="J607" t="n">
        <v>0</v>
      </c>
      <c r="K607" t="n">
        <v>0</v>
      </c>
      <c r="L607" t="n">
        <v>0</v>
      </c>
      <c r="M607" t="n">
        <v>0</v>
      </c>
      <c r="N607" t="n">
        <v>0</v>
      </c>
      <c r="O607" t="n">
        <v>0</v>
      </c>
      <c r="P607" t="n">
        <v>0</v>
      </c>
      <c r="Q607" t="n">
        <v>0</v>
      </c>
      <c r="R607" s="2" t="inlineStr"/>
    </row>
    <row r="608" ht="15" customHeight="1">
      <c r="A608" t="inlineStr">
        <is>
          <t>A 8501-2019</t>
        </is>
      </c>
      <c r="B608" s="1" t="n">
        <v>43500</v>
      </c>
      <c r="C608" s="1" t="n">
        <v>45186</v>
      </c>
      <c r="D608" t="inlineStr">
        <is>
          <t>STOCKHOLMS LÄN</t>
        </is>
      </c>
      <c r="E608" t="inlineStr">
        <is>
          <t>SIGTUNA</t>
        </is>
      </c>
      <c r="G608" t="n">
        <v>1.3</v>
      </c>
      <c r="H608" t="n">
        <v>0</v>
      </c>
      <c r="I608" t="n">
        <v>0</v>
      </c>
      <c r="J608" t="n">
        <v>0</v>
      </c>
      <c r="K608" t="n">
        <v>0</v>
      </c>
      <c r="L608" t="n">
        <v>0</v>
      </c>
      <c r="M608" t="n">
        <v>0</v>
      </c>
      <c r="N608" t="n">
        <v>0</v>
      </c>
      <c r="O608" t="n">
        <v>0</v>
      </c>
      <c r="P608" t="n">
        <v>0</v>
      </c>
      <c r="Q608" t="n">
        <v>0</v>
      </c>
      <c r="R608" s="2" t="inlineStr"/>
    </row>
    <row r="609" ht="15" customHeight="1">
      <c r="A609" t="inlineStr">
        <is>
          <t>A 8039-2019</t>
        </is>
      </c>
      <c r="B609" s="1" t="n">
        <v>43501</v>
      </c>
      <c r="C609" s="1" t="n">
        <v>45186</v>
      </c>
      <c r="D609" t="inlineStr">
        <is>
          <t>STOCKHOLMS LÄN</t>
        </is>
      </c>
      <c r="E609" t="inlineStr">
        <is>
          <t>NORRTÄLJE</t>
        </is>
      </c>
      <c r="G609" t="n">
        <v>16.8</v>
      </c>
      <c r="H609" t="n">
        <v>0</v>
      </c>
      <c r="I609" t="n">
        <v>0</v>
      </c>
      <c r="J609" t="n">
        <v>0</v>
      </c>
      <c r="K609" t="n">
        <v>0</v>
      </c>
      <c r="L609" t="n">
        <v>0</v>
      </c>
      <c r="M609" t="n">
        <v>0</v>
      </c>
      <c r="N609" t="n">
        <v>0</v>
      </c>
      <c r="O609" t="n">
        <v>0</v>
      </c>
      <c r="P609" t="n">
        <v>0</v>
      </c>
      <c r="Q609" t="n">
        <v>0</v>
      </c>
      <c r="R609" s="2" t="inlineStr"/>
    </row>
    <row r="610" ht="15" customHeight="1">
      <c r="A610" t="inlineStr">
        <is>
          <t>A 8256-2019</t>
        </is>
      </c>
      <c r="B610" s="1" t="n">
        <v>43501</v>
      </c>
      <c r="C610" s="1" t="n">
        <v>45186</v>
      </c>
      <c r="D610" t="inlineStr">
        <is>
          <t>STOCKHOLMS LÄN</t>
        </is>
      </c>
      <c r="E610" t="inlineStr">
        <is>
          <t>NORRTÄLJE</t>
        </is>
      </c>
      <c r="G610" t="n">
        <v>0.3</v>
      </c>
      <c r="H610" t="n">
        <v>0</v>
      </c>
      <c r="I610" t="n">
        <v>0</v>
      </c>
      <c r="J610" t="n">
        <v>0</v>
      </c>
      <c r="K610" t="n">
        <v>0</v>
      </c>
      <c r="L610" t="n">
        <v>0</v>
      </c>
      <c r="M610" t="n">
        <v>0</v>
      </c>
      <c r="N610" t="n">
        <v>0</v>
      </c>
      <c r="O610" t="n">
        <v>0</v>
      </c>
      <c r="P610" t="n">
        <v>0</v>
      </c>
      <c r="Q610" t="n">
        <v>0</v>
      </c>
      <c r="R610" s="2" t="inlineStr"/>
    </row>
    <row r="611" ht="15" customHeight="1">
      <c r="A611" t="inlineStr">
        <is>
          <t>A 8523-2019</t>
        </is>
      </c>
      <c r="B611" s="1" t="n">
        <v>43502</v>
      </c>
      <c r="C611" s="1" t="n">
        <v>45186</v>
      </c>
      <c r="D611" t="inlineStr">
        <is>
          <t>STOCKHOLMS LÄN</t>
        </is>
      </c>
      <c r="E611" t="inlineStr">
        <is>
          <t>BOTKYRKA</t>
        </is>
      </c>
      <c r="G611" t="n">
        <v>1.8</v>
      </c>
      <c r="H611" t="n">
        <v>0</v>
      </c>
      <c r="I611" t="n">
        <v>0</v>
      </c>
      <c r="J611" t="n">
        <v>0</v>
      </c>
      <c r="K611" t="n">
        <v>0</v>
      </c>
      <c r="L611" t="n">
        <v>0</v>
      </c>
      <c r="M611" t="n">
        <v>0</v>
      </c>
      <c r="N611" t="n">
        <v>0</v>
      </c>
      <c r="O611" t="n">
        <v>0</v>
      </c>
      <c r="P611" t="n">
        <v>0</v>
      </c>
      <c r="Q611" t="n">
        <v>0</v>
      </c>
      <c r="R611" s="2" t="inlineStr"/>
    </row>
    <row r="612" ht="15" customHeight="1">
      <c r="A612" t="inlineStr">
        <is>
          <t>A 8586-2019</t>
        </is>
      </c>
      <c r="B612" s="1" t="n">
        <v>43502</v>
      </c>
      <c r="C612" s="1" t="n">
        <v>45186</v>
      </c>
      <c r="D612" t="inlineStr">
        <is>
          <t>STOCKHOLMS LÄN</t>
        </is>
      </c>
      <c r="E612" t="inlineStr">
        <is>
          <t>NORRTÄLJE</t>
        </is>
      </c>
      <c r="G612" t="n">
        <v>12.4</v>
      </c>
      <c r="H612" t="n">
        <v>0</v>
      </c>
      <c r="I612" t="n">
        <v>0</v>
      </c>
      <c r="J612" t="n">
        <v>0</v>
      </c>
      <c r="K612" t="n">
        <v>0</v>
      </c>
      <c r="L612" t="n">
        <v>0</v>
      </c>
      <c r="M612" t="n">
        <v>0</v>
      </c>
      <c r="N612" t="n">
        <v>0</v>
      </c>
      <c r="O612" t="n">
        <v>0</v>
      </c>
      <c r="P612" t="n">
        <v>0</v>
      </c>
      <c r="Q612" t="n">
        <v>0</v>
      </c>
      <c r="R612" s="2" t="inlineStr"/>
    </row>
    <row r="613" ht="15" customHeight="1">
      <c r="A613" t="inlineStr">
        <is>
          <t>A 8574-2019</t>
        </is>
      </c>
      <c r="B613" s="1" t="n">
        <v>43502</v>
      </c>
      <c r="C613" s="1" t="n">
        <v>45186</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8452-2019</t>
        </is>
      </c>
      <c r="B614" s="1" t="n">
        <v>43502</v>
      </c>
      <c r="C614" s="1" t="n">
        <v>45186</v>
      </c>
      <c r="D614" t="inlineStr">
        <is>
          <t>STOCKHOLMS LÄN</t>
        </is>
      </c>
      <c r="E614" t="inlineStr">
        <is>
          <t>NORRTÄLJE</t>
        </is>
      </c>
      <c r="G614" t="n">
        <v>3</v>
      </c>
      <c r="H614" t="n">
        <v>0</v>
      </c>
      <c r="I614" t="n">
        <v>0</v>
      </c>
      <c r="J614" t="n">
        <v>0</v>
      </c>
      <c r="K614" t="n">
        <v>0</v>
      </c>
      <c r="L614" t="n">
        <v>0</v>
      </c>
      <c r="M614" t="n">
        <v>0</v>
      </c>
      <c r="N614" t="n">
        <v>0</v>
      </c>
      <c r="O614" t="n">
        <v>0</v>
      </c>
      <c r="P614" t="n">
        <v>0</v>
      </c>
      <c r="Q614" t="n">
        <v>0</v>
      </c>
      <c r="R614" s="2" t="inlineStr"/>
    </row>
    <row r="615" ht="15" customHeight="1">
      <c r="A615" t="inlineStr">
        <is>
          <t>A 8469-2019</t>
        </is>
      </c>
      <c r="B615" s="1" t="n">
        <v>43502</v>
      </c>
      <c r="C615" s="1" t="n">
        <v>45186</v>
      </c>
      <c r="D615" t="inlineStr">
        <is>
          <t>STOCKHOLMS LÄN</t>
        </is>
      </c>
      <c r="E615" t="inlineStr">
        <is>
          <t>SIGTUNA</t>
        </is>
      </c>
      <c r="F615" t="inlineStr">
        <is>
          <t>Allmännings- och besparingsskogar</t>
        </is>
      </c>
      <c r="G615" t="n">
        <v>5.7</v>
      </c>
      <c r="H615" t="n">
        <v>0</v>
      </c>
      <c r="I615" t="n">
        <v>0</v>
      </c>
      <c r="J615" t="n">
        <v>0</v>
      </c>
      <c r="K615" t="n">
        <v>0</v>
      </c>
      <c r="L615" t="n">
        <v>0</v>
      </c>
      <c r="M615" t="n">
        <v>0</v>
      </c>
      <c r="N615" t="n">
        <v>0</v>
      </c>
      <c r="O615" t="n">
        <v>0</v>
      </c>
      <c r="P615" t="n">
        <v>0</v>
      </c>
      <c r="Q615" t="n">
        <v>0</v>
      </c>
      <c r="R615" s="2" t="inlineStr"/>
    </row>
    <row r="616" ht="15" customHeight="1">
      <c r="A616" t="inlineStr">
        <is>
          <t>A 8686-2019</t>
        </is>
      </c>
      <c r="B616" s="1" t="n">
        <v>43503</v>
      </c>
      <c r="C616" s="1" t="n">
        <v>45186</v>
      </c>
      <c r="D616" t="inlineStr">
        <is>
          <t>STOCKHOLMS LÄN</t>
        </is>
      </c>
      <c r="E616" t="inlineStr">
        <is>
          <t>VALLENTUNA</t>
        </is>
      </c>
      <c r="G616" t="n">
        <v>5.1</v>
      </c>
      <c r="H616" t="n">
        <v>0</v>
      </c>
      <c r="I616" t="n">
        <v>0</v>
      </c>
      <c r="J616" t="n">
        <v>0</v>
      </c>
      <c r="K616" t="n">
        <v>0</v>
      </c>
      <c r="L616" t="n">
        <v>0</v>
      </c>
      <c r="M616" t="n">
        <v>0</v>
      </c>
      <c r="N616" t="n">
        <v>0</v>
      </c>
      <c r="O616" t="n">
        <v>0</v>
      </c>
      <c r="P616" t="n">
        <v>0</v>
      </c>
      <c r="Q616" t="n">
        <v>0</v>
      </c>
      <c r="R616" s="2" t="inlineStr"/>
    </row>
    <row r="617" ht="15" customHeight="1">
      <c r="A617" t="inlineStr">
        <is>
          <t>A 8719-2019</t>
        </is>
      </c>
      <c r="B617" s="1" t="n">
        <v>43503</v>
      </c>
      <c r="C617" s="1" t="n">
        <v>45186</v>
      </c>
      <c r="D617" t="inlineStr">
        <is>
          <t>STOCKHOLMS LÄN</t>
        </is>
      </c>
      <c r="E617" t="inlineStr">
        <is>
          <t>NORRTÄLJE</t>
        </is>
      </c>
      <c r="G617" t="n">
        <v>1.9</v>
      </c>
      <c r="H617" t="n">
        <v>0</v>
      </c>
      <c r="I617" t="n">
        <v>0</v>
      </c>
      <c r="J617" t="n">
        <v>0</v>
      </c>
      <c r="K617" t="n">
        <v>0</v>
      </c>
      <c r="L617" t="n">
        <v>0</v>
      </c>
      <c r="M617" t="n">
        <v>0</v>
      </c>
      <c r="N617" t="n">
        <v>0</v>
      </c>
      <c r="O617" t="n">
        <v>0</v>
      </c>
      <c r="P617" t="n">
        <v>0</v>
      </c>
      <c r="Q617" t="n">
        <v>0</v>
      </c>
      <c r="R617" s="2" t="inlineStr"/>
    </row>
    <row r="618" ht="15" customHeight="1">
      <c r="A618" t="inlineStr">
        <is>
          <t>A 8797-2019</t>
        </is>
      </c>
      <c r="B618" s="1" t="n">
        <v>43503</v>
      </c>
      <c r="C618" s="1" t="n">
        <v>45186</v>
      </c>
      <c r="D618" t="inlineStr">
        <is>
          <t>STOCKHOLMS LÄN</t>
        </is>
      </c>
      <c r="E618" t="inlineStr">
        <is>
          <t>HANINGE</t>
        </is>
      </c>
      <c r="F618" t="inlineStr">
        <is>
          <t>Övriga statliga verk och myndigheter</t>
        </is>
      </c>
      <c r="G618" t="n">
        <v>4.3</v>
      </c>
      <c r="H618" t="n">
        <v>0</v>
      </c>
      <c r="I618" t="n">
        <v>0</v>
      </c>
      <c r="J618" t="n">
        <v>0</v>
      </c>
      <c r="K618" t="n">
        <v>0</v>
      </c>
      <c r="L618" t="n">
        <v>0</v>
      </c>
      <c r="M618" t="n">
        <v>0</v>
      </c>
      <c r="N618" t="n">
        <v>0</v>
      </c>
      <c r="O618" t="n">
        <v>0</v>
      </c>
      <c r="P618" t="n">
        <v>0</v>
      </c>
      <c r="Q618" t="n">
        <v>0</v>
      </c>
      <c r="R618" s="2" t="inlineStr"/>
    </row>
    <row r="619" ht="15" customHeight="1">
      <c r="A619" t="inlineStr">
        <is>
          <t>A 8692-2019</t>
        </is>
      </c>
      <c r="B619" s="1" t="n">
        <v>43503</v>
      </c>
      <c r="C619" s="1" t="n">
        <v>45186</v>
      </c>
      <c r="D619" t="inlineStr">
        <is>
          <t>STOCKHOLMS LÄN</t>
        </is>
      </c>
      <c r="E619" t="inlineStr">
        <is>
          <t>NORRTÄLJE</t>
        </is>
      </c>
      <c r="G619" t="n">
        <v>6.8</v>
      </c>
      <c r="H619" t="n">
        <v>0</v>
      </c>
      <c r="I619" t="n">
        <v>0</v>
      </c>
      <c r="J619" t="n">
        <v>0</v>
      </c>
      <c r="K619" t="n">
        <v>0</v>
      </c>
      <c r="L619" t="n">
        <v>0</v>
      </c>
      <c r="M619" t="n">
        <v>0</v>
      </c>
      <c r="N619" t="n">
        <v>0</v>
      </c>
      <c r="O619" t="n">
        <v>0</v>
      </c>
      <c r="P619" t="n">
        <v>0</v>
      </c>
      <c r="Q619" t="n">
        <v>0</v>
      </c>
      <c r="R619" s="2" t="inlineStr"/>
    </row>
    <row r="620" ht="15" customHeight="1">
      <c r="A620" t="inlineStr">
        <is>
          <t>A 8818-2019</t>
        </is>
      </c>
      <c r="B620" s="1" t="n">
        <v>43503</v>
      </c>
      <c r="C620" s="1" t="n">
        <v>45186</v>
      </c>
      <c r="D620" t="inlineStr">
        <is>
          <t>STOCKHOLMS LÄN</t>
        </is>
      </c>
      <c r="E620" t="inlineStr">
        <is>
          <t>NORRTÄLJE</t>
        </is>
      </c>
      <c r="F620" t="inlineStr">
        <is>
          <t>Övriga statliga verk och myndigheter</t>
        </is>
      </c>
      <c r="G620" t="n">
        <v>2.7</v>
      </c>
      <c r="H620" t="n">
        <v>0</v>
      </c>
      <c r="I620" t="n">
        <v>0</v>
      </c>
      <c r="J620" t="n">
        <v>0</v>
      </c>
      <c r="K620" t="n">
        <v>0</v>
      </c>
      <c r="L620" t="n">
        <v>0</v>
      </c>
      <c r="M620" t="n">
        <v>0</v>
      </c>
      <c r="N620" t="n">
        <v>0</v>
      </c>
      <c r="O620" t="n">
        <v>0</v>
      </c>
      <c r="P620" t="n">
        <v>0</v>
      </c>
      <c r="Q620" t="n">
        <v>0</v>
      </c>
      <c r="R620" s="2" t="inlineStr"/>
    </row>
    <row r="621" ht="15" customHeight="1">
      <c r="A621" t="inlineStr">
        <is>
          <t>A 8678-2019</t>
        </is>
      </c>
      <c r="B621" s="1" t="n">
        <v>43503</v>
      </c>
      <c r="C621" s="1" t="n">
        <v>45186</v>
      </c>
      <c r="D621" t="inlineStr">
        <is>
          <t>STOCKHOLMS LÄN</t>
        </is>
      </c>
      <c r="E621" t="inlineStr">
        <is>
          <t>NORRTÄLJE</t>
        </is>
      </c>
      <c r="G621" t="n">
        <v>2.5</v>
      </c>
      <c r="H621" t="n">
        <v>0</v>
      </c>
      <c r="I621" t="n">
        <v>0</v>
      </c>
      <c r="J621" t="n">
        <v>0</v>
      </c>
      <c r="K621" t="n">
        <v>0</v>
      </c>
      <c r="L621" t="n">
        <v>0</v>
      </c>
      <c r="M621" t="n">
        <v>0</v>
      </c>
      <c r="N621" t="n">
        <v>0</v>
      </c>
      <c r="O621" t="n">
        <v>0</v>
      </c>
      <c r="P621" t="n">
        <v>0</v>
      </c>
      <c r="Q621" t="n">
        <v>0</v>
      </c>
      <c r="R621" s="2" t="inlineStr"/>
    </row>
    <row r="622" ht="15" customHeight="1">
      <c r="A622" t="inlineStr">
        <is>
          <t>A 8701-2019</t>
        </is>
      </c>
      <c r="B622" s="1" t="n">
        <v>43503</v>
      </c>
      <c r="C622" s="1" t="n">
        <v>45186</v>
      </c>
      <c r="D622" t="inlineStr">
        <is>
          <t>STOCKHOLMS LÄN</t>
        </is>
      </c>
      <c r="E622" t="inlineStr">
        <is>
          <t>NORRTÄLJE</t>
        </is>
      </c>
      <c r="G622" t="n">
        <v>15.3</v>
      </c>
      <c r="H622" t="n">
        <v>0</v>
      </c>
      <c r="I622" t="n">
        <v>0</v>
      </c>
      <c r="J622" t="n">
        <v>0</v>
      </c>
      <c r="K622" t="n">
        <v>0</v>
      </c>
      <c r="L622" t="n">
        <v>0</v>
      </c>
      <c r="M622" t="n">
        <v>0</v>
      </c>
      <c r="N622" t="n">
        <v>0</v>
      </c>
      <c r="O622" t="n">
        <v>0</v>
      </c>
      <c r="P622" t="n">
        <v>0</v>
      </c>
      <c r="Q622" t="n">
        <v>0</v>
      </c>
      <c r="R622" s="2" t="inlineStr"/>
    </row>
    <row r="623" ht="15" customHeight="1">
      <c r="A623" t="inlineStr">
        <is>
          <t>A 8721-2019</t>
        </is>
      </c>
      <c r="B623" s="1" t="n">
        <v>43503</v>
      </c>
      <c r="C623" s="1" t="n">
        <v>45186</v>
      </c>
      <c r="D623" t="inlineStr">
        <is>
          <t>STOCKHOLMS LÄN</t>
        </is>
      </c>
      <c r="E623" t="inlineStr">
        <is>
          <t>NORRTÄLJE</t>
        </is>
      </c>
      <c r="G623" t="n">
        <v>5.2</v>
      </c>
      <c r="H623" t="n">
        <v>0</v>
      </c>
      <c r="I623" t="n">
        <v>0</v>
      </c>
      <c r="J623" t="n">
        <v>0</v>
      </c>
      <c r="K623" t="n">
        <v>0</v>
      </c>
      <c r="L623" t="n">
        <v>0</v>
      </c>
      <c r="M623" t="n">
        <v>0</v>
      </c>
      <c r="N623" t="n">
        <v>0</v>
      </c>
      <c r="O623" t="n">
        <v>0</v>
      </c>
      <c r="P623" t="n">
        <v>0</v>
      </c>
      <c r="Q623" t="n">
        <v>0</v>
      </c>
      <c r="R623" s="2" t="inlineStr"/>
    </row>
    <row r="624" ht="15" customHeight="1">
      <c r="A624" t="inlineStr">
        <is>
          <t>A 8996-2019</t>
        </is>
      </c>
      <c r="B624" s="1" t="n">
        <v>43503</v>
      </c>
      <c r="C624" s="1" t="n">
        <v>45186</v>
      </c>
      <c r="D624" t="inlineStr">
        <is>
          <t>STOCKHOLMS LÄN</t>
        </is>
      </c>
      <c r="E624" t="inlineStr">
        <is>
          <t>ÖSTERÅKER</t>
        </is>
      </c>
      <c r="G624" t="n">
        <v>1.5</v>
      </c>
      <c r="H624" t="n">
        <v>0</v>
      </c>
      <c r="I624" t="n">
        <v>0</v>
      </c>
      <c r="J624" t="n">
        <v>0</v>
      </c>
      <c r="K624" t="n">
        <v>0</v>
      </c>
      <c r="L624" t="n">
        <v>0</v>
      </c>
      <c r="M624" t="n">
        <v>0</v>
      </c>
      <c r="N624" t="n">
        <v>0</v>
      </c>
      <c r="O624" t="n">
        <v>0</v>
      </c>
      <c r="P624" t="n">
        <v>0</v>
      </c>
      <c r="Q624" t="n">
        <v>0</v>
      </c>
      <c r="R624" s="2" t="inlineStr"/>
    </row>
    <row r="625" ht="15" customHeight="1">
      <c r="A625" t="inlineStr">
        <is>
          <t>A 9154-2019</t>
        </is>
      </c>
      <c r="B625" s="1" t="n">
        <v>43504</v>
      </c>
      <c r="C625" s="1" t="n">
        <v>45186</v>
      </c>
      <c r="D625" t="inlineStr">
        <is>
          <t>STOCKHOLMS LÄN</t>
        </is>
      </c>
      <c r="E625" t="inlineStr">
        <is>
          <t>NORRTÄLJE</t>
        </is>
      </c>
      <c r="G625" t="n">
        <v>2.9</v>
      </c>
      <c r="H625" t="n">
        <v>0</v>
      </c>
      <c r="I625" t="n">
        <v>0</v>
      </c>
      <c r="J625" t="n">
        <v>0</v>
      </c>
      <c r="K625" t="n">
        <v>0</v>
      </c>
      <c r="L625" t="n">
        <v>0</v>
      </c>
      <c r="M625" t="n">
        <v>0</v>
      </c>
      <c r="N625" t="n">
        <v>0</v>
      </c>
      <c r="O625" t="n">
        <v>0</v>
      </c>
      <c r="P625" t="n">
        <v>0</v>
      </c>
      <c r="Q625" t="n">
        <v>0</v>
      </c>
      <c r="R625" s="2" t="inlineStr"/>
    </row>
    <row r="626" ht="15" customHeight="1">
      <c r="A626" t="inlineStr">
        <is>
          <t>A 9090-2019</t>
        </is>
      </c>
      <c r="B626" s="1" t="n">
        <v>43504</v>
      </c>
      <c r="C626" s="1" t="n">
        <v>45186</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9126-2019</t>
        </is>
      </c>
      <c r="B627" s="1" t="n">
        <v>43504</v>
      </c>
      <c r="C627" s="1" t="n">
        <v>45186</v>
      </c>
      <c r="D627" t="inlineStr">
        <is>
          <t>STOCKHOLMS LÄN</t>
        </is>
      </c>
      <c r="E627" t="inlineStr">
        <is>
          <t>VAXHOLM</t>
        </is>
      </c>
      <c r="F627" t="inlineStr">
        <is>
          <t>Övriga statliga verk och myndigheter</t>
        </is>
      </c>
      <c r="G627" t="n">
        <v>1.1</v>
      </c>
      <c r="H627" t="n">
        <v>0</v>
      </c>
      <c r="I627" t="n">
        <v>0</v>
      </c>
      <c r="J627" t="n">
        <v>0</v>
      </c>
      <c r="K627" t="n">
        <v>0</v>
      </c>
      <c r="L627" t="n">
        <v>0</v>
      </c>
      <c r="M627" t="n">
        <v>0</v>
      </c>
      <c r="N627" t="n">
        <v>0</v>
      </c>
      <c r="O627" t="n">
        <v>0</v>
      </c>
      <c r="P627" t="n">
        <v>0</v>
      </c>
      <c r="Q627" t="n">
        <v>0</v>
      </c>
      <c r="R627" s="2" t="inlineStr"/>
    </row>
    <row r="628" ht="15" customHeight="1">
      <c r="A628" t="inlineStr">
        <is>
          <t>A 9216-2019</t>
        </is>
      </c>
      <c r="B628" s="1" t="n">
        <v>43506</v>
      </c>
      <c r="C628" s="1" t="n">
        <v>45186</v>
      </c>
      <c r="D628" t="inlineStr">
        <is>
          <t>STOCKHOLMS LÄN</t>
        </is>
      </c>
      <c r="E628" t="inlineStr">
        <is>
          <t>NORRTÄLJE</t>
        </is>
      </c>
      <c r="G628" t="n">
        <v>3.8</v>
      </c>
      <c r="H628" t="n">
        <v>0</v>
      </c>
      <c r="I628" t="n">
        <v>0</v>
      </c>
      <c r="J628" t="n">
        <v>0</v>
      </c>
      <c r="K628" t="n">
        <v>0</v>
      </c>
      <c r="L628" t="n">
        <v>0</v>
      </c>
      <c r="M628" t="n">
        <v>0</v>
      </c>
      <c r="N628" t="n">
        <v>0</v>
      </c>
      <c r="O628" t="n">
        <v>0</v>
      </c>
      <c r="P628" t="n">
        <v>0</v>
      </c>
      <c r="Q628" t="n">
        <v>0</v>
      </c>
      <c r="R628" s="2" t="inlineStr"/>
    </row>
    <row r="629" ht="15" customHeight="1">
      <c r="A629" t="inlineStr">
        <is>
          <t>A 9452-2019</t>
        </is>
      </c>
      <c r="B629" s="1" t="n">
        <v>43507</v>
      </c>
      <c r="C629" s="1" t="n">
        <v>45186</v>
      </c>
      <c r="D629" t="inlineStr">
        <is>
          <t>STOCKHOLMS LÄN</t>
        </is>
      </c>
      <c r="E629" t="inlineStr">
        <is>
          <t>NORRTÄLJE</t>
        </is>
      </c>
      <c r="G629" t="n">
        <v>4.2</v>
      </c>
      <c r="H629" t="n">
        <v>0</v>
      </c>
      <c r="I629" t="n">
        <v>0</v>
      </c>
      <c r="J629" t="n">
        <v>0</v>
      </c>
      <c r="K629" t="n">
        <v>0</v>
      </c>
      <c r="L629" t="n">
        <v>0</v>
      </c>
      <c r="M629" t="n">
        <v>0</v>
      </c>
      <c r="N629" t="n">
        <v>0</v>
      </c>
      <c r="O629" t="n">
        <v>0</v>
      </c>
      <c r="P629" t="n">
        <v>0</v>
      </c>
      <c r="Q629" t="n">
        <v>0</v>
      </c>
      <c r="R629" s="2" t="inlineStr"/>
    </row>
    <row r="630" ht="15" customHeight="1">
      <c r="A630" t="inlineStr">
        <is>
          <t>A 9500-2019</t>
        </is>
      </c>
      <c r="B630" s="1" t="n">
        <v>43507</v>
      </c>
      <c r="C630" s="1" t="n">
        <v>45186</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9506-2019</t>
        </is>
      </c>
      <c r="B631" s="1" t="n">
        <v>43507</v>
      </c>
      <c r="C631" s="1" t="n">
        <v>45186</v>
      </c>
      <c r="D631" t="inlineStr">
        <is>
          <t>STOCKHOLMS LÄN</t>
        </is>
      </c>
      <c r="E631" t="inlineStr">
        <is>
          <t>NORRTÄLJE</t>
        </is>
      </c>
      <c r="G631" t="n">
        <v>3.7</v>
      </c>
      <c r="H631" t="n">
        <v>0</v>
      </c>
      <c r="I631" t="n">
        <v>0</v>
      </c>
      <c r="J631" t="n">
        <v>0</v>
      </c>
      <c r="K631" t="n">
        <v>0</v>
      </c>
      <c r="L631" t="n">
        <v>0</v>
      </c>
      <c r="M631" t="n">
        <v>0</v>
      </c>
      <c r="N631" t="n">
        <v>0</v>
      </c>
      <c r="O631" t="n">
        <v>0</v>
      </c>
      <c r="P631" t="n">
        <v>0</v>
      </c>
      <c r="Q631" t="n">
        <v>0</v>
      </c>
      <c r="R631" s="2" t="inlineStr"/>
    </row>
    <row r="632" ht="15" customHeight="1">
      <c r="A632" t="inlineStr">
        <is>
          <t>A 9432-2019</t>
        </is>
      </c>
      <c r="B632" s="1" t="n">
        <v>43507</v>
      </c>
      <c r="C632" s="1" t="n">
        <v>45186</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9507-2019</t>
        </is>
      </c>
      <c r="B633" s="1" t="n">
        <v>43507</v>
      </c>
      <c r="C633" s="1" t="n">
        <v>45186</v>
      </c>
      <c r="D633" t="inlineStr">
        <is>
          <t>STOCKHOLMS LÄN</t>
        </is>
      </c>
      <c r="E633" t="inlineStr">
        <is>
          <t>NORRTÄLJE</t>
        </is>
      </c>
      <c r="G633" t="n">
        <v>4.3</v>
      </c>
      <c r="H633" t="n">
        <v>0</v>
      </c>
      <c r="I633" t="n">
        <v>0</v>
      </c>
      <c r="J633" t="n">
        <v>0</v>
      </c>
      <c r="K633" t="n">
        <v>0</v>
      </c>
      <c r="L633" t="n">
        <v>0</v>
      </c>
      <c r="M633" t="n">
        <v>0</v>
      </c>
      <c r="N633" t="n">
        <v>0</v>
      </c>
      <c r="O633" t="n">
        <v>0</v>
      </c>
      <c r="P633" t="n">
        <v>0</v>
      </c>
      <c r="Q633" t="n">
        <v>0</v>
      </c>
      <c r="R633" s="2" t="inlineStr"/>
    </row>
    <row r="634" ht="15" customHeight="1">
      <c r="A634" t="inlineStr">
        <is>
          <t>A 9447-2019</t>
        </is>
      </c>
      <c r="B634" s="1" t="n">
        <v>43507</v>
      </c>
      <c r="C634" s="1" t="n">
        <v>45186</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9505-2019</t>
        </is>
      </c>
      <c r="B635" s="1" t="n">
        <v>43507</v>
      </c>
      <c r="C635" s="1" t="n">
        <v>45186</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9462-2019</t>
        </is>
      </c>
      <c r="B636" s="1" t="n">
        <v>43507</v>
      </c>
      <c r="C636" s="1" t="n">
        <v>45186</v>
      </c>
      <c r="D636" t="inlineStr">
        <is>
          <t>STOCKHOLMS LÄN</t>
        </is>
      </c>
      <c r="E636" t="inlineStr">
        <is>
          <t>NORRTÄLJE</t>
        </is>
      </c>
      <c r="G636" t="n">
        <v>4.4</v>
      </c>
      <c r="H636" t="n">
        <v>0</v>
      </c>
      <c r="I636" t="n">
        <v>0</v>
      </c>
      <c r="J636" t="n">
        <v>0</v>
      </c>
      <c r="K636" t="n">
        <v>0</v>
      </c>
      <c r="L636" t="n">
        <v>0</v>
      </c>
      <c r="M636" t="n">
        <v>0</v>
      </c>
      <c r="N636" t="n">
        <v>0</v>
      </c>
      <c r="O636" t="n">
        <v>0</v>
      </c>
      <c r="P636" t="n">
        <v>0</v>
      </c>
      <c r="Q636" t="n">
        <v>0</v>
      </c>
      <c r="R636" s="2" t="inlineStr"/>
    </row>
    <row r="637" ht="15" customHeight="1">
      <c r="A637" t="inlineStr">
        <is>
          <t>A 9504-2019</t>
        </is>
      </c>
      <c r="B637" s="1" t="n">
        <v>43507</v>
      </c>
      <c r="C637" s="1" t="n">
        <v>45186</v>
      </c>
      <c r="D637" t="inlineStr">
        <is>
          <t>STOCKHOLMS LÄN</t>
        </is>
      </c>
      <c r="E637" t="inlineStr">
        <is>
          <t>NORRTÄLJE</t>
        </is>
      </c>
      <c r="G637" t="n">
        <v>2.9</v>
      </c>
      <c r="H637" t="n">
        <v>0</v>
      </c>
      <c r="I637" t="n">
        <v>0</v>
      </c>
      <c r="J637" t="n">
        <v>0</v>
      </c>
      <c r="K637" t="n">
        <v>0</v>
      </c>
      <c r="L637" t="n">
        <v>0</v>
      </c>
      <c r="M637" t="n">
        <v>0</v>
      </c>
      <c r="N637" t="n">
        <v>0</v>
      </c>
      <c r="O637" t="n">
        <v>0</v>
      </c>
      <c r="P637" t="n">
        <v>0</v>
      </c>
      <c r="Q637" t="n">
        <v>0</v>
      </c>
      <c r="R637" s="2" t="inlineStr"/>
    </row>
    <row r="638" ht="15" customHeight="1">
      <c r="A638" t="inlineStr">
        <is>
          <t>A 9569-2019</t>
        </is>
      </c>
      <c r="B638" s="1" t="n">
        <v>43508</v>
      </c>
      <c r="C638" s="1" t="n">
        <v>45186</v>
      </c>
      <c r="D638" t="inlineStr">
        <is>
          <t>STOCKHOLMS LÄN</t>
        </is>
      </c>
      <c r="E638" t="inlineStr">
        <is>
          <t>VÄRMDÖ</t>
        </is>
      </c>
      <c r="G638" t="n">
        <v>2.6</v>
      </c>
      <c r="H638" t="n">
        <v>0</v>
      </c>
      <c r="I638" t="n">
        <v>0</v>
      </c>
      <c r="J638" t="n">
        <v>0</v>
      </c>
      <c r="K638" t="n">
        <v>0</v>
      </c>
      <c r="L638" t="n">
        <v>0</v>
      </c>
      <c r="M638" t="n">
        <v>0</v>
      </c>
      <c r="N638" t="n">
        <v>0</v>
      </c>
      <c r="O638" t="n">
        <v>0</v>
      </c>
      <c r="P638" t="n">
        <v>0</v>
      </c>
      <c r="Q638" t="n">
        <v>0</v>
      </c>
      <c r="R638" s="2" t="inlineStr"/>
    </row>
    <row r="639" ht="15" customHeight="1">
      <c r="A639" t="inlineStr">
        <is>
          <t>A 9619-2019</t>
        </is>
      </c>
      <c r="B639" s="1" t="n">
        <v>43508</v>
      </c>
      <c r="C639" s="1" t="n">
        <v>45186</v>
      </c>
      <c r="D639" t="inlineStr">
        <is>
          <t>STOCKHOLMS LÄN</t>
        </is>
      </c>
      <c r="E639" t="inlineStr">
        <is>
          <t>VÄRMDÖ</t>
        </is>
      </c>
      <c r="G639" t="n">
        <v>1.8</v>
      </c>
      <c r="H639" t="n">
        <v>0</v>
      </c>
      <c r="I639" t="n">
        <v>0</v>
      </c>
      <c r="J639" t="n">
        <v>0</v>
      </c>
      <c r="K639" t="n">
        <v>0</v>
      </c>
      <c r="L639" t="n">
        <v>0</v>
      </c>
      <c r="M639" t="n">
        <v>0</v>
      </c>
      <c r="N639" t="n">
        <v>0</v>
      </c>
      <c r="O639" t="n">
        <v>0</v>
      </c>
      <c r="P639" t="n">
        <v>0</v>
      </c>
      <c r="Q639" t="n">
        <v>0</v>
      </c>
      <c r="R639" s="2" t="inlineStr"/>
    </row>
    <row r="640" ht="15" customHeight="1">
      <c r="A640" t="inlineStr">
        <is>
          <t>A 9641-2019</t>
        </is>
      </c>
      <c r="B640" s="1" t="n">
        <v>43508</v>
      </c>
      <c r="C640" s="1" t="n">
        <v>45186</v>
      </c>
      <c r="D640" t="inlineStr">
        <is>
          <t>STOCKHOLMS LÄN</t>
        </is>
      </c>
      <c r="E640" t="inlineStr">
        <is>
          <t>SÖDERTÄLJE</t>
        </is>
      </c>
      <c r="G640" t="n">
        <v>21.7</v>
      </c>
      <c r="H640" t="n">
        <v>0</v>
      </c>
      <c r="I640" t="n">
        <v>0</v>
      </c>
      <c r="J640" t="n">
        <v>0</v>
      </c>
      <c r="K640" t="n">
        <v>0</v>
      </c>
      <c r="L640" t="n">
        <v>0</v>
      </c>
      <c r="M640" t="n">
        <v>0</v>
      </c>
      <c r="N640" t="n">
        <v>0</v>
      </c>
      <c r="O640" t="n">
        <v>0</v>
      </c>
      <c r="P640" t="n">
        <v>0</v>
      </c>
      <c r="Q640" t="n">
        <v>0</v>
      </c>
      <c r="R640" s="2" t="inlineStr"/>
    </row>
    <row r="641" ht="15" customHeight="1">
      <c r="A641" t="inlineStr">
        <is>
          <t>A 9693-2019</t>
        </is>
      </c>
      <c r="B641" s="1" t="n">
        <v>43508</v>
      </c>
      <c r="C641" s="1" t="n">
        <v>45186</v>
      </c>
      <c r="D641" t="inlineStr">
        <is>
          <t>STOCKHOLMS LÄN</t>
        </is>
      </c>
      <c r="E641" t="inlineStr">
        <is>
          <t>NORRTÄLJE</t>
        </is>
      </c>
      <c r="F641" t="inlineStr">
        <is>
          <t>Övriga statliga verk och myndigheter</t>
        </is>
      </c>
      <c r="G641" t="n">
        <v>3</v>
      </c>
      <c r="H641" t="n">
        <v>0</v>
      </c>
      <c r="I641" t="n">
        <v>0</v>
      </c>
      <c r="J641" t="n">
        <v>0</v>
      </c>
      <c r="K641" t="n">
        <v>0</v>
      </c>
      <c r="L641" t="n">
        <v>0</v>
      </c>
      <c r="M641" t="n">
        <v>0</v>
      </c>
      <c r="N641" t="n">
        <v>0</v>
      </c>
      <c r="O641" t="n">
        <v>0</v>
      </c>
      <c r="P641" t="n">
        <v>0</v>
      </c>
      <c r="Q641" t="n">
        <v>0</v>
      </c>
      <c r="R641" s="2" t="inlineStr"/>
    </row>
    <row r="642" ht="15" customHeight="1">
      <c r="A642" t="inlineStr">
        <is>
          <t>A 9712-2019</t>
        </is>
      </c>
      <c r="B642" s="1" t="n">
        <v>43508</v>
      </c>
      <c r="C642" s="1" t="n">
        <v>45186</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9722-2019</t>
        </is>
      </c>
      <c r="B643" s="1" t="n">
        <v>43508</v>
      </c>
      <c r="C643" s="1" t="n">
        <v>45186</v>
      </c>
      <c r="D643" t="inlineStr">
        <is>
          <t>STOCKHOLMS LÄN</t>
        </is>
      </c>
      <c r="E643" t="inlineStr">
        <is>
          <t>VÄRMDÖ</t>
        </is>
      </c>
      <c r="G643" t="n">
        <v>1.1</v>
      </c>
      <c r="H643" t="n">
        <v>0</v>
      </c>
      <c r="I643" t="n">
        <v>0</v>
      </c>
      <c r="J643" t="n">
        <v>0</v>
      </c>
      <c r="K643" t="n">
        <v>0</v>
      </c>
      <c r="L643" t="n">
        <v>0</v>
      </c>
      <c r="M643" t="n">
        <v>0</v>
      </c>
      <c r="N643" t="n">
        <v>0</v>
      </c>
      <c r="O643" t="n">
        <v>0</v>
      </c>
      <c r="P643" t="n">
        <v>0</v>
      </c>
      <c r="Q643" t="n">
        <v>0</v>
      </c>
      <c r="R643" s="2" t="inlineStr"/>
    </row>
    <row r="644" ht="15" customHeight="1">
      <c r="A644" t="inlineStr">
        <is>
          <t>A 9577-2019</t>
        </is>
      </c>
      <c r="B644" s="1" t="n">
        <v>43508</v>
      </c>
      <c r="C644" s="1" t="n">
        <v>45186</v>
      </c>
      <c r="D644" t="inlineStr">
        <is>
          <t>STOCKHOLMS LÄN</t>
        </is>
      </c>
      <c r="E644" t="inlineStr">
        <is>
          <t>NORRTÄLJE</t>
        </is>
      </c>
      <c r="G644" t="n">
        <v>1.5</v>
      </c>
      <c r="H644" t="n">
        <v>0</v>
      </c>
      <c r="I644" t="n">
        <v>0</v>
      </c>
      <c r="J644" t="n">
        <v>0</v>
      </c>
      <c r="K644" t="n">
        <v>0</v>
      </c>
      <c r="L644" t="n">
        <v>0</v>
      </c>
      <c r="M644" t="n">
        <v>0</v>
      </c>
      <c r="N644" t="n">
        <v>0</v>
      </c>
      <c r="O644" t="n">
        <v>0</v>
      </c>
      <c r="P644" t="n">
        <v>0</v>
      </c>
      <c r="Q644" t="n">
        <v>0</v>
      </c>
      <c r="R644" s="2" t="inlineStr"/>
    </row>
    <row r="645" ht="15" customHeight="1">
      <c r="A645" t="inlineStr">
        <is>
          <t>A 9723-2019</t>
        </is>
      </c>
      <c r="B645" s="1" t="n">
        <v>43508</v>
      </c>
      <c r="C645" s="1" t="n">
        <v>45186</v>
      </c>
      <c r="D645" t="inlineStr">
        <is>
          <t>STOCKHOLMS LÄN</t>
        </is>
      </c>
      <c r="E645" t="inlineStr">
        <is>
          <t>VÄRMDÖ</t>
        </is>
      </c>
      <c r="G645" t="n">
        <v>1.2</v>
      </c>
      <c r="H645" t="n">
        <v>0</v>
      </c>
      <c r="I645" t="n">
        <v>0</v>
      </c>
      <c r="J645" t="n">
        <v>0</v>
      </c>
      <c r="K645" t="n">
        <v>0</v>
      </c>
      <c r="L645" t="n">
        <v>0</v>
      </c>
      <c r="M645" t="n">
        <v>0</v>
      </c>
      <c r="N645" t="n">
        <v>0</v>
      </c>
      <c r="O645" t="n">
        <v>0</v>
      </c>
      <c r="P645" t="n">
        <v>0</v>
      </c>
      <c r="Q645" t="n">
        <v>0</v>
      </c>
      <c r="R645" s="2" t="inlineStr"/>
    </row>
    <row r="646" ht="15" customHeight="1">
      <c r="A646" t="inlineStr">
        <is>
          <t>A 9550-2019</t>
        </is>
      </c>
      <c r="B646" s="1" t="n">
        <v>43508</v>
      </c>
      <c r="C646" s="1" t="n">
        <v>45186</v>
      </c>
      <c r="D646" t="inlineStr">
        <is>
          <t>STOCKHOLMS LÄN</t>
        </is>
      </c>
      <c r="E646" t="inlineStr">
        <is>
          <t>VÄRMDÖ</t>
        </is>
      </c>
      <c r="G646" t="n">
        <v>1.3</v>
      </c>
      <c r="H646" t="n">
        <v>0</v>
      </c>
      <c r="I646" t="n">
        <v>0</v>
      </c>
      <c r="J646" t="n">
        <v>0</v>
      </c>
      <c r="K646" t="n">
        <v>0</v>
      </c>
      <c r="L646" t="n">
        <v>0</v>
      </c>
      <c r="M646" t="n">
        <v>0</v>
      </c>
      <c r="N646" t="n">
        <v>0</v>
      </c>
      <c r="O646" t="n">
        <v>0</v>
      </c>
      <c r="P646" t="n">
        <v>0</v>
      </c>
      <c r="Q646" t="n">
        <v>0</v>
      </c>
      <c r="R646" s="2" t="inlineStr"/>
    </row>
    <row r="647" ht="15" customHeight="1">
      <c r="A647" t="inlineStr">
        <is>
          <t>A 9605-2019</t>
        </is>
      </c>
      <c r="B647" s="1" t="n">
        <v>43508</v>
      </c>
      <c r="C647" s="1" t="n">
        <v>45186</v>
      </c>
      <c r="D647" t="inlineStr">
        <is>
          <t>STOCKHOLMS LÄN</t>
        </is>
      </c>
      <c r="E647" t="inlineStr">
        <is>
          <t>VÄRMDÖ</t>
        </is>
      </c>
      <c r="G647" t="n">
        <v>2.2</v>
      </c>
      <c r="H647" t="n">
        <v>0</v>
      </c>
      <c r="I647" t="n">
        <v>0</v>
      </c>
      <c r="J647" t="n">
        <v>0</v>
      </c>
      <c r="K647" t="n">
        <v>0</v>
      </c>
      <c r="L647" t="n">
        <v>0</v>
      </c>
      <c r="M647" t="n">
        <v>0</v>
      </c>
      <c r="N647" t="n">
        <v>0</v>
      </c>
      <c r="O647" t="n">
        <v>0</v>
      </c>
      <c r="P647" t="n">
        <v>0</v>
      </c>
      <c r="Q647" t="n">
        <v>0</v>
      </c>
      <c r="R647" s="2" t="inlineStr"/>
    </row>
    <row r="648" ht="15" customHeight="1">
      <c r="A648" t="inlineStr">
        <is>
          <t>A 9644-2019</t>
        </is>
      </c>
      <c r="B648" s="1" t="n">
        <v>43508</v>
      </c>
      <c r="C648" s="1" t="n">
        <v>45186</v>
      </c>
      <c r="D648" t="inlineStr">
        <is>
          <t>STOCKHOLMS LÄN</t>
        </is>
      </c>
      <c r="E648" t="inlineStr">
        <is>
          <t>UPPLANDS VÄSBY</t>
        </is>
      </c>
      <c r="G648" t="n">
        <v>5</v>
      </c>
      <c r="H648" t="n">
        <v>0</v>
      </c>
      <c r="I648" t="n">
        <v>0</v>
      </c>
      <c r="J648" t="n">
        <v>0</v>
      </c>
      <c r="K648" t="n">
        <v>0</v>
      </c>
      <c r="L648" t="n">
        <v>0</v>
      </c>
      <c r="M648" t="n">
        <v>0</v>
      </c>
      <c r="N648" t="n">
        <v>0</v>
      </c>
      <c r="O648" t="n">
        <v>0</v>
      </c>
      <c r="P648" t="n">
        <v>0</v>
      </c>
      <c r="Q648" t="n">
        <v>0</v>
      </c>
      <c r="R648" s="2" t="inlineStr"/>
    </row>
    <row r="649" ht="15" customHeight="1">
      <c r="A649" t="inlineStr">
        <is>
          <t>A 9687-2019</t>
        </is>
      </c>
      <c r="B649" s="1" t="n">
        <v>43508</v>
      </c>
      <c r="C649" s="1" t="n">
        <v>45186</v>
      </c>
      <c r="D649" t="inlineStr">
        <is>
          <t>STOCKHOLMS LÄN</t>
        </is>
      </c>
      <c r="E649" t="inlineStr">
        <is>
          <t>NORRTÄLJE</t>
        </is>
      </c>
      <c r="F649" t="inlineStr">
        <is>
          <t>Övriga statliga verk och myndigheter</t>
        </is>
      </c>
      <c r="G649" t="n">
        <v>10</v>
      </c>
      <c r="H649" t="n">
        <v>0</v>
      </c>
      <c r="I649" t="n">
        <v>0</v>
      </c>
      <c r="J649" t="n">
        <v>0</v>
      </c>
      <c r="K649" t="n">
        <v>0</v>
      </c>
      <c r="L649" t="n">
        <v>0</v>
      </c>
      <c r="M649" t="n">
        <v>0</v>
      </c>
      <c r="N649" t="n">
        <v>0</v>
      </c>
      <c r="O649" t="n">
        <v>0</v>
      </c>
      <c r="P649" t="n">
        <v>0</v>
      </c>
      <c r="Q649" t="n">
        <v>0</v>
      </c>
      <c r="R649" s="2" t="inlineStr"/>
    </row>
    <row r="650" ht="15" customHeight="1">
      <c r="A650" t="inlineStr">
        <is>
          <t>A 9725-2019</t>
        </is>
      </c>
      <c r="B650" s="1" t="n">
        <v>43508</v>
      </c>
      <c r="C650" s="1" t="n">
        <v>45186</v>
      </c>
      <c r="D650" t="inlineStr">
        <is>
          <t>STOCKHOLMS LÄN</t>
        </is>
      </c>
      <c r="E650" t="inlineStr">
        <is>
          <t>VÄRMDÖ</t>
        </is>
      </c>
      <c r="G650" t="n">
        <v>3.5</v>
      </c>
      <c r="H650" t="n">
        <v>0</v>
      </c>
      <c r="I650" t="n">
        <v>0</v>
      </c>
      <c r="J650" t="n">
        <v>0</v>
      </c>
      <c r="K650" t="n">
        <v>0</v>
      </c>
      <c r="L650" t="n">
        <v>0</v>
      </c>
      <c r="M650" t="n">
        <v>0</v>
      </c>
      <c r="N650" t="n">
        <v>0</v>
      </c>
      <c r="O650" t="n">
        <v>0</v>
      </c>
      <c r="P650" t="n">
        <v>0</v>
      </c>
      <c r="Q650" t="n">
        <v>0</v>
      </c>
      <c r="R650" s="2" t="inlineStr"/>
    </row>
    <row r="651" ht="15" customHeight="1">
      <c r="A651" t="inlineStr">
        <is>
          <t>A 9556-2019</t>
        </is>
      </c>
      <c r="B651" s="1" t="n">
        <v>43508</v>
      </c>
      <c r="C651" s="1" t="n">
        <v>45186</v>
      </c>
      <c r="D651" t="inlineStr">
        <is>
          <t>STOCKHOLMS LÄN</t>
        </is>
      </c>
      <c r="E651" t="inlineStr">
        <is>
          <t>SÖDERTÄLJE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9893-2019</t>
        </is>
      </c>
      <c r="B652" s="1" t="n">
        <v>43509</v>
      </c>
      <c r="C652" s="1" t="n">
        <v>45186</v>
      </c>
      <c r="D652" t="inlineStr">
        <is>
          <t>STOCKHOLMS LÄN</t>
        </is>
      </c>
      <c r="E652" t="inlineStr">
        <is>
          <t>VALLENTUNA</t>
        </is>
      </c>
      <c r="G652" t="n">
        <v>2.1</v>
      </c>
      <c r="H652" t="n">
        <v>0</v>
      </c>
      <c r="I652" t="n">
        <v>0</v>
      </c>
      <c r="J652" t="n">
        <v>0</v>
      </c>
      <c r="K652" t="n">
        <v>0</v>
      </c>
      <c r="L652" t="n">
        <v>0</v>
      </c>
      <c r="M652" t="n">
        <v>0</v>
      </c>
      <c r="N652" t="n">
        <v>0</v>
      </c>
      <c r="O652" t="n">
        <v>0</v>
      </c>
      <c r="P652" t="n">
        <v>0</v>
      </c>
      <c r="Q652" t="n">
        <v>0</v>
      </c>
      <c r="R652" s="2" t="inlineStr"/>
    </row>
    <row r="653" ht="15" customHeight="1">
      <c r="A653" t="inlineStr">
        <is>
          <t>A 9927-2019</t>
        </is>
      </c>
      <c r="B653" s="1" t="n">
        <v>43509</v>
      </c>
      <c r="C653" s="1" t="n">
        <v>45186</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10049-2019</t>
        </is>
      </c>
      <c r="B654" s="1" t="n">
        <v>43510</v>
      </c>
      <c r="C654" s="1" t="n">
        <v>45186</v>
      </c>
      <c r="D654" t="inlineStr">
        <is>
          <t>STOCKHOLMS LÄN</t>
        </is>
      </c>
      <c r="E654" t="inlineStr">
        <is>
          <t>NORRTÄLJE</t>
        </is>
      </c>
      <c r="G654" t="n">
        <v>3.8</v>
      </c>
      <c r="H654" t="n">
        <v>0</v>
      </c>
      <c r="I654" t="n">
        <v>0</v>
      </c>
      <c r="J654" t="n">
        <v>0</v>
      </c>
      <c r="K654" t="n">
        <v>0</v>
      </c>
      <c r="L654" t="n">
        <v>0</v>
      </c>
      <c r="M654" t="n">
        <v>0</v>
      </c>
      <c r="N654" t="n">
        <v>0</v>
      </c>
      <c r="O654" t="n">
        <v>0</v>
      </c>
      <c r="P654" t="n">
        <v>0</v>
      </c>
      <c r="Q654" t="n">
        <v>0</v>
      </c>
      <c r="R654" s="2" t="inlineStr"/>
    </row>
    <row r="655" ht="15" customHeight="1">
      <c r="A655" t="inlineStr">
        <is>
          <t>A 10055-2019</t>
        </is>
      </c>
      <c r="B655" s="1" t="n">
        <v>43510</v>
      </c>
      <c r="C655" s="1" t="n">
        <v>45186</v>
      </c>
      <c r="D655" t="inlineStr">
        <is>
          <t>STOCKHOLMS LÄN</t>
        </is>
      </c>
      <c r="E655" t="inlineStr">
        <is>
          <t>NORRTÄLJE</t>
        </is>
      </c>
      <c r="G655" t="n">
        <v>3.2</v>
      </c>
      <c r="H655" t="n">
        <v>0</v>
      </c>
      <c r="I655" t="n">
        <v>0</v>
      </c>
      <c r="J655" t="n">
        <v>0</v>
      </c>
      <c r="K655" t="n">
        <v>0</v>
      </c>
      <c r="L655" t="n">
        <v>0</v>
      </c>
      <c r="M655" t="n">
        <v>0</v>
      </c>
      <c r="N655" t="n">
        <v>0</v>
      </c>
      <c r="O655" t="n">
        <v>0</v>
      </c>
      <c r="P655" t="n">
        <v>0</v>
      </c>
      <c r="Q655" t="n">
        <v>0</v>
      </c>
      <c r="R655" s="2" t="inlineStr"/>
    </row>
    <row r="656" ht="15" customHeight="1">
      <c r="A656" t="inlineStr">
        <is>
          <t>A 10062-2019</t>
        </is>
      </c>
      <c r="B656" s="1" t="n">
        <v>43510</v>
      </c>
      <c r="C656" s="1" t="n">
        <v>45186</v>
      </c>
      <c r="D656" t="inlineStr">
        <is>
          <t>STOCKHOLMS LÄN</t>
        </is>
      </c>
      <c r="E656" t="inlineStr">
        <is>
          <t>NORRTÄLJE</t>
        </is>
      </c>
      <c r="G656" t="n">
        <v>1.7</v>
      </c>
      <c r="H656" t="n">
        <v>0</v>
      </c>
      <c r="I656" t="n">
        <v>0</v>
      </c>
      <c r="J656" t="n">
        <v>0</v>
      </c>
      <c r="K656" t="n">
        <v>0</v>
      </c>
      <c r="L656" t="n">
        <v>0</v>
      </c>
      <c r="M656" t="n">
        <v>0</v>
      </c>
      <c r="N656" t="n">
        <v>0</v>
      </c>
      <c r="O656" t="n">
        <v>0</v>
      </c>
      <c r="P656" t="n">
        <v>0</v>
      </c>
      <c r="Q656" t="n">
        <v>0</v>
      </c>
      <c r="R656" s="2" t="inlineStr"/>
    </row>
    <row r="657" ht="15" customHeight="1">
      <c r="A657" t="inlineStr">
        <is>
          <t>A 10100-2019</t>
        </is>
      </c>
      <c r="B657" s="1" t="n">
        <v>43510</v>
      </c>
      <c r="C657" s="1" t="n">
        <v>45186</v>
      </c>
      <c r="D657" t="inlineStr">
        <is>
          <t>STOCKHOLMS LÄN</t>
        </is>
      </c>
      <c r="E657" t="inlineStr">
        <is>
          <t>NORRTÄLJE</t>
        </is>
      </c>
      <c r="G657" t="n">
        <v>2.5</v>
      </c>
      <c r="H657" t="n">
        <v>0</v>
      </c>
      <c r="I657" t="n">
        <v>0</v>
      </c>
      <c r="J657" t="n">
        <v>0</v>
      </c>
      <c r="K657" t="n">
        <v>0</v>
      </c>
      <c r="L657" t="n">
        <v>0</v>
      </c>
      <c r="M657" t="n">
        <v>0</v>
      </c>
      <c r="N657" t="n">
        <v>0</v>
      </c>
      <c r="O657" t="n">
        <v>0</v>
      </c>
      <c r="P657" t="n">
        <v>0</v>
      </c>
      <c r="Q657" t="n">
        <v>0</v>
      </c>
      <c r="R657" s="2" t="inlineStr"/>
    </row>
    <row r="658" ht="15" customHeight="1">
      <c r="A658" t="inlineStr">
        <is>
          <t>A 10207-2019</t>
        </is>
      </c>
      <c r="B658" s="1" t="n">
        <v>43510</v>
      </c>
      <c r="C658" s="1" t="n">
        <v>45186</v>
      </c>
      <c r="D658" t="inlineStr">
        <is>
          <t>STOCKHOLMS LÄN</t>
        </is>
      </c>
      <c r="E658" t="inlineStr">
        <is>
          <t>NORRTÄLJE</t>
        </is>
      </c>
      <c r="G658" t="n">
        <v>2.2</v>
      </c>
      <c r="H658" t="n">
        <v>0</v>
      </c>
      <c r="I658" t="n">
        <v>0</v>
      </c>
      <c r="J658" t="n">
        <v>0</v>
      </c>
      <c r="K658" t="n">
        <v>0</v>
      </c>
      <c r="L658" t="n">
        <v>0</v>
      </c>
      <c r="M658" t="n">
        <v>0</v>
      </c>
      <c r="N658" t="n">
        <v>0</v>
      </c>
      <c r="O658" t="n">
        <v>0</v>
      </c>
      <c r="P658" t="n">
        <v>0</v>
      </c>
      <c r="Q658" t="n">
        <v>0</v>
      </c>
      <c r="R658" s="2" t="inlineStr"/>
    </row>
    <row r="659" ht="15" customHeight="1">
      <c r="A659" t="inlineStr">
        <is>
          <t>A 10071-2019</t>
        </is>
      </c>
      <c r="B659" s="1" t="n">
        <v>43510</v>
      </c>
      <c r="C659" s="1" t="n">
        <v>45186</v>
      </c>
      <c r="D659" t="inlineStr">
        <is>
          <t>STOCKHOLMS LÄN</t>
        </is>
      </c>
      <c r="E659" t="inlineStr">
        <is>
          <t>NORRTÄLJE</t>
        </is>
      </c>
      <c r="G659" t="n">
        <v>11.8</v>
      </c>
      <c r="H659" t="n">
        <v>0</v>
      </c>
      <c r="I659" t="n">
        <v>0</v>
      </c>
      <c r="J659" t="n">
        <v>0</v>
      </c>
      <c r="K659" t="n">
        <v>0</v>
      </c>
      <c r="L659" t="n">
        <v>0</v>
      </c>
      <c r="M659" t="n">
        <v>0</v>
      </c>
      <c r="N659" t="n">
        <v>0</v>
      </c>
      <c r="O659" t="n">
        <v>0</v>
      </c>
      <c r="P659" t="n">
        <v>0</v>
      </c>
      <c r="Q659" t="n">
        <v>0</v>
      </c>
      <c r="R659" s="2" t="inlineStr"/>
    </row>
    <row r="660" ht="15" customHeight="1">
      <c r="A660" t="inlineStr">
        <is>
          <t>A 10168-2019</t>
        </is>
      </c>
      <c r="B660" s="1" t="n">
        <v>43510</v>
      </c>
      <c r="C660" s="1" t="n">
        <v>45186</v>
      </c>
      <c r="D660" t="inlineStr">
        <is>
          <t>STOCKHOLMS LÄN</t>
        </is>
      </c>
      <c r="E660" t="inlineStr">
        <is>
          <t>NORRTÄLJE</t>
        </is>
      </c>
      <c r="G660" t="n">
        <v>3.4</v>
      </c>
      <c r="H660" t="n">
        <v>0</v>
      </c>
      <c r="I660" t="n">
        <v>0</v>
      </c>
      <c r="J660" t="n">
        <v>0</v>
      </c>
      <c r="K660" t="n">
        <v>0</v>
      </c>
      <c r="L660" t="n">
        <v>0</v>
      </c>
      <c r="M660" t="n">
        <v>0</v>
      </c>
      <c r="N660" t="n">
        <v>0</v>
      </c>
      <c r="O660" t="n">
        <v>0</v>
      </c>
      <c r="P660" t="n">
        <v>0</v>
      </c>
      <c r="Q660" t="n">
        <v>0</v>
      </c>
      <c r="R660" s="2" t="inlineStr"/>
    </row>
    <row r="661" ht="15" customHeight="1">
      <c r="A661" t="inlineStr">
        <is>
          <t>A 10150-2019</t>
        </is>
      </c>
      <c r="B661" s="1" t="n">
        <v>43510</v>
      </c>
      <c r="C661" s="1" t="n">
        <v>45186</v>
      </c>
      <c r="D661" t="inlineStr">
        <is>
          <t>STOCKHOLMS LÄN</t>
        </is>
      </c>
      <c r="E661" t="inlineStr">
        <is>
          <t>NORRTÄLJE</t>
        </is>
      </c>
      <c r="G661" t="n">
        <v>1.1</v>
      </c>
      <c r="H661" t="n">
        <v>0</v>
      </c>
      <c r="I661" t="n">
        <v>0</v>
      </c>
      <c r="J661" t="n">
        <v>0</v>
      </c>
      <c r="K661" t="n">
        <v>0</v>
      </c>
      <c r="L661" t="n">
        <v>0</v>
      </c>
      <c r="M661" t="n">
        <v>0</v>
      </c>
      <c r="N661" t="n">
        <v>0</v>
      </c>
      <c r="O661" t="n">
        <v>0</v>
      </c>
      <c r="P661" t="n">
        <v>0</v>
      </c>
      <c r="Q661" t="n">
        <v>0</v>
      </c>
      <c r="R661" s="2" t="inlineStr"/>
    </row>
    <row r="662" ht="15" customHeight="1">
      <c r="A662" t="inlineStr">
        <is>
          <t>A 10225-2019</t>
        </is>
      </c>
      <c r="B662" s="1" t="n">
        <v>43510</v>
      </c>
      <c r="C662" s="1" t="n">
        <v>45186</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10277-2019</t>
        </is>
      </c>
      <c r="B663" s="1" t="n">
        <v>43511</v>
      </c>
      <c r="C663" s="1" t="n">
        <v>45186</v>
      </c>
      <c r="D663" t="inlineStr">
        <is>
          <t>STOCKHOLMS LÄN</t>
        </is>
      </c>
      <c r="E663" t="inlineStr">
        <is>
          <t>NORRTÄLJE</t>
        </is>
      </c>
      <c r="G663" t="n">
        <v>2.7</v>
      </c>
      <c r="H663" t="n">
        <v>0</v>
      </c>
      <c r="I663" t="n">
        <v>0</v>
      </c>
      <c r="J663" t="n">
        <v>0</v>
      </c>
      <c r="K663" t="n">
        <v>0</v>
      </c>
      <c r="L663" t="n">
        <v>0</v>
      </c>
      <c r="M663" t="n">
        <v>0</v>
      </c>
      <c r="N663" t="n">
        <v>0</v>
      </c>
      <c r="O663" t="n">
        <v>0</v>
      </c>
      <c r="P663" t="n">
        <v>0</v>
      </c>
      <c r="Q663" t="n">
        <v>0</v>
      </c>
      <c r="R663" s="2" t="inlineStr"/>
    </row>
    <row r="664" ht="15" customHeight="1">
      <c r="A664" t="inlineStr">
        <is>
          <t>A 10314-2019</t>
        </is>
      </c>
      <c r="B664" s="1" t="n">
        <v>43511</v>
      </c>
      <c r="C664" s="1" t="n">
        <v>45186</v>
      </c>
      <c r="D664" t="inlineStr">
        <is>
          <t>STOCKHOLMS LÄN</t>
        </is>
      </c>
      <c r="E664" t="inlineStr">
        <is>
          <t>NORRTÄLJE</t>
        </is>
      </c>
      <c r="G664" t="n">
        <v>6.2</v>
      </c>
      <c r="H664" t="n">
        <v>0</v>
      </c>
      <c r="I664" t="n">
        <v>0</v>
      </c>
      <c r="J664" t="n">
        <v>0</v>
      </c>
      <c r="K664" t="n">
        <v>0</v>
      </c>
      <c r="L664" t="n">
        <v>0</v>
      </c>
      <c r="M664" t="n">
        <v>0</v>
      </c>
      <c r="N664" t="n">
        <v>0</v>
      </c>
      <c r="O664" t="n">
        <v>0</v>
      </c>
      <c r="P664" t="n">
        <v>0</v>
      </c>
      <c r="Q664" t="n">
        <v>0</v>
      </c>
      <c r="R664" s="2" t="inlineStr"/>
    </row>
    <row r="665" ht="15" customHeight="1">
      <c r="A665" t="inlineStr">
        <is>
          <t>A 10540-2019</t>
        </is>
      </c>
      <c r="B665" s="1" t="n">
        <v>43511</v>
      </c>
      <c r="C665" s="1" t="n">
        <v>45186</v>
      </c>
      <c r="D665" t="inlineStr">
        <is>
          <t>STOCKHOLMS LÄN</t>
        </is>
      </c>
      <c r="E665" t="inlineStr">
        <is>
          <t>NORRTÄLJE</t>
        </is>
      </c>
      <c r="G665" t="n">
        <v>0.7</v>
      </c>
      <c r="H665" t="n">
        <v>0</v>
      </c>
      <c r="I665" t="n">
        <v>0</v>
      </c>
      <c r="J665" t="n">
        <v>0</v>
      </c>
      <c r="K665" t="n">
        <v>0</v>
      </c>
      <c r="L665" t="n">
        <v>0</v>
      </c>
      <c r="M665" t="n">
        <v>0</v>
      </c>
      <c r="N665" t="n">
        <v>0</v>
      </c>
      <c r="O665" t="n">
        <v>0</v>
      </c>
      <c r="P665" t="n">
        <v>0</v>
      </c>
      <c r="Q665" t="n">
        <v>0</v>
      </c>
      <c r="R665" s="2" t="inlineStr"/>
    </row>
    <row r="666" ht="15" customHeight="1">
      <c r="A666" t="inlineStr">
        <is>
          <t>A 10458-2019</t>
        </is>
      </c>
      <c r="B666" s="1" t="n">
        <v>43511</v>
      </c>
      <c r="C666" s="1" t="n">
        <v>45186</v>
      </c>
      <c r="D666" t="inlineStr">
        <is>
          <t>STOCKHOLMS LÄN</t>
        </is>
      </c>
      <c r="E666" t="inlineStr">
        <is>
          <t>NORRTÄLJE</t>
        </is>
      </c>
      <c r="G666" t="n">
        <v>1.1</v>
      </c>
      <c r="H666" t="n">
        <v>0</v>
      </c>
      <c r="I666" t="n">
        <v>0</v>
      </c>
      <c r="J666" t="n">
        <v>0</v>
      </c>
      <c r="K666" t="n">
        <v>0</v>
      </c>
      <c r="L666" t="n">
        <v>0</v>
      </c>
      <c r="M666" t="n">
        <v>0</v>
      </c>
      <c r="N666" t="n">
        <v>0</v>
      </c>
      <c r="O666" t="n">
        <v>0</v>
      </c>
      <c r="P666" t="n">
        <v>0</v>
      </c>
      <c r="Q666" t="n">
        <v>0</v>
      </c>
      <c r="R666" s="2" t="inlineStr"/>
    </row>
    <row r="667" ht="15" customHeight="1">
      <c r="A667" t="inlineStr">
        <is>
          <t>A 10504-2019</t>
        </is>
      </c>
      <c r="B667" s="1" t="n">
        <v>43512</v>
      </c>
      <c r="C667" s="1" t="n">
        <v>45186</v>
      </c>
      <c r="D667" t="inlineStr">
        <is>
          <t>STOCKHOLMS LÄN</t>
        </is>
      </c>
      <c r="E667" t="inlineStr">
        <is>
          <t>NORRTÄLJE</t>
        </is>
      </c>
      <c r="G667" t="n">
        <v>2.8</v>
      </c>
      <c r="H667" t="n">
        <v>0</v>
      </c>
      <c r="I667" t="n">
        <v>0</v>
      </c>
      <c r="J667" t="n">
        <v>0</v>
      </c>
      <c r="K667" t="n">
        <v>0</v>
      </c>
      <c r="L667" t="n">
        <v>0</v>
      </c>
      <c r="M667" t="n">
        <v>0</v>
      </c>
      <c r="N667" t="n">
        <v>0</v>
      </c>
      <c r="O667" t="n">
        <v>0</v>
      </c>
      <c r="P667" t="n">
        <v>0</v>
      </c>
      <c r="Q667" t="n">
        <v>0</v>
      </c>
      <c r="R667" s="2" t="inlineStr"/>
    </row>
    <row r="668" ht="15" customHeight="1">
      <c r="A668" t="inlineStr">
        <is>
          <t>A 10542-2019</t>
        </is>
      </c>
      <c r="B668" s="1" t="n">
        <v>43514</v>
      </c>
      <c r="C668" s="1" t="n">
        <v>45186</v>
      </c>
      <c r="D668" t="inlineStr">
        <is>
          <t>STOCKHOLMS LÄN</t>
        </is>
      </c>
      <c r="E668" t="inlineStr">
        <is>
          <t>NORRTÄLJE</t>
        </is>
      </c>
      <c r="G668" t="n">
        <v>4.3</v>
      </c>
      <c r="H668" t="n">
        <v>0</v>
      </c>
      <c r="I668" t="n">
        <v>0</v>
      </c>
      <c r="J668" t="n">
        <v>0</v>
      </c>
      <c r="K668" t="n">
        <v>0</v>
      </c>
      <c r="L668" t="n">
        <v>0</v>
      </c>
      <c r="M668" t="n">
        <v>0</v>
      </c>
      <c r="N668" t="n">
        <v>0</v>
      </c>
      <c r="O668" t="n">
        <v>0</v>
      </c>
      <c r="P668" t="n">
        <v>0</v>
      </c>
      <c r="Q668" t="n">
        <v>0</v>
      </c>
      <c r="R668" s="2" t="inlineStr"/>
    </row>
    <row r="669" ht="15" customHeight="1">
      <c r="A669" t="inlineStr">
        <is>
          <t>A 10790-2019</t>
        </is>
      </c>
      <c r="B669" s="1" t="n">
        <v>43514</v>
      </c>
      <c r="C669" s="1" t="n">
        <v>45186</v>
      </c>
      <c r="D669" t="inlineStr">
        <is>
          <t>STOCKHOLMS LÄN</t>
        </is>
      </c>
      <c r="E669" t="inlineStr">
        <is>
          <t>NORRTÄLJE</t>
        </is>
      </c>
      <c r="G669" t="n">
        <v>1.3</v>
      </c>
      <c r="H669" t="n">
        <v>0</v>
      </c>
      <c r="I669" t="n">
        <v>0</v>
      </c>
      <c r="J669" t="n">
        <v>0</v>
      </c>
      <c r="K669" t="n">
        <v>0</v>
      </c>
      <c r="L669" t="n">
        <v>0</v>
      </c>
      <c r="M669" t="n">
        <v>0</v>
      </c>
      <c r="N669" t="n">
        <v>0</v>
      </c>
      <c r="O669" t="n">
        <v>0</v>
      </c>
      <c r="P669" t="n">
        <v>0</v>
      </c>
      <c r="Q669" t="n">
        <v>0</v>
      </c>
      <c r="R669" s="2" t="inlineStr"/>
    </row>
    <row r="670" ht="15" customHeight="1">
      <c r="A670" t="inlineStr">
        <is>
          <t>A 10616-2019</t>
        </is>
      </c>
      <c r="B670" s="1" t="n">
        <v>43514</v>
      </c>
      <c r="C670" s="1" t="n">
        <v>45186</v>
      </c>
      <c r="D670" t="inlineStr">
        <is>
          <t>STOCKHOLMS LÄN</t>
        </is>
      </c>
      <c r="E670" t="inlineStr">
        <is>
          <t>NORRTÄLJE</t>
        </is>
      </c>
      <c r="F670" t="inlineStr">
        <is>
          <t>Kommuner</t>
        </is>
      </c>
      <c r="G670" t="n">
        <v>6.2</v>
      </c>
      <c r="H670" t="n">
        <v>0</v>
      </c>
      <c r="I670" t="n">
        <v>0</v>
      </c>
      <c r="J670" t="n">
        <v>0</v>
      </c>
      <c r="K670" t="n">
        <v>0</v>
      </c>
      <c r="L670" t="n">
        <v>0</v>
      </c>
      <c r="M670" t="n">
        <v>0</v>
      </c>
      <c r="N670" t="n">
        <v>0</v>
      </c>
      <c r="O670" t="n">
        <v>0</v>
      </c>
      <c r="P670" t="n">
        <v>0</v>
      </c>
      <c r="Q670" t="n">
        <v>0</v>
      </c>
      <c r="R670" s="2" t="inlineStr"/>
    </row>
    <row r="671" ht="15" customHeight="1">
      <c r="A671" t="inlineStr">
        <is>
          <t>A 10794-2019</t>
        </is>
      </c>
      <c r="B671" s="1" t="n">
        <v>43514</v>
      </c>
      <c r="C671" s="1" t="n">
        <v>45186</v>
      </c>
      <c r="D671" t="inlineStr">
        <is>
          <t>STOCKHOLMS LÄN</t>
        </is>
      </c>
      <c r="E671" t="inlineStr">
        <is>
          <t>NORRTÄLJE</t>
        </is>
      </c>
      <c r="G671" t="n">
        <v>11.3</v>
      </c>
      <c r="H671" t="n">
        <v>0</v>
      </c>
      <c r="I671" t="n">
        <v>0</v>
      </c>
      <c r="J671" t="n">
        <v>0</v>
      </c>
      <c r="K671" t="n">
        <v>0</v>
      </c>
      <c r="L671" t="n">
        <v>0</v>
      </c>
      <c r="M671" t="n">
        <v>0</v>
      </c>
      <c r="N671" t="n">
        <v>0</v>
      </c>
      <c r="O671" t="n">
        <v>0</v>
      </c>
      <c r="P671" t="n">
        <v>0</v>
      </c>
      <c r="Q671" t="n">
        <v>0</v>
      </c>
      <c r="R671" s="2" t="inlineStr"/>
    </row>
    <row r="672" ht="15" customHeight="1">
      <c r="A672" t="inlineStr">
        <is>
          <t>A 10597-2019</t>
        </is>
      </c>
      <c r="B672" s="1" t="n">
        <v>43514</v>
      </c>
      <c r="C672" s="1" t="n">
        <v>45186</v>
      </c>
      <c r="D672" t="inlineStr">
        <is>
          <t>STOCKHOLMS LÄN</t>
        </is>
      </c>
      <c r="E672" t="inlineStr">
        <is>
          <t>NORRTÄLJE</t>
        </is>
      </c>
      <c r="G672" t="n">
        <v>1.7</v>
      </c>
      <c r="H672" t="n">
        <v>0</v>
      </c>
      <c r="I672" t="n">
        <v>0</v>
      </c>
      <c r="J672" t="n">
        <v>0</v>
      </c>
      <c r="K672" t="n">
        <v>0</v>
      </c>
      <c r="L672" t="n">
        <v>0</v>
      </c>
      <c r="M672" t="n">
        <v>0</v>
      </c>
      <c r="N672" t="n">
        <v>0</v>
      </c>
      <c r="O672" t="n">
        <v>0</v>
      </c>
      <c r="P672" t="n">
        <v>0</v>
      </c>
      <c r="Q672" t="n">
        <v>0</v>
      </c>
      <c r="R672" s="2" t="inlineStr"/>
    </row>
    <row r="673" ht="15" customHeight="1">
      <c r="A673" t="inlineStr">
        <is>
          <t>A 10904-2019</t>
        </is>
      </c>
      <c r="B673" s="1" t="n">
        <v>43515</v>
      </c>
      <c r="C673" s="1" t="n">
        <v>45186</v>
      </c>
      <c r="D673" t="inlineStr">
        <is>
          <t>STOCKHOLMS LÄN</t>
        </is>
      </c>
      <c r="E673" t="inlineStr">
        <is>
          <t>NORRTÄLJE</t>
        </is>
      </c>
      <c r="G673" t="n">
        <v>5.3</v>
      </c>
      <c r="H673" t="n">
        <v>0</v>
      </c>
      <c r="I673" t="n">
        <v>0</v>
      </c>
      <c r="J673" t="n">
        <v>0</v>
      </c>
      <c r="K673" t="n">
        <v>0</v>
      </c>
      <c r="L673" t="n">
        <v>0</v>
      </c>
      <c r="M673" t="n">
        <v>0</v>
      </c>
      <c r="N673" t="n">
        <v>0</v>
      </c>
      <c r="O673" t="n">
        <v>0</v>
      </c>
      <c r="P673" t="n">
        <v>0</v>
      </c>
      <c r="Q673" t="n">
        <v>0</v>
      </c>
      <c r="R673" s="2" t="inlineStr"/>
    </row>
    <row r="674" ht="15" customHeight="1">
      <c r="A674" t="inlineStr">
        <is>
          <t>A 10934-2019</t>
        </is>
      </c>
      <c r="B674" s="1" t="n">
        <v>43515</v>
      </c>
      <c r="C674" s="1" t="n">
        <v>45186</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10960-2019</t>
        </is>
      </c>
      <c r="B675" s="1" t="n">
        <v>43515</v>
      </c>
      <c r="C675" s="1" t="n">
        <v>45186</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11010-2019</t>
        </is>
      </c>
      <c r="B676" s="1" t="n">
        <v>43515</v>
      </c>
      <c r="C676" s="1" t="n">
        <v>45186</v>
      </c>
      <c r="D676" t="inlineStr">
        <is>
          <t>STOCKHOLMS LÄN</t>
        </is>
      </c>
      <c r="E676" t="inlineStr">
        <is>
          <t>NORRTÄLJE</t>
        </is>
      </c>
      <c r="G676" t="n">
        <v>0.5</v>
      </c>
      <c r="H676" t="n">
        <v>0</v>
      </c>
      <c r="I676" t="n">
        <v>0</v>
      </c>
      <c r="J676" t="n">
        <v>0</v>
      </c>
      <c r="K676" t="n">
        <v>0</v>
      </c>
      <c r="L676" t="n">
        <v>0</v>
      </c>
      <c r="M676" t="n">
        <v>0</v>
      </c>
      <c r="N676" t="n">
        <v>0</v>
      </c>
      <c r="O676" t="n">
        <v>0</v>
      </c>
      <c r="P676" t="n">
        <v>0</v>
      </c>
      <c r="Q676" t="n">
        <v>0</v>
      </c>
      <c r="R676" s="2" t="inlineStr"/>
    </row>
    <row r="677" ht="15" customHeight="1">
      <c r="A677" t="inlineStr">
        <is>
          <t>A 11076-2019</t>
        </is>
      </c>
      <c r="B677" s="1" t="n">
        <v>43515</v>
      </c>
      <c r="C677" s="1" t="n">
        <v>45186</v>
      </c>
      <c r="D677" t="inlineStr">
        <is>
          <t>STOCKHOLMS LÄN</t>
        </is>
      </c>
      <c r="E677" t="inlineStr">
        <is>
          <t>NORRTÄLJE</t>
        </is>
      </c>
      <c r="G677" t="n">
        <v>1.9</v>
      </c>
      <c r="H677" t="n">
        <v>0</v>
      </c>
      <c r="I677" t="n">
        <v>0</v>
      </c>
      <c r="J677" t="n">
        <v>0</v>
      </c>
      <c r="K677" t="n">
        <v>0</v>
      </c>
      <c r="L677" t="n">
        <v>0</v>
      </c>
      <c r="M677" t="n">
        <v>0</v>
      </c>
      <c r="N677" t="n">
        <v>0</v>
      </c>
      <c r="O677" t="n">
        <v>0</v>
      </c>
      <c r="P677" t="n">
        <v>0</v>
      </c>
      <c r="Q677" t="n">
        <v>0</v>
      </c>
      <c r="R677" s="2" t="inlineStr"/>
    </row>
    <row r="678" ht="15" customHeight="1">
      <c r="A678" t="inlineStr">
        <is>
          <t>A 10987-2019</t>
        </is>
      </c>
      <c r="B678" s="1" t="n">
        <v>43515</v>
      </c>
      <c r="C678" s="1" t="n">
        <v>45186</v>
      </c>
      <c r="D678" t="inlineStr">
        <is>
          <t>STOCKHOLMS LÄN</t>
        </is>
      </c>
      <c r="E678" t="inlineStr">
        <is>
          <t>NORRTÄLJE</t>
        </is>
      </c>
      <c r="G678" t="n">
        <v>33.9</v>
      </c>
      <c r="H678" t="n">
        <v>0</v>
      </c>
      <c r="I678" t="n">
        <v>0</v>
      </c>
      <c r="J678" t="n">
        <v>0</v>
      </c>
      <c r="K678" t="n">
        <v>0</v>
      </c>
      <c r="L678" t="n">
        <v>0</v>
      </c>
      <c r="M678" t="n">
        <v>0</v>
      </c>
      <c r="N678" t="n">
        <v>0</v>
      </c>
      <c r="O678" t="n">
        <v>0</v>
      </c>
      <c r="P678" t="n">
        <v>0</v>
      </c>
      <c r="Q678" t="n">
        <v>0</v>
      </c>
      <c r="R678" s="2" t="inlineStr"/>
    </row>
    <row r="679" ht="15" customHeight="1">
      <c r="A679" t="inlineStr">
        <is>
          <t>A 11031-2019</t>
        </is>
      </c>
      <c r="B679" s="1" t="n">
        <v>43515</v>
      </c>
      <c r="C679" s="1" t="n">
        <v>45186</v>
      </c>
      <c r="D679" t="inlineStr">
        <is>
          <t>STOCKHOLMS LÄN</t>
        </is>
      </c>
      <c r="E679" t="inlineStr">
        <is>
          <t>NORRTÄLJE</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11286-2019</t>
        </is>
      </c>
      <c r="B680" s="1" t="n">
        <v>43516</v>
      </c>
      <c r="C680" s="1" t="n">
        <v>45186</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11243-2019</t>
        </is>
      </c>
      <c r="B681" s="1" t="n">
        <v>43516</v>
      </c>
      <c r="C681" s="1" t="n">
        <v>45186</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11260-2019</t>
        </is>
      </c>
      <c r="B682" s="1" t="n">
        <v>43516</v>
      </c>
      <c r="C682" s="1" t="n">
        <v>45186</v>
      </c>
      <c r="D682" t="inlineStr">
        <is>
          <t>STOCKHOLMS LÄN</t>
        </is>
      </c>
      <c r="E682" t="inlineStr">
        <is>
          <t>NORRTÄLJE</t>
        </is>
      </c>
      <c r="F682" t="inlineStr">
        <is>
          <t>Kommuner</t>
        </is>
      </c>
      <c r="G682" t="n">
        <v>3.1</v>
      </c>
      <c r="H682" t="n">
        <v>0</v>
      </c>
      <c r="I682" t="n">
        <v>0</v>
      </c>
      <c r="J682" t="n">
        <v>0</v>
      </c>
      <c r="K682" t="n">
        <v>0</v>
      </c>
      <c r="L682" t="n">
        <v>0</v>
      </c>
      <c r="M682" t="n">
        <v>0</v>
      </c>
      <c r="N682" t="n">
        <v>0</v>
      </c>
      <c r="O682" t="n">
        <v>0</v>
      </c>
      <c r="P682" t="n">
        <v>0</v>
      </c>
      <c r="Q682" t="n">
        <v>0</v>
      </c>
      <c r="R682" s="2" t="inlineStr"/>
    </row>
    <row r="683" ht="15" customHeight="1">
      <c r="A683" t="inlineStr">
        <is>
          <t>A 11242-2019</t>
        </is>
      </c>
      <c r="B683" s="1" t="n">
        <v>43516</v>
      </c>
      <c r="C683" s="1" t="n">
        <v>45186</v>
      </c>
      <c r="D683" t="inlineStr">
        <is>
          <t>STOCKHOLMS LÄN</t>
        </is>
      </c>
      <c r="E683" t="inlineStr">
        <is>
          <t>NORRTÄLJE</t>
        </is>
      </c>
      <c r="G683" t="n">
        <v>3.1</v>
      </c>
      <c r="H683" t="n">
        <v>0</v>
      </c>
      <c r="I683" t="n">
        <v>0</v>
      </c>
      <c r="J683" t="n">
        <v>0</v>
      </c>
      <c r="K683" t="n">
        <v>0</v>
      </c>
      <c r="L683" t="n">
        <v>0</v>
      </c>
      <c r="M683" t="n">
        <v>0</v>
      </c>
      <c r="N683" t="n">
        <v>0</v>
      </c>
      <c r="O683" t="n">
        <v>0</v>
      </c>
      <c r="P683" t="n">
        <v>0</v>
      </c>
      <c r="Q683" t="n">
        <v>0</v>
      </c>
      <c r="R683" s="2" t="inlineStr"/>
    </row>
    <row r="684" ht="15" customHeight="1">
      <c r="A684" t="inlineStr">
        <is>
          <t>A 11321-2019</t>
        </is>
      </c>
      <c r="B684" s="1" t="n">
        <v>43517</v>
      </c>
      <c r="C684" s="1" t="n">
        <v>45186</v>
      </c>
      <c r="D684" t="inlineStr">
        <is>
          <t>STOCKHOLMS LÄN</t>
        </is>
      </c>
      <c r="E684" t="inlineStr">
        <is>
          <t>NORRTÄLJE</t>
        </is>
      </c>
      <c r="G684" t="n">
        <v>8.6</v>
      </c>
      <c r="H684" t="n">
        <v>0</v>
      </c>
      <c r="I684" t="n">
        <v>0</v>
      </c>
      <c r="J684" t="n">
        <v>0</v>
      </c>
      <c r="K684" t="n">
        <v>0</v>
      </c>
      <c r="L684" t="n">
        <v>0</v>
      </c>
      <c r="M684" t="n">
        <v>0</v>
      </c>
      <c r="N684" t="n">
        <v>0</v>
      </c>
      <c r="O684" t="n">
        <v>0</v>
      </c>
      <c r="P684" t="n">
        <v>0</v>
      </c>
      <c r="Q684" t="n">
        <v>0</v>
      </c>
      <c r="R684" s="2" t="inlineStr"/>
    </row>
    <row r="685" ht="15" customHeight="1">
      <c r="A685" t="inlineStr">
        <is>
          <t>A 11452-2019</t>
        </is>
      </c>
      <c r="B685" s="1" t="n">
        <v>43517</v>
      </c>
      <c r="C685" s="1" t="n">
        <v>45186</v>
      </c>
      <c r="D685" t="inlineStr">
        <is>
          <t>STOCKHOLMS LÄN</t>
        </is>
      </c>
      <c r="E685" t="inlineStr">
        <is>
          <t>NORRTÄLJE</t>
        </is>
      </c>
      <c r="G685" t="n">
        <v>2.2</v>
      </c>
      <c r="H685" t="n">
        <v>0</v>
      </c>
      <c r="I685" t="n">
        <v>0</v>
      </c>
      <c r="J685" t="n">
        <v>0</v>
      </c>
      <c r="K685" t="n">
        <v>0</v>
      </c>
      <c r="L685" t="n">
        <v>0</v>
      </c>
      <c r="M685" t="n">
        <v>0</v>
      </c>
      <c r="N685" t="n">
        <v>0</v>
      </c>
      <c r="O685" t="n">
        <v>0</v>
      </c>
      <c r="P685" t="n">
        <v>0</v>
      </c>
      <c r="Q685" t="n">
        <v>0</v>
      </c>
      <c r="R685" s="2" t="inlineStr"/>
    </row>
    <row r="686" ht="15" customHeight="1">
      <c r="A686" t="inlineStr">
        <is>
          <t>A 11400-2019</t>
        </is>
      </c>
      <c r="B686" s="1" t="n">
        <v>43517</v>
      </c>
      <c r="C686" s="1" t="n">
        <v>45186</v>
      </c>
      <c r="D686" t="inlineStr">
        <is>
          <t>STOCKHOLMS LÄN</t>
        </is>
      </c>
      <c r="E686" t="inlineStr">
        <is>
          <t>SÖDERTÄLJE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11465-2019</t>
        </is>
      </c>
      <c r="B687" s="1" t="n">
        <v>43517</v>
      </c>
      <c r="C687" s="1" t="n">
        <v>45186</v>
      </c>
      <c r="D687" t="inlineStr">
        <is>
          <t>STOCKHOLMS LÄN</t>
        </is>
      </c>
      <c r="E687" t="inlineStr">
        <is>
          <t>NORRTÄLJE</t>
        </is>
      </c>
      <c r="G687" t="n">
        <v>1.5</v>
      </c>
      <c r="H687" t="n">
        <v>0</v>
      </c>
      <c r="I687" t="n">
        <v>0</v>
      </c>
      <c r="J687" t="n">
        <v>0</v>
      </c>
      <c r="K687" t="n">
        <v>0</v>
      </c>
      <c r="L687" t="n">
        <v>0</v>
      </c>
      <c r="M687" t="n">
        <v>0</v>
      </c>
      <c r="N687" t="n">
        <v>0</v>
      </c>
      <c r="O687" t="n">
        <v>0</v>
      </c>
      <c r="P687" t="n">
        <v>0</v>
      </c>
      <c r="Q687" t="n">
        <v>0</v>
      </c>
      <c r="R687" s="2" t="inlineStr"/>
    </row>
    <row r="688" ht="15" customHeight="1">
      <c r="A688" t="inlineStr">
        <is>
          <t>A 11328-2019</t>
        </is>
      </c>
      <c r="B688" s="1" t="n">
        <v>43517</v>
      </c>
      <c r="C688" s="1" t="n">
        <v>45186</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11388-2019</t>
        </is>
      </c>
      <c r="B689" s="1" t="n">
        <v>43517</v>
      </c>
      <c r="C689" s="1" t="n">
        <v>45186</v>
      </c>
      <c r="D689" t="inlineStr">
        <is>
          <t>STOCKHOLMS LÄN</t>
        </is>
      </c>
      <c r="E689" t="inlineStr">
        <is>
          <t>SÖDERTÄLJE</t>
        </is>
      </c>
      <c r="G689" t="n">
        <v>1.1</v>
      </c>
      <c r="H689" t="n">
        <v>0</v>
      </c>
      <c r="I689" t="n">
        <v>0</v>
      </c>
      <c r="J689" t="n">
        <v>0</v>
      </c>
      <c r="K689" t="n">
        <v>0</v>
      </c>
      <c r="L689" t="n">
        <v>0</v>
      </c>
      <c r="M689" t="n">
        <v>0</v>
      </c>
      <c r="N689" t="n">
        <v>0</v>
      </c>
      <c r="O689" t="n">
        <v>0</v>
      </c>
      <c r="P689" t="n">
        <v>0</v>
      </c>
      <c r="Q689" t="n">
        <v>0</v>
      </c>
      <c r="R689" s="2" t="inlineStr"/>
    </row>
    <row r="690" ht="15" customHeight="1">
      <c r="A690" t="inlineStr">
        <is>
          <t>A 11487-2019</t>
        </is>
      </c>
      <c r="B690" s="1" t="n">
        <v>43517</v>
      </c>
      <c r="C690" s="1" t="n">
        <v>45186</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11320-2019</t>
        </is>
      </c>
      <c r="B691" s="1" t="n">
        <v>43517</v>
      </c>
      <c r="C691" s="1" t="n">
        <v>45186</v>
      </c>
      <c r="D691" t="inlineStr">
        <is>
          <t>STOCKHOLMS LÄN</t>
        </is>
      </c>
      <c r="E691" t="inlineStr">
        <is>
          <t>NORRTÄLJE</t>
        </is>
      </c>
      <c r="G691" t="n">
        <v>6.7</v>
      </c>
      <c r="H691" t="n">
        <v>0</v>
      </c>
      <c r="I691" t="n">
        <v>0</v>
      </c>
      <c r="J691" t="n">
        <v>0</v>
      </c>
      <c r="K691" t="n">
        <v>0</v>
      </c>
      <c r="L691" t="n">
        <v>0</v>
      </c>
      <c r="M691" t="n">
        <v>0</v>
      </c>
      <c r="N691" t="n">
        <v>0</v>
      </c>
      <c r="O691" t="n">
        <v>0</v>
      </c>
      <c r="P691" t="n">
        <v>0</v>
      </c>
      <c r="Q691" t="n">
        <v>0</v>
      </c>
      <c r="R691" s="2" t="inlineStr"/>
    </row>
    <row r="692" ht="15" customHeight="1">
      <c r="A692" t="inlineStr">
        <is>
          <t>A 11356-2019</t>
        </is>
      </c>
      <c r="B692" s="1" t="n">
        <v>43517</v>
      </c>
      <c r="C692" s="1" t="n">
        <v>45186</v>
      </c>
      <c r="D692" t="inlineStr">
        <is>
          <t>STOCKHOLMS LÄN</t>
        </is>
      </c>
      <c r="E692" t="inlineStr">
        <is>
          <t>NORRTÄLJE</t>
        </is>
      </c>
      <c r="G692" t="n">
        <v>1.8</v>
      </c>
      <c r="H692" t="n">
        <v>0</v>
      </c>
      <c r="I692" t="n">
        <v>0</v>
      </c>
      <c r="J692" t="n">
        <v>0</v>
      </c>
      <c r="K692" t="n">
        <v>0</v>
      </c>
      <c r="L692" t="n">
        <v>0</v>
      </c>
      <c r="M692" t="n">
        <v>0</v>
      </c>
      <c r="N692" t="n">
        <v>0</v>
      </c>
      <c r="O692" t="n">
        <v>0</v>
      </c>
      <c r="P692" t="n">
        <v>0</v>
      </c>
      <c r="Q692" t="n">
        <v>0</v>
      </c>
      <c r="R692" s="2" t="inlineStr"/>
    </row>
    <row r="693" ht="15" customHeight="1">
      <c r="A693" t="inlineStr">
        <is>
          <t>A 11361-2019</t>
        </is>
      </c>
      <c r="B693" s="1" t="n">
        <v>43517</v>
      </c>
      <c r="C693" s="1" t="n">
        <v>45186</v>
      </c>
      <c r="D693" t="inlineStr">
        <is>
          <t>STOCKHOLMS LÄN</t>
        </is>
      </c>
      <c r="E693" t="inlineStr">
        <is>
          <t>NORRTÄLJE</t>
        </is>
      </c>
      <c r="G693" t="n">
        <v>1.4</v>
      </c>
      <c r="H693" t="n">
        <v>0</v>
      </c>
      <c r="I693" t="n">
        <v>0</v>
      </c>
      <c r="J693" t="n">
        <v>0</v>
      </c>
      <c r="K693" t="n">
        <v>0</v>
      </c>
      <c r="L693" t="n">
        <v>0</v>
      </c>
      <c r="M693" t="n">
        <v>0</v>
      </c>
      <c r="N693" t="n">
        <v>0</v>
      </c>
      <c r="O693" t="n">
        <v>0</v>
      </c>
      <c r="P693" t="n">
        <v>0</v>
      </c>
      <c r="Q693" t="n">
        <v>0</v>
      </c>
      <c r="R693" s="2" t="inlineStr"/>
    </row>
    <row r="694" ht="15" customHeight="1">
      <c r="A694" t="inlineStr">
        <is>
          <t>A 11430-2019</t>
        </is>
      </c>
      <c r="B694" s="1" t="n">
        <v>43517</v>
      </c>
      <c r="C694" s="1" t="n">
        <v>45186</v>
      </c>
      <c r="D694" t="inlineStr">
        <is>
          <t>STOCKHOLMS LÄN</t>
        </is>
      </c>
      <c r="E694" t="inlineStr">
        <is>
          <t>NORRTÄLJE</t>
        </is>
      </c>
      <c r="G694" t="n">
        <v>4.5</v>
      </c>
      <c r="H694" t="n">
        <v>0</v>
      </c>
      <c r="I694" t="n">
        <v>0</v>
      </c>
      <c r="J694" t="n">
        <v>0</v>
      </c>
      <c r="K694" t="n">
        <v>0</v>
      </c>
      <c r="L694" t="n">
        <v>0</v>
      </c>
      <c r="M694" t="n">
        <v>0</v>
      </c>
      <c r="N694" t="n">
        <v>0</v>
      </c>
      <c r="O694" t="n">
        <v>0</v>
      </c>
      <c r="P694" t="n">
        <v>0</v>
      </c>
      <c r="Q694" t="n">
        <v>0</v>
      </c>
      <c r="R694" s="2" t="inlineStr"/>
    </row>
    <row r="695" ht="15" customHeight="1">
      <c r="A695" t="inlineStr">
        <is>
          <t>A 11797-2019</t>
        </is>
      </c>
      <c r="B695" s="1" t="n">
        <v>43521</v>
      </c>
      <c r="C695" s="1" t="n">
        <v>45186</v>
      </c>
      <c r="D695" t="inlineStr">
        <is>
          <t>STOCKHOLMS LÄN</t>
        </is>
      </c>
      <c r="E695" t="inlineStr">
        <is>
          <t>NORRTÄLJE</t>
        </is>
      </c>
      <c r="G695" t="n">
        <v>2</v>
      </c>
      <c r="H695" t="n">
        <v>0</v>
      </c>
      <c r="I695" t="n">
        <v>0</v>
      </c>
      <c r="J695" t="n">
        <v>0</v>
      </c>
      <c r="K695" t="n">
        <v>0</v>
      </c>
      <c r="L695" t="n">
        <v>0</v>
      </c>
      <c r="M695" t="n">
        <v>0</v>
      </c>
      <c r="N695" t="n">
        <v>0</v>
      </c>
      <c r="O695" t="n">
        <v>0</v>
      </c>
      <c r="P695" t="n">
        <v>0</v>
      </c>
      <c r="Q695" t="n">
        <v>0</v>
      </c>
      <c r="R695" s="2" t="inlineStr"/>
    </row>
    <row r="696" ht="15" customHeight="1">
      <c r="A696" t="inlineStr">
        <is>
          <t>A 11987-2019</t>
        </is>
      </c>
      <c r="B696" s="1" t="n">
        <v>43521</v>
      </c>
      <c r="C696" s="1" t="n">
        <v>45186</v>
      </c>
      <c r="D696" t="inlineStr">
        <is>
          <t>STOCKHOLMS LÄN</t>
        </is>
      </c>
      <c r="E696" t="inlineStr">
        <is>
          <t>NORRTÄLJE</t>
        </is>
      </c>
      <c r="G696" t="n">
        <v>15.6</v>
      </c>
      <c r="H696" t="n">
        <v>0</v>
      </c>
      <c r="I696" t="n">
        <v>0</v>
      </c>
      <c r="J696" t="n">
        <v>0</v>
      </c>
      <c r="K696" t="n">
        <v>0</v>
      </c>
      <c r="L696" t="n">
        <v>0</v>
      </c>
      <c r="M696" t="n">
        <v>0</v>
      </c>
      <c r="N696" t="n">
        <v>0</v>
      </c>
      <c r="O696" t="n">
        <v>0</v>
      </c>
      <c r="P696" t="n">
        <v>0</v>
      </c>
      <c r="Q696" t="n">
        <v>0</v>
      </c>
      <c r="R696" s="2" t="inlineStr"/>
    </row>
    <row r="697" ht="15" customHeight="1">
      <c r="A697" t="inlineStr">
        <is>
          <t>A 11997-2019</t>
        </is>
      </c>
      <c r="B697" s="1" t="n">
        <v>43521</v>
      </c>
      <c r="C697" s="1" t="n">
        <v>45186</v>
      </c>
      <c r="D697" t="inlineStr">
        <is>
          <t>STOCKHOLMS LÄN</t>
        </is>
      </c>
      <c r="E697" t="inlineStr">
        <is>
          <t>NORRTÄLJE</t>
        </is>
      </c>
      <c r="G697" t="n">
        <v>3.9</v>
      </c>
      <c r="H697" t="n">
        <v>0</v>
      </c>
      <c r="I697" t="n">
        <v>0</v>
      </c>
      <c r="J697" t="n">
        <v>0</v>
      </c>
      <c r="K697" t="n">
        <v>0</v>
      </c>
      <c r="L697" t="n">
        <v>0</v>
      </c>
      <c r="M697" t="n">
        <v>0</v>
      </c>
      <c r="N697" t="n">
        <v>0</v>
      </c>
      <c r="O697" t="n">
        <v>0</v>
      </c>
      <c r="P697" t="n">
        <v>0</v>
      </c>
      <c r="Q697" t="n">
        <v>0</v>
      </c>
      <c r="R697" s="2" t="inlineStr"/>
    </row>
    <row r="698" ht="15" customHeight="1">
      <c r="A698" t="inlineStr">
        <is>
          <t>A 11906-2019</t>
        </is>
      </c>
      <c r="B698" s="1" t="n">
        <v>43521</v>
      </c>
      <c r="C698" s="1" t="n">
        <v>45186</v>
      </c>
      <c r="D698" t="inlineStr">
        <is>
          <t>STOCKHOLMS LÄN</t>
        </is>
      </c>
      <c r="E698" t="inlineStr">
        <is>
          <t>UPPLANDS-BRO</t>
        </is>
      </c>
      <c r="G698" t="n">
        <v>6.4</v>
      </c>
      <c r="H698" t="n">
        <v>0</v>
      </c>
      <c r="I698" t="n">
        <v>0</v>
      </c>
      <c r="J698" t="n">
        <v>0</v>
      </c>
      <c r="K698" t="n">
        <v>0</v>
      </c>
      <c r="L698" t="n">
        <v>0</v>
      </c>
      <c r="M698" t="n">
        <v>0</v>
      </c>
      <c r="N698" t="n">
        <v>0</v>
      </c>
      <c r="O698" t="n">
        <v>0</v>
      </c>
      <c r="P698" t="n">
        <v>0</v>
      </c>
      <c r="Q698" t="n">
        <v>0</v>
      </c>
      <c r="R698" s="2" t="inlineStr"/>
    </row>
    <row r="699" ht="15" customHeight="1">
      <c r="A699" t="inlineStr">
        <is>
          <t>A 11992-2019</t>
        </is>
      </c>
      <c r="B699" s="1" t="n">
        <v>43521</v>
      </c>
      <c r="C699" s="1" t="n">
        <v>45186</v>
      </c>
      <c r="D699" t="inlineStr">
        <is>
          <t>STOCKHOLMS LÄN</t>
        </is>
      </c>
      <c r="E699" t="inlineStr">
        <is>
          <t>NORRTÄLJE</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11996-2019</t>
        </is>
      </c>
      <c r="B700" s="1" t="n">
        <v>43521</v>
      </c>
      <c r="C700" s="1" t="n">
        <v>45186</v>
      </c>
      <c r="D700" t="inlineStr">
        <is>
          <t>STOCKHOLMS LÄN</t>
        </is>
      </c>
      <c r="E700" t="inlineStr">
        <is>
          <t>NORRTÄLJE</t>
        </is>
      </c>
      <c r="G700" t="n">
        <v>5.7</v>
      </c>
      <c r="H700" t="n">
        <v>0</v>
      </c>
      <c r="I700" t="n">
        <v>0</v>
      </c>
      <c r="J700" t="n">
        <v>0</v>
      </c>
      <c r="K700" t="n">
        <v>0</v>
      </c>
      <c r="L700" t="n">
        <v>0</v>
      </c>
      <c r="M700" t="n">
        <v>0</v>
      </c>
      <c r="N700" t="n">
        <v>0</v>
      </c>
      <c r="O700" t="n">
        <v>0</v>
      </c>
      <c r="P700" t="n">
        <v>0</v>
      </c>
      <c r="Q700" t="n">
        <v>0</v>
      </c>
      <c r="R700" s="2" t="inlineStr"/>
    </row>
    <row r="701" ht="15" customHeight="1">
      <c r="A701" t="inlineStr">
        <is>
          <t>A 12157-2019</t>
        </is>
      </c>
      <c r="B701" s="1" t="n">
        <v>43522</v>
      </c>
      <c r="C701" s="1" t="n">
        <v>45186</v>
      </c>
      <c r="D701" t="inlineStr">
        <is>
          <t>STOCKHOLMS LÄN</t>
        </is>
      </c>
      <c r="E701" t="inlineStr">
        <is>
          <t>NYKVARN</t>
        </is>
      </c>
      <c r="G701" t="n">
        <v>1.1</v>
      </c>
      <c r="H701" t="n">
        <v>0</v>
      </c>
      <c r="I701" t="n">
        <v>0</v>
      </c>
      <c r="J701" t="n">
        <v>0</v>
      </c>
      <c r="K701" t="n">
        <v>0</v>
      </c>
      <c r="L701" t="n">
        <v>0</v>
      </c>
      <c r="M701" t="n">
        <v>0</v>
      </c>
      <c r="N701" t="n">
        <v>0</v>
      </c>
      <c r="O701" t="n">
        <v>0</v>
      </c>
      <c r="P701" t="n">
        <v>0</v>
      </c>
      <c r="Q701" t="n">
        <v>0</v>
      </c>
      <c r="R701" s="2" t="inlineStr"/>
    </row>
    <row r="702" ht="15" customHeight="1">
      <c r="A702" t="inlineStr">
        <is>
          <t>A 12061-2019</t>
        </is>
      </c>
      <c r="B702" s="1" t="n">
        <v>43522</v>
      </c>
      <c r="C702" s="1" t="n">
        <v>45186</v>
      </c>
      <c r="D702" t="inlineStr">
        <is>
          <t>STOCKHOLMS LÄN</t>
        </is>
      </c>
      <c r="E702" t="inlineStr">
        <is>
          <t>NORRTÄLJE</t>
        </is>
      </c>
      <c r="G702" t="n">
        <v>3.3</v>
      </c>
      <c r="H702" t="n">
        <v>0</v>
      </c>
      <c r="I702" t="n">
        <v>0</v>
      </c>
      <c r="J702" t="n">
        <v>0</v>
      </c>
      <c r="K702" t="n">
        <v>0</v>
      </c>
      <c r="L702" t="n">
        <v>0</v>
      </c>
      <c r="M702" t="n">
        <v>0</v>
      </c>
      <c r="N702" t="n">
        <v>0</v>
      </c>
      <c r="O702" t="n">
        <v>0</v>
      </c>
      <c r="P702" t="n">
        <v>0</v>
      </c>
      <c r="Q702" t="n">
        <v>0</v>
      </c>
      <c r="R702" s="2" t="inlineStr"/>
    </row>
    <row r="703" ht="15" customHeight="1">
      <c r="A703" t="inlineStr">
        <is>
          <t>A 12450-2019</t>
        </is>
      </c>
      <c r="B703" s="1" t="n">
        <v>43523</v>
      </c>
      <c r="C703" s="1" t="n">
        <v>45186</v>
      </c>
      <c r="D703" t="inlineStr">
        <is>
          <t>STOCKHOLMS LÄN</t>
        </is>
      </c>
      <c r="E703" t="inlineStr">
        <is>
          <t>NYNÄSHAMN</t>
        </is>
      </c>
      <c r="G703" t="n">
        <v>2.3</v>
      </c>
      <c r="H703" t="n">
        <v>0</v>
      </c>
      <c r="I703" t="n">
        <v>0</v>
      </c>
      <c r="J703" t="n">
        <v>0</v>
      </c>
      <c r="K703" t="n">
        <v>0</v>
      </c>
      <c r="L703" t="n">
        <v>0</v>
      </c>
      <c r="M703" t="n">
        <v>0</v>
      </c>
      <c r="N703" t="n">
        <v>0</v>
      </c>
      <c r="O703" t="n">
        <v>0</v>
      </c>
      <c r="P703" t="n">
        <v>0</v>
      </c>
      <c r="Q703" t="n">
        <v>0</v>
      </c>
      <c r="R703" s="2" t="inlineStr"/>
    </row>
    <row r="704" ht="15" customHeight="1">
      <c r="A704" t="inlineStr">
        <is>
          <t>A 12418-2019</t>
        </is>
      </c>
      <c r="B704" s="1" t="n">
        <v>43523</v>
      </c>
      <c r="C704" s="1" t="n">
        <v>45186</v>
      </c>
      <c r="D704" t="inlineStr">
        <is>
          <t>STOCKHOLMS LÄN</t>
        </is>
      </c>
      <c r="E704" t="inlineStr">
        <is>
          <t>NORRTÄLJE</t>
        </is>
      </c>
      <c r="G704" t="n">
        <v>1.6</v>
      </c>
      <c r="H704" t="n">
        <v>0</v>
      </c>
      <c r="I704" t="n">
        <v>0</v>
      </c>
      <c r="J704" t="n">
        <v>0</v>
      </c>
      <c r="K704" t="n">
        <v>0</v>
      </c>
      <c r="L704" t="n">
        <v>0</v>
      </c>
      <c r="M704" t="n">
        <v>0</v>
      </c>
      <c r="N704" t="n">
        <v>0</v>
      </c>
      <c r="O704" t="n">
        <v>0</v>
      </c>
      <c r="P704" t="n">
        <v>0</v>
      </c>
      <c r="Q704" t="n">
        <v>0</v>
      </c>
      <c r="R704" s="2" t="inlineStr"/>
    </row>
    <row r="705" ht="15" customHeight="1">
      <c r="A705" t="inlineStr">
        <is>
          <t>A 12351-2019</t>
        </is>
      </c>
      <c r="B705" s="1" t="n">
        <v>43523</v>
      </c>
      <c r="C705" s="1" t="n">
        <v>45186</v>
      </c>
      <c r="D705" t="inlineStr">
        <is>
          <t>STOCKHOLMS LÄN</t>
        </is>
      </c>
      <c r="E705" t="inlineStr">
        <is>
          <t>NORRTÄLJE</t>
        </is>
      </c>
      <c r="G705" t="n">
        <v>0.6</v>
      </c>
      <c r="H705" t="n">
        <v>0</v>
      </c>
      <c r="I705" t="n">
        <v>0</v>
      </c>
      <c r="J705" t="n">
        <v>0</v>
      </c>
      <c r="K705" t="n">
        <v>0</v>
      </c>
      <c r="L705" t="n">
        <v>0</v>
      </c>
      <c r="M705" t="n">
        <v>0</v>
      </c>
      <c r="N705" t="n">
        <v>0</v>
      </c>
      <c r="O705" t="n">
        <v>0</v>
      </c>
      <c r="P705" t="n">
        <v>0</v>
      </c>
      <c r="Q705" t="n">
        <v>0</v>
      </c>
      <c r="R705" s="2" t="inlineStr"/>
    </row>
    <row r="706" ht="15" customHeight="1">
      <c r="A706" t="inlineStr">
        <is>
          <t>A 12265-2019</t>
        </is>
      </c>
      <c r="B706" s="1" t="n">
        <v>43523</v>
      </c>
      <c r="C706" s="1" t="n">
        <v>45186</v>
      </c>
      <c r="D706" t="inlineStr">
        <is>
          <t>STOCKHOLMS LÄN</t>
        </is>
      </c>
      <c r="E706" t="inlineStr">
        <is>
          <t>HANINGE</t>
        </is>
      </c>
      <c r="G706" t="n">
        <v>0.5</v>
      </c>
      <c r="H706" t="n">
        <v>0</v>
      </c>
      <c r="I706" t="n">
        <v>0</v>
      </c>
      <c r="J706" t="n">
        <v>0</v>
      </c>
      <c r="K706" t="n">
        <v>0</v>
      </c>
      <c r="L706" t="n">
        <v>0</v>
      </c>
      <c r="M706" t="n">
        <v>0</v>
      </c>
      <c r="N706" t="n">
        <v>0</v>
      </c>
      <c r="O706" t="n">
        <v>0</v>
      </c>
      <c r="P706" t="n">
        <v>0</v>
      </c>
      <c r="Q706" t="n">
        <v>0</v>
      </c>
      <c r="R706" s="2" t="inlineStr"/>
    </row>
    <row r="707" ht="15" customHeight="1">
      <c r="A707" t="inlineStr">
        <is>
          <t>A 12603-2019</t>
        </is>
      </c>
      <c r="B707" s="1" t="n">
        <v>43524</v>
      </c>
      <c r="C707" s="1" t="n">
        <v>45186</v>
      </c>
      <c r="D707" t="inlineStr">
        <is>
          <t>STOCKHOLMS LÄN</t>
        </is>
      </c>
      <c r="E707" t="inlineStr">
        <is>
          <t>SÖDERTÄLJE</t>
        </is>
      </c>
      <c r="G707" t="n">
        <v>10.4</v>
      </c>
      <c r="H707" t="n">
        <v>0</v>
      </c>
      <c r="I707" t="n">
        <v>0</v>
      </c>
      <c r="J707" t="n">
        <v>0</v>
      </c>
      <c r="K707" t="n">
        <v>0</v>
      </c>
      <c r="L707" t="n">
        <v>0</v>
      </c>
      <c r="M707" t="n">
        <v>0</v>
      </c>
      <c r="N707" t="n">
        <v>0</v>
      </c>
      <c r="O707" t="n">
        <v>0</v>
      </c>
      <c r="P707" t="n">
        <v>0</v>
      </c>
      <c r="Q707" t="n">
        <v>0</v>
      </c>
      <c r="R707" s="2" t="inlineStr"/>
    </row>
    <row r="708" ht="15" customHeight="1">
      <c r="A708" t="inlineStr">
        <is>
          <t>A 12569-2019</t>
        </is>
      </c>
      <c r="B708" s="1" t="n">
        <v>43524</v>
      </c>
      <c r="C708" s="1" t="n">
        <v>45186</v>
      </c>
      <c r="D708" t="inlineStr">
        <is>
          <t>STOCKHOLMS LÄN</t>
        </is>
      </c>
      <c r="E708" t="inlineStr">
        <is>
          <t>NORRTÄLJE</t>
        </is>
      </c>
      <c r="G708" t="n">
        <v>1</v>
      </c>
      <c r="H708" t="n">
        <v>0</v>
      </c>
      <c r="I708" t="n">
        <v>0</v>
      </c>
      <c r="J708" t="n">
        <v>0</v>
      </c>
      <c r="K708" t="n">
        <v>0</v>
      </c>
      <c r="L708" t="n">
        <v>0</v>
      </c>
      <c r="M708" t="n">
        <v>0</v>
      </c>
      <c r="N708" t="n">
        <v>0</v>
      </c>
      <c r="O708" t="n">
        <v>0</v>
      </c>
      <c r="P708" t="n">
        <v>0</v>
      </c>
      <c r="Q708" t="n">
        <v>0</v>
      </c>
      <c r="R708" s="2" t="inlineStr"/>
    </row>
    <row r="709" ht="15" customHeight="1">
      <c r="A709" t="inlineStr">
        <is>
          <t>A 12580-2019</t>
        </is>
      </c>
      <c r="B709" s="1" t="n">
        <v>43524</v>
      </c>
      <c r="C709" s="1" t="n">
        <v>45186</v>
      </c>
      <c r="D709" t="inlineStr">
        <is>
          <t>STOCKHOLMS LÄN</t>
        </is>
      </c>
      <c r="E709" t="inlineStr">
        <is>
          <t>NORRTÄLJE</t>
        </is>
      </c>
      <c r="G709" t="n">
        <v>1.8</v>
      </c>
      <c r="H709" t="n">
        <v>0</v>
      </c>
      <c r="I709" t="n">
        <v>0</v>
      </c>
      <c r="J709" t="n">
        <v>0</v>
      </c>
      <c r="K709" t="n">
        <v>0</v>
      </c>
      <c r="L709" t="n">
        <v>0</v>
      </c>
      <c r="M709" t="n">
        <v>0</v>
      </c>
      <c r="N709" t="n">
        <v>0</v>
      </c>
      <c r="O709" t="n">
        <v>0</v>
      </c>
      <c r="P709" t="n">
        <v>0</v>
      </c>
      <c r="Q709" t="n">
        <v>0</v>
      </c>
      <c r="R709" s="2" t="inlineStr"/>
    </row>
    <row r="710" ht="15" customHeight="1">
      <c r="A710" t="inlineStr">
        <is>
          <t>A 12590-2019</t>
        </is>
      </c>
      <c r="B710" s="1" t="n">
        <v>43524</v>
      </c>
      <c r="C710" s="1" t="n">
        <v>45186</v>
      </c>
      <c r="D710" t="inlineStr">
        <is>
          <t>STOCKHOLMS LÄN</t>
        </is>
      </c>
      <c r="E710" t="inlineStr">
        <is>
          <t>SIGTUNA</t>
        </is>
      </c>
      <c r="G710" t="n">
        <v>0.9</v>
      </c>
      <c r="H710" t="n">
        <v>0</v>
      </c>
      <c r="I710" t="n">
        <v>0</v>
      </c>
      <c r="J710" t="n">
        <v>0</v>
      </c>
      <c r="K710" t="n">
        <v>0</v>
      </c>
      <c r="L710" t="n">
        <v>0</v>
      </c>
      <c r="M710" t="n">
        <v>0</v>
      </c>
      <c r="N710" t="n">
        <v>0</v>
      </c>
      <c r="O710" t="n">
        <v>0</v>
      </c>
      <c r="P710" t="n">
        <v>0</v>
      </c>
      <c r="Q710" t="n">
        <v>0</v>
      </c>
      <c r="R710" s="2" t="inlineStr"/>
    </row>
    <row r="711" ht="15" customHeight="1">
      <c r="A711" t="inlineStr">
        <is>
          <t>A 12564-2019</t>
        </is>
      </c>
      <c r="B711" s="1" t="n">
        <v>43524</v>
      </c>
      <c r="C711" s="1" t="n">
        <v>45186</v>
      </c>
      <c r="D711" t="inlineStr">
        <is>
          <t>STOCKHOLMS LÄN</t>
        </is>
      </c>
      <c r="E711" t="inlineStr">
        <is>
          <t>NORRTÄLJE</t>
        </is>
      </c>
      <c r="G711" t="n">
        <v>6.8</v>
      </c>
      <c r="H711" t="n">
        <v>0</v>
      </c>
      <c r="I711" t="n">
        <v>0</v>
      </c>
      <c r="J711" t="n">
        <v>0</v>
      </c>
      <c r="K711" t="n">
        <v>0</v>
      </c>
      <c r="L711" t="n">
        <v>0</v>
      </c>
      <c r="M711" t="n">
        <v>0</v>
      </c>
      <c r="N711" t="n">
        <v>0</v>
      </c>
      <c r="O711" t="n">
        <v>0</v>
      </c>
      <c r="P711" t="n">
        <v>0</v>
      </c>
      <c r="Q711" t="n">
        <v>0</v>
      </c>
      <c r="R711" s="2" t="inlineStr"/>
    </row>
    <row r="712" ht="15" customHeight="1">
      <c r="A712" t="inlineStr">
        <is>
          <t>A 12577-2019</t>
        </is>
      </c>
      <c r="B712" s="1" t="n">
        <v>43524</v>
      </c>
      <c r="C712" s="1" t="n">
        <v>45186</v>
      </c>
      <c r="D712" t="inlineStr">
        <is>
          <t>STOCKHOLMS LÄN</t>
        </is>
      </c>
      <c r="E712" t="inlineStr">
        <is>
          <t>NORRTÄLJE</t>
        </is>
      </c>
      <c r="G712" t="n">
        <v>0.5</v>
      </c>
      <c r="H712" t="n">
        <v>0</v>
      </c>
      <c r="I712" t="n">
        <v>0</v>
      </c>
      <c r="J712" t="n">
        <v>0</v>
      </c>
      <c r="K712" t="n">
        <v>0</v>
      </c>
      <c r="L712" t="n">
        <v>0</v>
      </c>
      <c r="M712" t="n">
        <v>0</v>
      </c>
      <c r="N712" t="n">
        <v>0</v>
      </c>
      <c r="O712" t="n">
        <v>0</v>
      </c>
      <c r="P712" t="n">
        <v>0</v>
      </c>
      <c r="Q712" t="n">
        <v>0</v>
      </c>
      <c r="R712" s="2" t="inlineStr"/>
    </row>
    <row r="713" ht="15" customHeight="1">
      <c r="A713" t="inlineStr">
        <is>
          <t>A 12668-2019</t>
        </is>
      </c>
      <c r="B713" s="1" t="n">
        <v>43524</v>
      </c>
      <c r="C713" s="1" t="n">
        <v>45186</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12797-2019</t>
        </is>
      </c>
      <c r="B714" s="1" t="n">
        <v>43525</v>
      </c>
      <c r="C714" s="1" t="n">
        <v>45186</v>
      </c>
      <c r="D714" t="inlineStr">
        <is>
          <t>STOCKHOLMS LÄN</t>
        </is>
      </c>
      <c r="E714" t="inlineStr">
        <is>
          <t>NORRTÄLJE</t>
        </is>
      </c>
      <c r="G714" t="n">
        <v>3.1</v>
      </c>
      <c r="H714" t="n">
        <v>0</v>
      </c>
      <c r="I714" t="n">
        <v>0</v>
      </c>
      <c r="J714" t="n">
        <v>0</v>
      </c>
      <c r="K714" t="n">
        <v>0</v>
      </c>
      <c r="L714" t="n">
        <v>0</v>
      </c>
      <c r="M714" t="n">
        <v>0</v>
      </c>
      <c r="N714" t="n">
        <v>0</v>
      </c>
      <c r="O714" t="n">
        <v>0</v>
      </c>
      <c r="P714" t="n">
        <v>0</v>
      </c>
      <c r="Q714" t="n">
        <v>0</v>
      </c>
      <c r="R714" s="2" t="inlineStr"/>
    </row>
    <row r="715" ht="15" customHeight="1">
      <c r="A715" t="inlineStr">
        <is>
          <t>A 12811-2019</t>
        </is>
      </c>
      <c r="B715" s="1" t="n">
        <v>43525</v>
      </c>
      <c r="C715" s="1" t="n">
        <v>45186</v>
      </c>
      <c r="D715" t="inlineStr">
        <is>
          <t>STOCKHOLMS LÄN</t>
        </is>
      </c>
      <c r="E715" t="inlineStr">
        <is>
          <t>NORRTÄLJE</t>
        </is>
      </c>
      <c r="G715" t="n">
        <v>1.9</v>
      </c>
      <c r="H715" t="n">
        <v>0</v>
      </c>
      <c r="I715" t="n">
        <v>0</v>
      </c>
      <c r="J715" t="n">
        <v>0</v>
      </c>
      <c r="K715" t="n">
        <v>0</v>
      </c>
      <c r="L715" t="n">
        <v>0</v>
      </c>
      <c r="M715" t="n">
        <v>0</v>
      </c>
      <c r="N715" t="n">
        <v>0</v>
      </c>
      <c r="O715" t="n">
        <v>0</v>
      </c>
      <c r="P715" t="n">
        <v>0</v>
      </c>
      <c r="Q715" t="n">
        <v>0</v>
      </c>
      <c r="R715" s="2" t="inlineStr"/>
    </row>
    <row r="716" ht="15" customHeight="1">
      <c r="A716" t="inlineStr">
        <is>
          <t>A 12919-2019</t>
        </is>
      </c>
      <c r="B716" s="1" t="n">
        <v>43525</v>
      </c>
      <c r="C716" s="1" t="n">
        <v>45186</v>
      </c>
      <c r="D716" t="inlineStr">
        <is>
          <t>STOCKHOLMS LÄN</t>
        </is>
      </c>
      <c r="E716" t="inlineStr">
        <is>
          <t>NORRTÄLJE</t>
        </is>
      </c>
      <c r="G716" t="n">
        <v>2.9</v>
      </c>
      <c r="H716" t="n">
        <v>0</v>
      </c>
      <c r="I716" t="n">
        <v>0</v>
      </c>
      <c r="J716" t="n">
        <v>0</v>
      </c>
      <c r="K716" t="n">
        <v>0</v>
      </c>
      <c r="L716" t="n">
        <v>0</v>
      </c>
      <c r="M716" t="n">
        <v>0</v>
      </c>
      <c r="N716" t="n">
        <v>0</v>
      </c>
      <c r="O716" t="n">
        <v>0</v>
      </c>
      <c r="P716" t="n">
        <v>0</v>
      </c>
      <c r="Q716" t="n">
        <v>0</v>
      </c>
      <c r="R716" s="2" t="inlineStr"/>
    </row>
    <row r="717" ht="15" customHeight="1">
      <c r="A717" t="inlineStr">
        <is>
          <t>A 17033-2019</t>
        </is>
      </c>
      <c r="B717" s="1" t="n">
        <v>43525</v>
      </c>
      <c r="C717" s="1" t="n">
        <v>45186</v>
      </c>
      <c r="D717" t="inlineStr">
        <is>
          <t>STOCKHOLMS LÄN</t>
        </is>
      </c>
      <c r="E717" t="inlineStr">
        <is>
          <t>NORRTÄLJE</t>
        </is>
      </c>
      <c r="G717" t="n">
        <v>2.8</v>
      </c>
      <c r="H717" t="n">
        <v>0</v>
      </c>
      <c r="I717" t="n">
        <v>0</v>
      </c>
      <c r="J717" t="n">
        <v>0</v>
      </c>
      <c r="K717" t="n">
        <v>0</v>
      </c>
      <c r="L717" t="n">
        <v>0</v>
      </c>
      <c r="M717" t="n">
        <v>0</v>
      </c>
      <c r="N717" t="n">
        <v>0</v>
      </c>
      <c r="O717" t="n">
        <v>0</v>
      </c>
      <c r="P717" t="n">
        <v>0</v>
      </c>
      <c r="Q717" t="n">
        <v>0</v>
      </c>
      <c r="R717" s="2" t="inlineStr"/>
    </row>
    <row r="718" ht="15" customHeight="1">
      <c r="A718" t="inlineStr">
        <is>
          <t>A 12765-2019</t>
        </is>
      </c>
      <c r="B718" s="1" t="n">
        <v>43525</v>
      </c>
      <c r="C718" s="1" t="n">
        <v>45186</v>
      </c>
      <c r="D718" t="inlineStr">
        <is>
          <t>STOCKHOLMS LÄN</t>
        </is>
      </c>
      <c r="E718" t="inlineStr">
        <is>
          <t>NORRTÄLJE</t>
        </is>
      </c>
      <c r="G718" t="n">
        <v>2.6</v>
      </c>
      <c r="H718" t="n">
        <v>0</v>
      </c>
      <c r="I718" t="n">
        <v>0</v>
      </c>
      <c r="J718" t="n">
        <v>0</v>
      </c>
      <c r="K718" t="n">
        <v>0</v>
      </c>
      <c r="L718" t="n">
        <v>0</v>
      </c>
      <c r="M718" t="n">
        <v>0</v>
      </c>
      <c r="N718" t="n">
        <v>0</v>
      </c>
      <c r="O718" t="n">
        <v>0</v>
      </c>
      <c r="P718" t="n">
        <v>0</v>
      </c>
      <c r="Q718" t="n">
        <v>0</v>
      </c>
      <c r="R718" s="2" t="inlineStr"/>
    </row>
    <row r="719" ht="15" customHeight="1">
      <c r="A719" t="inlineStr">
        <is>
          <t>A 12790-2019</t>
        </is>
      </c>
      <c r="B719" s="1" t="n">
        <v>43525</v>
      </c>
      <c r="C719" s="1" t="n">
        <v>45186</v>
      </c>
      <c r="D719" t="inlineStr">
        <is>
          <t>STOCKHOLMS LÄN</t>
        </is>
      </c>
      <c r="E719" t="inlineStr">
        <is>
          <t>NORRTÄLJE</t>
        </is>
      </c>
      <c r="G719" t="n">
        <v>1.2</v>
      </c>
      <c r="H719" t="n">
        <v>0</v>
      </c>
      <c r="I719" t="n">
        <v>0</v>
      </c>
      <c r="J719" t="n">
        <v>0</v>
      </c>
      <c r="K719" t="n">
        <v>0</v>
      </c>
      <c r="L719" t="n">
        <v>0</v>
      </c>
      <c r="M719" t="n">
        <v>0</v>
      </c>
      <c r="N719" t="n">
        <v>0</v>
      </c>
      <c r="O719" t="n">
        <v>0</v>
      </c>
      <c r="P719" t="n">
        <v>0</v>
      </c>
      <c r="Q719" t="n">
        <v>0</v>
      </c>
      <c r="R719" s="2" t="inlineStr"/>
    </row>
    <row r="720" ht="15" customHeight="1">
      <c r="A720" t="inlineStr">
        <is>
          <t>A 17037-2019</t>
        </is>
      </c>
      <c r="B720" s="1" t="n">
        <v>43525</v>
      </c>
      <c r="C720" s="1" t="n">
        <v>45186</v>
      </c>
      <c r="D720" t="inlineStr">
        <is>
          <t>STOCKHOLMS LÄN</t>
        </is>
      </c>
      <c r="E720" t="inlineStr">
        <is>
          <t>NORRTÄLJE</t>
        </is>
      </c>
      <c r="G720" t="n">
        <v>0.4</v>
      </c>
      <c r="H720" t="n">
        <v>0</v>
      </c>
      <c r="I720" t="n">
        <v>0</v>
      </c>
      <c r="J720" t="n">
        <v>0</v>
      </c>
      <c r="K720" t="n">
        <v>0</v>
      </c>
      <c r="L720" t="n">
        <v>0</v>
      </c>
      <c r="M720" t="n">
        <v>0</v>
      </c>
      <c r="N720" t="n">
        <v>0</v>
      </c>
      <c r="O720" t="n">
        <v>0</v>
      </c>
      <c r="P720" t="n">
        <v>0</v>
      </c>
      <c r="Q720" t="n">
        <v>0</v>
      </c>
      <c r="R720" s="2" t="inlineStr"/>
    </row>
    <row r="721" ht="15" customHeight="1">
      <c r="A721" t="inlineStr">
        <is>
          <t>A 12805-2019</t>
        </is>
      </c>
      <c r="B721" s="1" t="n">
        <v>43525</v>
      </c>
      <c r="C721" s="1" t="n">
        <v>45186</v>
      </c>
      <c r="D721" t="inlineStr">
        <is>
          <t>STOCKHOLMS LÄN</t>
        </is>
      </c>
      <c r="E721" t="inlineStr">
        <is>
          <t>NORRTÄLJE</t>
        </is>
      </c>
      <c r="G721" t="n">
        <v>4.5</v>
      </c>
      <c r="H721" t="n">
        <v>0</v>
      </c>
      <c r="I721" t="n">
        <v>0</v>
      </c>
      <c r="J721" t="n">
        <v>0</v>
      </c>
      <c r="K721" t="n">
        <v>0</v>
      </c>
      <c r="L721" t="n">
        <v>0</v>
      </c>
      <c r="M721" t="n">
        <v>0</v>
      </c>
      <c r="N721" t="n">
        <v>0</v>
      </c>
      <c r="O721" t="n">
        <v>0</v>
      </c>
      <c r="P721" t="n">
        <v>0</v>
      </c>
      <c r="Q721" t="n">
        <v>0</v>
      </c>
      <c r="R721" s="2" t="inlineStr"/>
    </row>
    <row r="722" ht="15" customHeight="1">
      <c r="A722" t="inlineStr">
        <is>
          <t>A 12804-2019</t>
        </is>
      </c>
      <c r="B722" s="1" t="n">
        <v>43525</v>
      </c>
      <c r="C722" s="1" t="n">
        <v>45186</v>
      </c>
      <c r="D722" t="inlineStr">
        <is>
          <t>STOCKHOLMS LÄN</t>
        </is>
      </c>
      <c r="E722" t="inlineStr">
        <is>
          <t>NORRTÄLJE</t>
        </is>
      </c>
      <c r="G722" t="n">
        <v>3.4</v>
      </c>
      <c r="H722" t="n">
        <v>0</v>
      </c>
      <c r="I722" t="n">
        <v>0</v>
      </c>
      <c r="J722" t="n">
        <v>0</v>
      </c>
      <c r="K722" t="n">
        <v>0</v>
      </c>
      <c r="L722" t="n">
        <v>0</v>
      </c>
      <c r="M722" t="n">
        <v>0</v>
      </c>
      <c r="N722" t="n">
        <v>0</v>
      </c>
      <c r="O722" t="n">
        <v>0</v>
      </c>
      <c r="P722" t="n">
        <v>0</v>
      </c>
      <c r="Q722" t="n">
        <v>0</v>
      </c>
      <c r="R722" s="2" t="inlineStr"/>
    </row>
    <row r="723" ht="15" customHeight="1">
      <c r="A723" t="inlineStr">
        <is>
          <t>A 12817-2019</t>
        </is>
      </c>
      <c r="B723" s="1" t="n">
        <v>43525</v>
      </c>
      <c r="C723" s="1" t="n">
        <v>45186</v>
      </c>
      <c r="D723" t="inlineStr">
        <is>
          <t>STOCKHOLMS LÄN</t>
        </is>
      </c>
      <c r="E723" t="inlineStr">
        <is>
          <t>NORRTÄLJE</t>
        </is>
      </c>
      <c r="G723" t="n">
        <v>2.2</v>
      </c>
      <c r="H723" t="n">
        <v>0</v>
      </c>
      <c r="I723" t="n">
        <v>0</v>
      </c>
      <c r="J723" t="n">
        <v>0</v>
      </c>
      <c r="K723" t="n">
        <v>0</v>
      </c>
      <c r="L723" t="n">
        <v>0</v>
      </c>
      <c r="M723" t="n">
        <v>0</v>
      </c>
      <c r="N723" t="n">
        <v>0</v>
      </c>
      <c r="O723" t="n">
        <v>0</v>
      </c>
      <c r="P723" t="n">
        <v>0</v>
      </c>
      <c r="Q723" t="n">
        <v>0</v>
      </c>
      <c r="R723" s="2" t="inlineStr"/>
    </row>
    <row r="724" ht="15" customHeight="1">
      <c r="A724" t="inlineStr">
        <is>
          <t>A 12839-2019</t>
        </is>
      </c>
      <c r="B724" s="1" t="n">
        <v>43525</v>
      </c>
      <c r="C724" s="1" t="n">
        <v>45186</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12964-2019</t>
        </is>
      </c>
      <c r="B725" s="1" t="n">
        <v>43526</v>
      </c>
      <c r="C725" s="1" t="n">
        <v>45186</v>
      </c>
      <c r="D725" t="inlineStr">
        <is>
          <t>STOCKHOLMS LÄN</t>
        </is>
      </c>
      <c r="E725" t="inlineStr">
        <is>
          <t>NORRTÄLJE</t>
        </is>
      </c>
      <c r="G725" t="n">
        <v>3.2</v>
      </c>
      <c r="H725" t="n">
        <v>0</v>
      </c>
      <c r="I725" t="n">
        <v>0</v>
      </c>
      <c r="J725" t="n">
        <v>0</v>
      </c>
      <c r="K725" t="n">
        <v>0</v>
      </c>
      <c r="L725" t="n">
        <v>0</v>
      </c>
      <c r="M725" t="n">
        <v>0</v>
      </c>
      <c r="N725" t="n">
        <v>0</v>
      </c>
      <c r="O725" t="n">
        <v>0</v>
      </c>
      <c r="P725" t="n">
        <v>0</v>
      </c>
      <c r="Q725" t="n">
        <v>0</v>
      </c>
      <c r="R725" s="2" t="inlineStr"/>
    </row>
    <row r="726" ht="15" customHeight="1">
      <c r="A726" t="inlineStr">
        <is>
          <t>A 12979-2019</t>
        </is>
      </c>
      <c r="B726" s="1" t="n">
        <v>43527</v>
      </c>
      <c r="C726" s="1" t="n">
        <v>45186</v>
      </c>
      <c r="D726" t="inlineStr">
        <is>
          <t>STOCKHOLMS LÄN</t>
        </is>
      </c>
      <c r="E726" t="inlineStr">
        <is>
          <t>NORRTÄLJE</t>
        </is>
      </c>
      <c r="F726" t="inlineStr">
        <is>
          <t>Kommuner</t>
        </is>
      </c>
      <c r="G726" t="n">
        <v>2.3</v>
      </c>
      <c r="H726" t="n">
        <v>0</v>
      </c>
      <c r="I726" t="n">
        <v>0</v>
      </c>
      <c r="J726" t="n">
        <v>0</v>
      </c>
      <c r="K726" t="n">
        <v>0</v>
      </c>
      <c r="L726" t="n">
        <v>0</v>
      </c>
      <c r="M726" t="n">
        <v>0</v>
      </c>
      <c r="N726" t="n">
        <v>0</v>
      </c>
      <c r="O726" t="n">
        <v>0</v>
      </c>
      <c r="P726" t="n">
        <v>0</v>
      </c>
      <c r="Q726" t="n">
        <v>0</v>
      </c>
      <c r="R726" s="2" t="inlineStr"/>
    </row>
    <row r="727" ht="15" customHeight="1">
      <c r="A727" t="inlineStr">
        <is>
          <t>A 13143-2019</t>
        </is>
      </c>
      <c r="B727" s="1" t="n">
        <v>43527</v>
      </c>
      <c r="C727" s="1" t="n">
        <v>45186</v>
      </c>
      <c r="D727" t="inlineStr">
        <is>
          <t>STOCKHOLMS LÄN</t>
        </is>
      </c>
      <c r="E727" t="inlineStr">
        <is>
          <t>SIGTUNA</t>
        </is>
      </c>
      <c r="G727" t="n">
        <v>4.1</v>
      </c>
      <c r="H727" t="n">
        <v>0</v>
      </c>
      <c r="I727" t="n">
        <v>0</v>
      </c>
      <c r="J727" t="n">
        <v>0</v>
      </c>
      <c r="K727" t="n">
        <v>0</v>
      </c>
      <c r="L727" t="n">
        <v>0</v>
      </c>
      <c r="M727" t="n">
        <v>0</v>
      </c>
      <c r="N727" t="n">
        <v>0</v>
      </c>
      <c r="O727" t="n">
        <v>0</v>
      </c>
      <c r="P727" t="n">
        <v>0</v>
      </c>
      <c r="Q727" t="n">
        <v>0</v>
      </c>
      <c r="R727" s="2" t="inlineStr"/>
    </row>
    <row r="728" ht="15" customHeight="1">
      <c r="A728" t="inlineStr">
        <is>
          <t>A 13210-2019</t>
        </is>
      </c>
      <c r="B728" s="1" t="n">
        <v>43528</v>
      </c>
      <c r="C728" s="1" t="n">
        <v>45186</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13096-2019</t>
        </is>
      </c>
      <c r="B729" s="1" t="n">
        <v>43528</v>
      </c>
      <c r="C729" s="1" t="n">
        <v>45186</v>
      </c>
      <c r="D729" t="inlineStr">
        <is>
          <t>STOCKHOLMS LÄN</t>
        </is>
      </c>
      <c r="E729" t="inlineStr">
        <is>
          <t>NORRTÄLJE</t>
        </is>
      </c>
      <c r="F729" t="inlineStr">
        <is>
          <t>Sveaskog</t>
        </is>
      </c>
      <c r="G729" t="n">
        <v>4.5</v>
      </c>
      <c r="H729" t="n">
        <v>0</v>
      </c>
      <c r="I729" t="n">
        <v>0</v>
      </c>
      <c r="J729" t="n">
        <v>0</v>
      </c>
      <c r="K729" t="n">
        <v>0</v>
      </c>
      <c r="L729" t="n">
        <v>0</v>
      </c>
      <c r="M729" t="n">
        <v>0</v>
      </c>
      <c r="N729" t="n">
        <v>0</v>
      </c>
      <c r="O729" t="n">
        <v>0</v>
      </c>
      <c r="P729" t="n">
        <v>0</v>
      </c>
      <c r="Q729" t="n">
        <v>0</v>
      </c>
      <c r="R729" s="2" t="inlineStr"/>
    </row>
    <row r="730" ht="15" customHeight="1">
      <c r="A730" t="inlineStr">
        <is>
          <t>A 13354-2019</t>
        </is>
      </c>
      <c r="B730" s="1" t="n">
        <v>43529</v>
      </c>
      <c r="C730" s="1" t="n">
        <v>45186</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13289-2019</t>
        </is>
      </c>
      <c r="B731" s="1" t="n">
        <v>43529</v>
      </c>
      <c r="C731" s="1" t="n">
        <v>45186</v>
      </c>
      <c r="D731" t="inlineStr">
        <is>
          <t>STOCKHOLMS LÄN</t>
        </is>
      </c>
      <c r="E731" t="inlineStr">
        <is>
          <t>NORRTÄLJE</t>
        </is>
      </c>
      <c r="F731" t="inlineStr">
        <is>
          <t>Holmen skog AB</t>
        </is>
      </c>
      <c r="G731" t="n">
        <v>4.6</v>
      </c>
      <c r="H731" t="n">
        <v>0</v>
      </c>
      <c r="I731" t="n">
        <v>0</v>
      </c>
      <c r="J731" t="n">
        <v>0</v>
      </c>
      <c r="K731" t="n">
        <v>0</v>
      </c>
      <c r="L731" t="n">
        <v>0</v>
      </c>
      <c r="M731" t="n">
        <v>0</v>
      </c>
      <c r="N731" t="n">
        <v>0</v>
      </c>
      <c r="O731" t="n">
        <v>0</v>
      </c>
      <c r="P731" t="n">
        <v>0</v>
      </c>
      <c r="Q731" t="n">
        <v>0</v>
      </c>
      <c r="R731" s="2" t="inlineStr"/>
    </row>
    <row r="732" ht="15" customHeight="1">
      <c r="A732" t="inlineStr">
        <is>
          <t>A 13353-2019</t>
        </is>
      </c>
      <c r="B732" s="1" t="n">
        <v>43529</v>
      </c>
      <c r="C732" s="1" t="n">
        <v>45186</v>
      </c>
      <c r="D732" t="inlineStr">
        <is>
          <t>STOCKHOLMS LÄN</t>
        </is>
      </c>
      <c r="E732" t="inlineStr">
        <is>
          <t>NORRTÄLJE</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13315-2019</t>
        </is>
      </c>
      <c r="B733" s="1" t="n">
        <v>43529</v>
      </c>
      <c r="C733" s="1" t="n">
        <v>45186</v>
      </c>
      <c r="D733" t="inlineStr">
        <is>
          <t>STOCKHOLMS LÄN</t>
        </is>
      </c>
      <c r="E733" t="inlineStr">
        <is>
          <t>NORRTÄLJE</t>
        </is>
      </c>
      <c r="G733" t="n">
        <v>2.9</v>
      </c>
      <c r="H733" t="n">
        <v>0</v>
      </c>
      <c r="I733" t="n">
        <v>0</v>
      </c>
      <c r="J733" t="n">
        <v>0</v>
      </c>
      <c r="K733" t="n">
        <v>0</v>
      </c>
      <c r="L733" t="n">
        <v>0</v>
      </c>
      <c r="M733" t="n">
        <v>0</v>
      </c>
      <c r="N733" t="n">
        <v>0</v>
      </c>
      <c r="O733" t="n">
        <v>0</v>
      </c>
      <c r="P733" t="n">
        <v>0</v>
      </c>
      <c r="Q733" t="n">
        <v>0</v>
      </c>
      <c r="R733" s="2" t="inlineStr"/>
    </row>
    <row r="734" ht="15" customHeight="1">
      <c r="A734" t="inlineStr">
        <is>
          <t>A 13356-2019</t>
        </is>
      </c>
      <c r="B734" s="1" t="n">
        <v>43529</v>
      </c>
      <c r="C734" s="1" t="n">
        <v>45186</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13566-2019</t>
        </is>
      </c>
      <c r="B735" s="1" t="n">
        <v>43530</v>
      </c>
      <c r="C735" s="1" t="n">
        <v>45186</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13676-2019</t>
        </is>
      </c>
      <c r="B736" s="1" t="n">
        <v>43530</v>
      </c>
      <c r="C736" s="1" t="n">
        <v>45186</v>
      </c>
      <c r="D736" t="inlineStr">
        <is>
          <t>STOCKHOLMS LÄN</t>
        </is>
      </c>
      <c r="E736" t="inlineStr">
        <is>
          <t>NORRTÄLJE</t>
        </is>
      </c>
      <c r="G736" t="n">
        <v>6.2</v>
      </c>
      <c r="H736" t="n">
        <v>0</v>
      </c>
      <c r="I736" t="n">
        <v>0</v>
      </c>
      <c r="J736" t="n">
        <v>0</v>
      </c>
      <c r="K736" t="n">
        <v>0</v>
      </c>
      <c r="L736" t="n">
        <v>0</v>
      </c>
      <c r="M736" t="n">
        <v>0</v>
      </c>
      <c r="N736" t="n">
        <v>0</v>
      </c>
      <c r="O736" t="n">
        <v>0</v>
      </c>
      <c r="P736" t="n">
        <v>0</v>
      </c>
      <c r="Q736" t="n">
        <v>0</v>
      </c>
      <c r="R736" s="2" t="inlineStr"/>
    </row>
    <row r="737" ht="15" customHeight="1">
      <c r="A737" t="inlineStr">
        <is>
          <t>A 13940-2019</t>
        </is>
      </c>
      <c r="B737" s="1" t="n">
        <v>43531</v>
      </c>
      <c r="C737" s="1" t="n">
        <v>45186</v>
      </c>
      <c r="D737" t="inlineStr">
        <is>
          <t>STOCKHOLMS LÄN</t>
        </is>
      </c>
      <c r="E737" t="inlineStr">
        <is>
          <t>NORRTÄLJE</t>
        </is>
      </c>
      <c r="G737" t="n">
        <v>4.2</v>
      </c>
      <c r="H737" t="n">
        <v>0</v>
      </c>
      <c r="I737" t="n">
        <v>0</v>
      </c>
      <c r="J737" t="n">
        <v>0</v>
      </c>
      <c r="K737" t="n">
        <v>0</v>
      </c>
      <c r="L737" t="n">
        <v>0</v>
      </c>
      <c r="M737" t="n">
        <v>0</v>
      </c>
      <c r="N737" t="n">
        <v>0</v>
      </c>
      <c r="O737" t="n">
        <v>0</v>
      </c>
      <c r="P737" t="n">
        <v>0</v>
      </c>
      <c r="Q737" t="n">
        <v>0</v>
      </c>
      <c r="R737" s="2" t="inlineStr"/>
    </row>
    <row r="738" ht="15" customHeight="1">
      <c r="A738" t="inlineStr">
        <is>
          <t>A 13851-2019</t>
        </is>
      </c>
      <c r="B738" s="1" t="n">
        <v>43531</v>
      </c>
      <c r="C738" s="1" t="n">
        <v>45186</v>
      </c>
      <c r="D738" t="inlineStr">
        <is>
          <t>STOCKHOLMS LÄN</t>
        </is>
      </c>
      <c r="E738" t="inlineStr">
        <is>
          <t>NORRTÄLJE</t>
        </is>
      </c>
      <c r="G738" t="n">
        <v>0.5</v>
      </c>
      <c r="H738" t="n">
        <v>0</v>
      </c>
      <c r="I738" t="n">
        <v>0</v>
      </c>
      <c r="J738" t="n">
        <v>0</v>
      </c>
      <c r="K738" t="n">
        <v>0</v>
      </c>
      <c r="L738" t="n">
        <v>0</v>
      </c>
      <c r="M738" t="n">
        <v>0</v>
      </c>
      <c r="N738" t="n">
        <v>0</v>
      </c>
      <c r="O738" t="n">
        <v>0</v>
      </c>
      <c r="P738" t="n">
        <v>0</v>
      </c>
      <c r="Q738" t="n">
        <v>0</v>
      </c>
      <c r="R738" s="2" t="inlineStr"/>
    </row>
    <row r="739" ht="15" customHeight="1">
      <c r="A739" t="inlineStr">
        <is>
          <t>A 13828-2019</t>
        </is>
      </c>
      <c r="B739" s="1" t="n">
        <v>43531</v>
      </c>
      <c r="C739" s="1" t="n">
        <v>45186</v>
      </c>
      <c r="D739" t="inlineStr">
        <is>
          <t>STOCKHOLMS LÄN</t>
        </is>
      </c>
      <c r="E739" t="inlineStr">
        <is>
          <t>NORRTÄLJE</t>
        </is>
      </c>
      <c r="G739" t="n">
        <v>2.9</v>
      </c>
      <c r="H739" t="n">
        <v>0</v>
      </c>
      <c r="I739" t="n">
        <v>0</v>
      </c>
      <c r="J739" t="n">
        <v>0</v>
      </c>
      <c r="K739" t="n">
        <v>0</v>
      </c>
      <c r="L739" t="n">
        <v>0</v>
      </c>
      <c r="M739" t="n">
        <v>0</v>
      </c>
      <c r="N739" t="n">
        <v>0</v>
      </c>
      <c r="O739" t="n">
        <v>0</v>
      </c>
      <c r="P739" t="n">
        <v>0</v>
      </c>
      <c r="Q739" t="n">
        <v>0</v>
      </c>
      <c r="R739" s="2" t="inlineStr"/>
    </row>
    <row r="740" ht="15" customHeight="1">
      <c r="A740" t="inlineStr">
        <is>
          <t>A 14027-2019</t>
        </is>
      </c>
      <c r="B740" s="1" t="n">
        <v>43532</v>
      </c>
      <c r="C740" s="1" t="n">
        <v>45186</v>
      </c>
      <c r="D740" t="inlineStr">
        <is>
          <t>STOCKHOLMS LÄN</t>
        </is>
      </c>
      <c r="E740" t="inlineStr">
        <is>
          <t>NORRTÄLJE</t>
        </is>
      </c>
      <c r="G740" t="n">
        <v>1.2</v>
      </c>
      <c r="H740" t="n">
        <v>0</v>
      </c>
      <c r="I740" t="n">
        <v>0</v>
      </c>
      <c r="J740" t="n">
        <v>0</v>
      </c>
      <c r="K740" t="n">
        <v>0</v>
      </c>
      <c r="L740" t="n">
        <v>0</v>
      </c>
      <c r="M740" t="n">
        <v>0</v>
      </c>
      <c r="N740" t="n">
        <v>0</v>
      </c>
      <c r="O740" t="n">
        <v>0</v>
      </c>
      <c r="P740" t="n">
        <v>0</v>
      </c>
      <c r="Q740" t="n">
        <v>0</v>
      </c>
      <c r="R740" s="2" t="inlineStr"/>
    </row>
    <row r="741" ht="15" customHeight="1">
      <c r="A741" t="inlineStr">
        <is>
          <t>A 14145-2019</t>
        </is>
      </c>
      <c r="B741" s="1" t="n">
        <v>43532</v>
      </c>
      <c r="C741" s="1" t="n">
        <v>45186</v>
      </c>
      <c r="D741" t="inlineStr">
        <is>
          <t>STOCKHOLMS LÄN</t>
        </is>
      </c>
      <c r="E741" t="inlineStr">
        <is>
          <t>NORRTÄLJE</t>
        </is>
      </c>
      <c r="G741" t="n">
        <v>1.7</v>
      </c>
      <c r="H741" t="n">
        <v>0</v>
      </c>
      <c r="I741" t="n">
        <v>0</v>
      </c>
      <c r="J741" t="n">
        <v>0</v>
      </c>
      <c r="K741" t="n">
        <v>0</v>
      </c>
      <c r="L741" t="n">
        <v>0</v>
      </c>
      <c r="M741" t="n">
        <v>0</v>
      </c>
      <c r="N741" t="n">
        <v>0</v>
      </c>
      <c r="O741" t="n">
        <v>0</v>
      </c>
      <c r="P741" t="n">
        <v>0</v>
      </c>
      <c r="Q741" t="n">
        <v>0</v>
      </c>
      <c r="R741" s="2" t="inlineStr"/>
    </row>
    <row r="742" ht="15" customHeight="1">
      <c r="A742" t="inlineStr">
        <is>
          <t>A 14020-2019</t>
        </is>
      </c>
      <c r="B742" s="1" t="n">
        <v>43532</v>
      </c>
      <c r="C742" s="1" t="n">
        <v>45186</v>
      </c>
      <c r="D742" t="inlineStr">
        <is>
          <t>STOCKHOLMS LÄN</t>
        </is>
      </c>
      <c r="E742" t="inlineStr">
        <is>
          <t>NORRTÄLJE</t>
        </is>
      </c>
      <c r="G742" t="n">
        <v>4.7</v>
      </c>
      <c r="H742" t="n">
        <v>0</v>
      </c>
      <c r="I742" t="n">
        <v>0</v>
      </c>
      <c r="J742" t="n">
        <v>0</v>
      </c>
      <c r="K742" t="n">
        <v>0</v>
      </c>
      <c r="L742" t="n">
        <v>0</v>
      </c>
      <c r="M742" t="n">
        <v>0</v>
      </c>
      <c r="N742" t="n">
        <v>0</v>
      </c>
      <c r="O742" t="n">
        <v>0</v>
      </c>
      <c r="P742" t="n">
        <v>0</v>
      </c>
      <c r="Q742" t="n">
        <v>0</v>
      </c>
      <c r="R742" s="2" t="inlineStr"/>
    </row>
    <row r="743" ht="15" customHeight="1">
      <c r="A743" t="inlineStr">
        <is>
          <t>A 14146-2019</t>
        </is>
      </c>
      <c r="B743" s="1" t="n">
        <v>43532</v>
      </c>
      <c r="C743" s="1" t="n">
        <v>45186</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14049-2019</t>
        </is>
      </c>
      <c r="B744" s="1" t="n">
        <v>43532</v>
      </c>
      <c r="C744" s="1" t="n">
        <v>45186</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14147-2019</t>
        </is>
      </c>
      <c r="B745" s="1" t="n">
        <v>43532</v>
      </c>
      <c r="C745" s="1" t="n">
        <v>45186</v>
      </c>
      <c r="D745" t="inlineStr">
        <is>
          <t>STOCKHOLMS LÄN</t>
        </is>
      </c>
      <c r="E745" t="inlineStr">
        <is>
          <t>NORRTÄLJE</t>
        </is>
      </c>
      <c r="G745" t="n">
        <v>2.1</v>
      </c>
      <c r="H745" t="n">
        <v>0</v>
      </c>
      <c r="I745" t="n">
        <v>0</v>
      </c>
      <c r="J745" t="n">
        <v>0</v>
      </c>
      <c r="K745" t="n">
        <v>0</v>
      </c>
      <c r="L745" t="n">
        <v>0</v>
      </c>
      <c r="M745" t="n">
        <v>0</v>
      </c>
      <c r="N745" t="n">
        <v>0</v>
      </c>
      <c r="O745" t="n">
        <v>0</v>
      </c>
      <c r="P745" t="n">
        <v>0</v>
      </c>
      <c r="Q745" t="n">
        <v>0</v>
      </c>
      <c r="R745" s="2" t="inlineStr"/>
    </row>
    <row r="746" ht="15" customHeight="1">
      <c r="A746" t="inlineStr">
        <is>
          <t>A 14161-2019</t>
        </is>
      </c>
      <c r="B746" s="1" t="n">
        <v>43533</v>
      </c>
      <c r="C746" s="1" t="n">
        <v>45186</v>
      </c>
      <c r="D746" t="inlineStr">
        <is>
          <t>STOCKHOLMS LÄN</t>
        </is>
      </c>
      <c r="E746" t="inlineStr">
        <is>
          <t>NORRTÄLJE</t>
        </is>
      </c>
      <c r="G746" t="n">
        <v>1.8</v>
      </c>
      <c r="H746" t="n">
        <v>0</v>
      </c>
      <c r="I746" t="n">
        <v>0</v>
      </c>
      <c r="J746" t="n">
        <v>0</v>
      </c>
      <c r="K746" t="n">
        <v>0</v>
      </c>
      <c r="L746" t="n">
        <v>0</v>
      </c>
      <c r="M746" t="n">
        <v>0</v>
      </c>
      <c r="N746" t="n">
        <v>0</v>
      </c>
      <c r="O746" t="n">
        <v>0</v>
      </c>
      <c r="P746" t="n">
        <v>0</v>
      </c>
      <c r="Q746" t="n">
        <v>0</v>
      </c>
      <c r="R746" s="2" t="inlineStr"/>
    </row>
    <row r="747" ht="15" customHeight="1">
      <c r="A747" t="inlineStr">
        <is>
          <t>A 14186-2019</t>
        </is>
      </c>
      <c r="B747" s="1" t="n">
        <v>43534</v>
      </c>
      <c r="C747" s="1" t="n">
        <v>45186</v>
      </c>
      <c r="D747" t="inlineStr">
        <is>
          <t>STOCKHOLMS LÄN</t>
        </is>
      </c>
      <c r="E747" t="inlineStr">
        <is>
          <t>NYKVARN</t>
        </is>
      </c>
      <c r="G747" t="n">
        <v>0.7</v>
      </c>
      <c r="H747" t="n">
        <v>0</v>
      </c>
      <c r="I747" t="n">
        <v>0</v>
      </c>
      <c r="J747" t="n">
        <v>0</v>
      </c>
      <c r="K747" t="n">
        <v>0</v>
      </c>
      <c r="L747" t="n">
        <v>0</v>
      </c>
      <c r="M747" t="n">
        <v>0</v>
      </c>
      <c r="N747" t="n">
        <v>0</v>
      </c>
      <c r="O747" t="n">
        <v>0</v>
      </c>
      <c r="P747" t="n">
        <v>0</v>
      </c>
      <c r="Q747" t="n">
        <v>0</v>
      </c>
      <c r="R747" s="2" t="inlineStr"/>
    </row>
    <row r="748" ht="15" customHeight="1">
      <c r="A748" t="inlineStr">
        <is>
          <t>A 14330-2019</t>
        </is>
      </c>
      <c r="B748" s="1" t="n">
        <v>43535</v>
      </c>
      <c r="C748" s="1" t="n">
        <v>45186</v>
      </c>
      <c r="D748" t="inlineStr">
        <is>
          <t>STOCKHOLMS LÄN</t>
        </is>
      </c>
      <c r="E748" t="inlineStr">
        <is>
          <t>NORRTÄLJE</t>
        </is>
      </c>
      <c r="G748" t="n">
        <v>0.8</v>
      </c>
      <c r="H748" t="n">
        <v>0</v>
      </c>
      <c r="I748" t="n">
        <v>0</v>
      </c>
      <c r="J748" t="n">
        <v>0</v>
      </c>
      <c r="K748" t="n">
        <v>0</v>
      </c>
      <c r="L748" t="n">
        <v>0</v>
      </c>
      <c r="M748" t="n">
        <v>0</v>
      </c>
      <c r="N748" t="n">
        <v>0</v>
      </c>
      <c r="O748" t="n">
        <v>0</v>
      </c>
      <c r="P748" t="n">
        <v>0</v>
      </c>
      <c r="Q748" t="n">
        <v>0</v>
      </c>
      <c r="R748" s="2" t="inlineStr"/>
    </row>
    <row r="749" ht="15" customHeight="1">
      <c r="A749" t="inlineStr">
        <is>
          <t>A 14293-2019</t>
        </is>
      </c>
      <c r="B749" s="1" t="n">
        <v>43535</v>
      </c>
      <c r="C749" s="1" t="n">
        <v>45186</v>
      </c>
      <c r="D749" t="inlineStr">
        <is>
          <t>STOCKHOLMS LÄN</t>
        </is>
      </c>
      <c r="E749" t="inlineStr">
        <is>
          <t>NORRTÄLJE</t>
        </is>
      </c>
      <c r="G749" t="n">
        <v>5.3</v>
      </c>
      <c r="H749" t="n">
        <v>0</v>
      </c>
      <c r="I749" t="n">
        <v>0</v>
      </c>
      <c r="J749" t="n">
        <v>0</v>
      </c>
      <c r="K749" t="n">
        <v>0</v>
      </c>
      <c r="L749" t="n">
        <v>0</v>
      </c>
      <c r="M749" t="n">
        <v>0</v>
      </c>
      <c r="N749" t="n">
        <v>0</v>
      </c>
      <c r="O749" t="n">
        <v>0</v>
      </c>
      <c r="P749" t="n">
        <v>0</v>
      </c>
      <c r="Q749" t="n">
        <v>0</v>
      </c>
      <c r="R749" s="2" t="inlineStr"/>
    </row>
    <row r="750" ht="15" customHeight="1">
      <c r="A750" t="inlineStr">
        <is>
          <t>A 14297-2019</t>
        </is>
      </c>
      <c r="B750" s="1" t="n">
        <v>43535</v>
      </c>
      <c r="C750" s="1" t="n">
        <v>45186</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14258-2019</t>
        </is>
      </c>
      <c r="B751" s="1" t="n">
        <v>43535</v>
      </c>
      <c r="C751" s="1" t="n">
        <v>45186</v>
      </c>
      <c r="D751" t="inlineStr">
        <is>
          <t>STOCKHOLMS LÄN</t>
        </is>
      </c>
      <c r="E751" t="inlineStr">
        <is>
          <t>NORRTÄLJE</t>
        </is>
      </c>
      <c r="G751" t="n">
        <v>4.2</v>
      </c>
      <c r="H751" t="n">
        <v>0</v>
      </c>
      <c r="I751" t="n">
        <v>0</v>
      </c>
      <c r="J751" t="n">
        <v>0</v>
      </c>
      <c r="K751" t="n">
        <v>0</v>
      </c>
      <c r="L751" t="n">
        <v>0</v>
      </c>
      <c r="M751" t="n">
        <v>0</v>
      </c>
      <c r="N751" t="n">
        <v>0</v>
      </c>
      <c r="O751" t="n">
        <v>0</v>
      </c>
      <c r="P751" t="n">
        <v>0</v>
      </c>
      <c r="Q751" t="n">
        <v>0</v>
      </c>
      <c r="R751" s="2" t="inlineStr"/>
    </row>
    <row r="752" ht="15" customHeight="1">
      <c r="A752" t="inlineStr">
        <is>
          <t>A 14294-2019</t>
        </is>
      </c>
      <c r="B752" s="1" t="n">
        <v>43535</v>
      </c>
      <c r="C752" s="1" t="n">
        <v>45186</v>
      </c>
      <c r="D752" t="inlineStr">
        <is>
          <t>STOCKHOLMS LÄN</t>
        </is>
      </c>
      <c r="E752" t="inlineStr">
        <is>
          <t>NORRTÄLJE</t>
        </is>
      </c>
      <c r="G752" t="n">
        <v>0.7</v>
      </c>
      <c r="H752" t="n">
        <v>0</v>
      </c>
      <c r="I752" t="n">
        <v>0</v>
      </c>
      <c r="J752" t="n">
        <v>0</v>
      </c>
      <c r="K752" t="n">
        <v>0</v>
      </c>
      <c r="L752" t="n">
        <v>0</v>
      </c>
      <c r="M752" t="n">
        <v>0</v>
      </c>
      <c r="N752" t="n">
        <v>0</v>
      </c>
      <c r="O752" t="n">
        <v>0</v>
      </c>
      <c r="P752" t="n">
        <v>0</v>
      </c>
      <c r="Q752" t="n">
        <v>0</v>
      </c>
      <c r="R752" s="2" t="inlineStr"/>
    </row>
    <row r="753" ht="15" customHeight="1">
      <c r="A753" t="inlineStr">
        <is>
          <t>A 14465-2019</t>
        </is>
      </c>
      <c r="B753" s="1" t="n">
        <v>43536</v>
      </c>
      <c r="C753" s="1" t="n">
        <v>45186</v>
      </c>
      <c r="D753" t="inlineStr">
        <is>
          <t>STOCKHOLMS LÄN</t>
        </is>
      </c>
      <c r="E753" t="inlineStr">
        <is>
          <t>VALLENTUNA</t>
        </is>
      </c>
      <c r="G753" t="n">
        <v>1</v>
      </c>
      <c r="H753" t="n">
        <v>0</v>
      </c>
      <c r="I753" t="n">
        <v>0</v>
      </c>
      <c r="J753" t="n">
        <v>0</v>
      </c>
      <c r="K753" t="n">
        <v>0</v>
      </c>
      <c r="L753" t="n">
        <v>0</v>
      </c>
      <c r="M753" t="n">
        <v>0</v>
      </c>
      <c r="N753" t="n">
        <v>0</v>
      </c>
      <c r="O753" t="n">
        <v>0</v>
      </c>
      <c r="P753" t="n">
        <v>0</v>
      </c>
      <c r="Q753" t="n">
        <v>0</v>
      </c>
      <c r="R753" s="2" t="inlineStr"/>
    </row>
    <row r="754" ht="15" customHeight="1">
      <c r="A754" t="inlineStr">
        <is>
          <t>A 14229-2019</t>
        </is>
      </c>
      <c r="B754" s="1" t="n">
        <v>43536</v>
      </c>
      <c r="C754" s="1" t="n">
        <v>45186</v>
      </c>
      <c r="D754" t="inlineStr">
        <is>
          <t>STOCKHOLMS LÄN</t>
        </is>
      </c>
      <c r="E754" t="inlineStr">
        <is>
          <t>NORRTÄLJE</t>
        </is>
      </c>
      <c r="F754" t="inlineStr">
        <is>
          <t>Sveaskog</t>
        </is>
      </c>
      <c r="G754" t="n">
        <v>3.3</v>
      </c>
      <c r="H754" t="n">
        <v>0</v>
      </c>
      <c r="I754" t="n">
        <v>0</v>
      </c>
      <c r="J754" t="n">
        <v>0</v>
      </c>
      <c r="K754" t="n">
        <v>0</v>
      </c>
      <c r="L754" t="n">
        <v>0</v>
      </c>
      <c r="M754" t="n">
        <v>0</v>
      </c>
      <c r="N754" t="n">
        <v>0</v>
      </c>
      <c r="O754" t="n">
        <v>0</v>
      </c>
      <c r="P754" t="n">
        <v>0</v>
      </c>
      <c r="Q754" t="n">
        <v>0</v>
      </c>
      <c r="R754" s="2" t="inlineStr"/>
    </row>
    <row r="755" ht="15" customHeight="1">
      <c r="A755" t="inlineStr">
        <is>
          <t>A 14239-2019</t>
        </is>
      </c>
      <c r="B755" s="1" t="n">
        <v>43536</v>
      </c>
      <c r="C755" s="1" t="n">
        <v>45186</v>
      </c>
      <c r="D755" t="inlineStr">
        <is>
          <t>STOCKHOLMS LÄN</t>
        </is>
      </c>
      <c r="E755" t="inlineStr">
        <is>
          <t>NORRTÄLJE</t>
        </is>
      </c>
      <c r="G755" t="n">
        <v>3.4</v>
      </c>
      <c r="H755" t="n">
        <v>0</v>
      </c>
      <c r="I755" t="n">
        <v>0</v>
      </c>
      <c r="J755" t="n">
        <v>0</v>
      </c>
      <c r="K755" t="n">
        <v>0</v>
      </c>
      <c r="L755" t="n">
        <v>0</v>
      </c>
      <c r="M755" t="n">
        <v>0</v>
      </c>
      <c r="N755" t="n">
        <v>0</v>
      </c>
      <c r="O755" t="n">
        <v>0</v>
      </c>
      <c r="P755" t="n">
        <v>0</v>
      </c>
      <c r="Q755" t="n">
        <v>0</v>
      </c>
      <c r="R755" s="2" t="inlineStr"/>
    </row>
    <row r="756" ht="15" customHeight="1">
      <c r="A756" t="inlineStr">
        <is>
          <t>A 14946-2019</t>
        </is>
      </c>
      <c r="B756" s="1" t="n">
        <v>43537</v>
      </c>
      <c r="C756" s="1" t="n">
        <v>45186</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15085-2019</t>
        </is>
      </c>
      <c r="B757" s="1" t="n">
        <v>43538</v>
      </c>
      <c r="C757" s="1" t="n">
        <v>45186</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15017-2019</t>
        </is>
      </c>
      <c r="B758" s="1" t="n">
        <v>43538</v>
      </c>
      <c r="C758" s="1" t="n">
        <v>45186</v>
      </c>
      <c r="D758" t="inlineStr">
        <is>
          <t>STOCKHOLMS LÄN</t>
        </is>
      </c>
      <c r="E758" t="inlineStr">
        <is>
          <t>NORRTÄLJE</t>
        </is>
      </c>
      <c r="G758" t="n">
        <v>0.5</v>
      </c>
      <c r="H758" t="n">
        <v>0</v>
      </c>
      <c r="I758" t="n">
        <v>0</v>
      </c>
      <c r="J758" t="n">
        <v>0</v>
      </c>
      <c r="K758" t="n">
        <v>0</v>
      </c>
      <c r="L758" t="n">
        <v>0</v>
      </c>
      <c r="M758" t="n">
        <v>0</v>
      </c>
      <c r="N758" t="n">
        <v>0</v>
      </c>
      <c r="O758" t="n">
        <v>0</v>
      </c>
      <c r="P758" t="n">
        <v>0</v>
      </c>
      <c r="Q758" t="n">
        <v>0</v>
      </c>
      <c r="R758" s="2" t="inlineStr"/>
    </row>
    <row r="759" ht="15" customHeight="1">
      <c r="A759" t="inlineStr">
        <is>
          <t>A 15161-2019</t>
        </is>
      </c>
      <c r="B759" s="1" t="n">
        <v>43538</v>
      </c>
      <c r="C759" s="1" t="n">
        <v>45186</v>
      </c>
      <c r="D759" t="inlineStr">
        <is>
          <t>STOCKHOLMS LÄN</t>
        </is>
      </c>
      <c r="E759" t="inlineStr">
        <is>
          <t>NYNÄSHAMN</t>
        </is>
      </c>
      <c r="F759" t="inlineStr">
        <is>
          <t>Kyrkan</t>
        </is>
      </c>
      <c r="G759" t="n">
        <v>1.3</v>
      </c>
      <c r="H759" t="n">
        <v>0</v>
      </c>
      <c r="I759" t="n">
        <v>0</v>
      </c>
      <c r="J759" t="n">
        <v>0</v>
      </c>
      <c r="K759" t="n">
        <v>0</v>
      </c>
      <c r="L759" t="n">
        <v>0</v>
      </c>
      <c r="M759" t="n">
        <v>0</v>
      </c>
      <c r="N759" t="n">
        <v>0</v>
      </c>
      <c r="O759" t="n">
        <v>0</v>
      </c>
      <c r="P759" t="n">
        <v>0</v>
      </c>
      <c r="Q759" t="n">
        <v>0</v>
      </c>
      <c r="R759" s="2" t="inlineStr"/>
    </row>
    <row r="760" ht="15" customHeight="1">
      <c r="A760" t="inlineStr">
        <is>
          <t>A 14958-2019</t>
        </is>
      </c>
      <c r="B760" s="1" t="n">
        <v>43538</v>
      </c>
      <c r="C760" s="1" t="n">
        <v>45186</v>
      </c>
      <c r="D760" t="inlineStr">
        <is>
          <t>STOCKHOLMS LÄN</t>
        </is>
      </c>
      <c r="E760" t="inlineStr">
        <is>
          <t>NORRTÄLJE</t>
        </is>
      </c>
      <c r="G760" t="n">
        <v>1.2</v>
      </c>
      <c r="H760" t="n">
        <v>0</v>
      </c>
      <c r="I760" t="n">
        <v>0</v>
      </c>
      <c r="J760" t="n">
        <v>0</v>
      </c>
      <c r="K760" t="n">
        <v>0</v>
      </c>
      <c r="L760" t="n">
        <v>0</v>
      </c>
      <c r="M760" t="n">
        <v>0</v>
      </c>
      <c r="N760" t="n">
        <v>0</v>
      </c>
      <c r="O760" t="n">
        <v>0</v>
      </c>
      <c r="P760" t="n">
        <v>0</v>
      </c>
      <c r="Q760" t="n">
        <v>0</v>
      </c>
      <c r="R760" s="2" t="inlineStr"/>
    </row>
    <row r="761" ht="15" customHeight="1">
      <c r="A761" t="inlineStr">
        <is>
          <t>A 14840-2019</t>
        </is>
      </c>
      <c r="B761" s="1" t="n">
        <v>43538</v>
      </c>
      <c r="C761" s="1" t="n">
        <v>45186</v>
      </c>
      <c r="D761" t="inlineStr">
        <is>
          <t>STOCKHOLMS LÄN</t>
        </is>
      </c>
      <c r="E761" t="inlineStr">
        <is>
          <t>NORRTÄLJE</t>
        </is>
      </c>
      <c r="G761" t="n">
        <v>3.4</v>
      </c>
      <c r="H761" t="n">
        <v>0</v>
      </c>
      <c r="I761" t="n">
        <v>0</v>
      </c>
      <c r="J761" t="n">
        <v>0</v>
      </c>
      <c r="K761" t="n">
        <v>0</v>
      </c>
      <c r="L761" t="n">
        <v>0</v>
      </c>
      <c r="M761" t="n">
        <v>0</v>
      </c>
      <c r="N761" t="n">
        <v>0</v>
      </c>
      <c r="O761" t="n">
        <v>0</v>
      </c>
      <c r="P761" t="n">
        <v>0</v>
      </c>
      <c r="Q761" t="n">
        <v>0</v>
      </c>
      <c r="R761" s="2" t="inlineStr"/>
    </row>
    <row r="762" ht="15" customHeight="1">
      <c r="A762" t="inlineStr">
        <is>
          <t>A 14995-2019</t>
        </is>
      </c>
      <c r="B762" s="1" t="n">
        <v>43538</v>
      </c>
      <c r="C762" s="1" t="n">
        <v>45186</v>
      </c>
      <c r="D762" t="inlineStr">
        <is>
          <t>STOCKHOLMS LÄN</t>
        </is>
      </c>
      <c r="E762" t="inlineStr">
        <is>
          <t>NORRTÄLJE</t>
        </is>
      </c>
      <c r="G762" t="n">
        <v>0.6</v>
      </c>
      <c r="H762" t="n">
        <v>0</v>
      </c>
      <c r="I762" t="n">
        <v>0</v>
      </c>
      <c r="J762" t="n">
        <v>0</v>
      </c>
      <c r="K762" t="n">
        <v>0</v>
      </c>
      <c r="L762" t="n">
        <v>0</v>
      </c>
      <c r="M762" t="n">
        <v>0</v>
      </c>
      <c r="N762" t="n">
        <v>0</v>
      </c>
      <c r="O762" t="n">
        <v>0</v>
      </c>
      <c r="P762" t="n">
        <v>0</v>
      </c>
      <c r="Q762" t="n">
        <v>0</v>
      </c>
      <c r="R762" s="2" t="inlineStr"/>
    </row>
    <row r="763" ht="15" customHeight="1">
      <c r="A763" t="inlineStr">
        <is>
          <t>A 15453-2019</t>
        </is>
      </c>
      <c r="B763" s="1" t="n">
        <v>43539</v>
      </c>
      <c r="C763" s="1" t="n">
        <v>45186</v>
      </c>
      <c r="D763" t="inlineStr">
        <is>
          <t>STOCKHOLMS LÄN</t>
        </is>
      </c>
      <c r="E763" t="inlineStr">
        <is>
          <t>NORRTÄLJE</t>
        </is>
      </c>
      <c r="G763" t="n">
        <v>0.3</v>
      </c>
      <c r="H763" t="n">
        <v>0</v>
      </c>
      <c r="I763" t="n">
        <v>0</v>
      </c>
      <c r="J763" t="n">
        <v>0</v>
      </c>
      <c r="K763" t="n">
        <v>0</v>
      </c>
      <c r="L763" t="n">
        <v>0</v>
      </c>
      <c r="M763" t="n">
        <v>0</v>
      </c>
      <c r="N763" t="n">
        <v>0</v>
      </c>
      <c r="O763" t="n">
        <v>0</v>
      </c>
      <c r="P763" t="n">
        <v>0</v>
      </c>
      <c r="Q763" t="n">
        <v>0</v>
      </c>
      <c r="R763" s="2" t="inlineStr"/>
    </row>
    <row r="764" ht="15" customHeight="1">
      <c r="A764" t="inlineStr">
        <is>
          <t>A 14804-2019</t>
        </is>
      </c>
      <c r="B764" s="1" t="n">
        <v>43539</v>
      </c>
      <c r="C764" s="1" t="n">
        <v>45186</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14849-2019</t>
        </is>
      </c>
      <c r="B765" s="1" t="n">
        <v>43539</v>
      </c>
      <c r="C765" s="1" t="n">
        <v>45186</v>
      </c>
      <c r="D765" t="inlineStr">
        <is>
          <t>STOCKHOLMS LÄN</t>
        </is>
      </c>
      <c r="E765" t="inlineStr">
        <is>
          <t>NORRTÄLJE</t>
        </is>
      </c>
      <c r="F765" t="inlineStr">
        <is>
          <t>Kommuner</t>
        </is>
      </c>
      <c r="G765" t="n">
        <v>0.9</v>
      </c>
      <c r="H765" t="n">
        <v>0</v>
      </c>
      <c r="I765" t="n">
        <v>0</v>
      </c>
      <c r="J765" t="n">
        <v>0</v>
      </c>
      <c r="K765" t="n">
        <v>0</v>
      </c>
      <c r="L765" t="n">
        <v>0</v>
      </c>
      <c r="M765" t="n">
        <v>0</v>
      </c>
      <c r="N765" t="n">
        <v>0</v>
      </c>
      <c r="O765" t="n">
        <v>0</v>
      </c>
      <c r="P765" t="n">
        <v>0</v>
      </c>
      <c r="Q765" t="n">
        <v>0</v>
      </c>
      <c r="R765" s="2" t="inlineStr"/>
    </row>
    <row r="766" ht="15" customHeight="1">
      <c r="A766" t="inlineStr">
        <is>
          <t>A 15098-2019</t>
        </is>
      </c>
      <c r="B766" s="1" t="n">
        <v>43539</v>
      </c>
      <c r="C766" s="1" t="n">
        <v>45186</v>
      </c>
      <c r="D766" t="inlineStr">
        <is>
          <t>STOCKHOLMS LÄN</t>
        </is>
      </c>
      <c r="E766" t="inlineStr">
        <is>
          <t>NORRTÄLJE</t>
        </is>
      </c>
      <c r="F766" t="inlineStr">
        <is>
          <t>Kommuner</t>
        </is>
      </c>
      <c r="G766" t="n">
        <v>1.6</v>
      </c>
      <c r="H766" t="n">
        <v>0</v>
      </c>
      <c r="I766" t="n">
        <v>0</v>
      </c>
      <c r="J766" t="n">
        <v>0</v>
      </c>
      <c r="K766" t="n">
        <v>0</v>
      </c>
      <c r="L766" t="n">
        <v>0</v>
      </c>
      <c r="M766" t="n">
        <v>0</v>
      </c>
      <c r="N766" t="n">
        <v>0</v>
      </c>
      <c r="O766" t="n">
        <v>0</v>
      </c>
      <c r="P766" t="n">
        <v>0</v>
      </c>
      <c r="Q766" t="n">
        <v>0</v>
      </c>
      <c r="R766" s="2" t="inlineStr"/>
    </row>
    <row r="767" ht="15" customHeight="1">
      <c r="A767" t="inlineStr">
        <is>
          <t>A 14823-2019</t>
        </is>
      </c>
      <c r="B767" s="1" t="n">
        <v>43539</v>
      </c>
      <c r="C767" s="1" t="n">
        <v>45186</v>
      </c>
      <c r="D767" t="inlineStr">
        <is>
          <t>STOCKHOLMS LÄN</t>
        </is>
      </c>
      <c r="E767" t="inlineStr">
        <is>
          <t>SIGTUNA</t>
        </is>
      </c>
      <c r="G767" t="n">
        <v>1</v>
      </c>
      <c r="H767" t="n">
        <v>0</v>
      </c>
      <c r="I767" t="n">
        <v>0</v>
      </c>
      <c r="J767" t="n">
        <v>0</v>
      </c>
      <c r="K767" t="n">
        <v>0</v>
      </c>
      <c r="L767" t="n">
        <v>0</v>
      </c>
      <c r="M767" t="n">
        <v>0</v>
      </c>
      <c r="N767" t="n">
        <v>0</v>
      </c>
      <c r="O767" t="n">
        <v>0</v>
      </c>
      <c r="P767" t="n">
        <v>0</v>
      </c>
      <c r="Q767" t="n">
        <v>0</v>
      </c>
      <c r="R767" s="2" t="inlineStr"/>
    </row>
    <row r="768" ht="15" customHeight="1">
      <c r="A768" t="inlineStr">
        <is>
          <t>A 15237-2019</t>
        </is>
      </c>
      <c r="B768" s="1" t="n">
        <v>43539</v>
      </c>
      <c r="C768" s="1" t="n">
        <v>45186</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15541-2019</t>
        </is>
      </c>
      <c r="B769" s="1" t="n">
        <v>43542</v>
      </c>
      <c r="C769" s="1" t="n">
        <v>45186</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15475-2019</t>
        </is>
      </c>
      <c r="B770" s="1" t="n">
        <v>43542</v>
      </c>
      <c r="C770" s="1" t="n">
        <v>45186</v>
      </c>
      <c r="D770" t="inlineStr">
        <is>
          <t>STOCKHOLMS LÄN</t>
        </is>
      </c>
      <c r="E770" t="inlineStr">
        <is>
          <t>SÖDERTÄLJE</t>
        </is>
      </c>
      <c r="F770" t="inlineStr">
        <is>
          <t>Kyrkan</t>
        </is>
      </c>
      <c r="G770" t="n">
        <v>4.2</v>
      </c>
      <c r="H770" t="n">
        <v>0</v>
      </c>
      <c r="I770" t="n">
        <v>0</v>
      </c>
      <c r="J770" t="n">
        <v>0</v>
      </c>
      <c r="K770" t="n">
        <v>0</v>
      </c>
      <c r="L770" t="n">
        <v>0</v>
      </c>
      <c r="M770" t="n">
        <v>0</v>
      </c>
      <c r="N770" t="n">
        <v>0</v>
      </c>
      <c r="O770" t="n">
        <v>0</v>
      </c>
      <c r="P770" t="n">
        <v>0</v>
      </c>
      <c r="Q770" t="n">
        <v>0</v>
      </c>
      <c r="R770" s="2" t="inlineStr"/>
    </row>
    <row r="771" ht="15" customHeight="1">
      <c r="A771" t="inlineStr">
        <is>
          <t>A 15500-2019</t>
        </is>
      </c>
      <c r="B771" s="1" t="n">
        <v>43542</v>
      </c>
      <c r="C771" s="1" t="n">
        <v>45186</v>
      </c>
      <c r="D771" t="inlineStr">
        <is>
          <t>STOCKHOLMS LÄN</t>
        </is>
      </c>
      <c r="E771" t="inlineStr">
        <is>
          <t>NORRTÄLJE</t>
        </is>
      </c>
      <c r="G771" t="n">
        <v>0.9</v>
      </c>
      <c r="H771" t="n">
        <v>0</v>
      </c>
      <c r="I771" t="n">
        <v>0</v>
      </c>
      <c r="J771" t="n">
        <v>0</v>
      </c>
      <c r="K771" t="n">
        <v>0</v>
      </c>
      <c r="L771" t="n">
        <v>0</v>
      </c>
      <c r="M771" t="n">
        <v>0</v>
      </c>
      <c r="N771" t="n">
        <v>0</v>
      </c>
      <c r="O771" t="n">
        <v>0</v>
      </c>
      <c r="P771" t="n">
        <v>0</v>
      </c>
      <c r="Q771" t="n">
        <v>0</v>
      </c>
      <c r="R771" s="2" t="inlineStr"/>
    </row>
    <row r="772" ht="15" customHeight="1">
      <c r="A772" t="inlineStr">
        <is>
          <t>A 15673-2019</t>
        </is>
      </c>
      <c r="B772" s="1" t="n">
        <v>43543</v>
      </c>
      <c r="C772" s="1" t="n">
        <v>45186</v>
      </c>
      <c r="D772" t="inlineStr">
        <is>
          <t>STOCKHOLMS LÄN</t>
        </is>
      </c>
      <c r="E772" t="inlineStr">
        <is>
          <t>NORRTÄLJE</t>
        </is>
      </c>
      <c r="G772" t="n">
        <v>1</v>
      </c>
      <c r="H772" t="n">
        <v>0</v>
      </c>
      <c r="I772" t="n">
        <v>0</v>
      </c>
      <c r="J772" t="n">
        <v>0</v>
      </c>
      <c r="K772" t="n">
        <v>0</v>
      </c>
      <c r="L772" t="n">
        <v>0</v>
      </c>
      <c r="M772" t="n">
        <v>0</v>
      </c>
      <c r="N772" t="n">
        <v>0</v>
      </c>
      <c r="O772" t="n">
        <v>0</v>
      </c>
      <c r="P772" t="n">
        <v>0</v>
      </c>
      <c r="Q772" t="n">
        <v>0</v>
      </c>
      <c r="R772" s="2" t="inlineStr"/>
    </row>
    <row r="773" ht="15" customHeight="1">
      <c r="A773" t="inlineStr">
        <is>
          <t>A 15727-2019</t>
        </is>
      </c>
      <c r="B773" s="1" t="n">
        <v>43543</v>
      </c>
      <c r="C773" s="1" t="n">
        <v>45186</v>
      </c>
      <c r="D773" t="inlineStr">
        <is>
          <t>STOCKHOLMS LÄN</t>
        </is>
      </c>
      <c r="E773" t="inlineStr">
        <is>
          <t>NORRTÄLJE</t>
        </is>
      </c>
      <c r="G773" t="n">
        <v>7.6</v>
      </c>
      <c r="H773" t="n">
        <v>0</v>
      </c>
      <c r="I773" t="n">
        <v>0</v>
      </c>
      <c r="J773" t="n">
        <v>0</v>
      </c>
      <c r="K773" t="n">
        <v>0</v>
      </c>
      <c r="L773" t="n">
        <v>0</v>
      </c>
      <c r="M773" t="n">
        <v>0</v>
      </c>
      <c r="N773" t="n">
        <v>0</v>
      </c>
      <c r="O773" t="n">
        <v>0</v>
      </c>
      <c r="P773" t="n">
        <v>0</v>
      </c>
      <c r="Q773" t="n">
        <v>0</v>
      </c>
      <c r="R773" s="2" t="inlineStr"/>
    </row>
    <row r="774" ht="15" customHeight="1">
      <c r="A774" t="inlineStr">
        <is>
          <t>A 15710-2019</t>
        </is>
      </c>
      <c r="B774" s="1" t="n">
        <v>43543</v>
      </c>
      <c r="C774" s="1" t="n">
        <v>45186</v>
      </c>
      <c r="D774" t="inlineStr">
        <is>
          <t>STOCKHOLMS LÄN</t>
        </is>
      </c>
      <c r="E774" t="inlineStr">
        <is>
          <t>NORRTÄLJE</t>
        </is>
      </c>
      <c r="G774" t="n">
        <v>15.8</v>
      </c>
      <c r="H774" t="n">
        <v>0</v>
      </c>
      <c r="I774" t="n">
        <v>0</v>
      </c>
      <c r="J774" t="n">
        <v>0</v>
      </c>
      <c r="K774" t="n">
        <v>0</v>
      </c>
      <c r="L774" t="n">
        <v>0</v>
      </c>
      <c r="M774" t="n">
        <v>0</v>
      </c>
      <c r="N774" t="n">
        <v>0</v>
      </c>
      <c r="O774" t="n">
        <v>0</v>
      </c>
      <c r="P774" t="n">
        <v>0</v>
      </c>
      <c r="Q774" t="n">
        <v>0</v>
      </c>
      <c r="R774" s="2" t="inlineStr"/>
    </row>
    <row r="775" ht="15" customHeight="1">
      <c r="A775" t="inlineStr">
        <is>
          <t>A 15728-2019</t>
        </is>
      </c>
      <c r="B775" s="1" t="n">
        <v>43543</v>
      </c>
      <c r="C775" s="1" t="n">
        <v>45186</v>
      </c>
      <c r="D775" t="inlineStr">
        <is>
          <t>STOCKHOLMS LÄN</t>
        </is>
      </c>
      <c r="E775" t="inlineStr">
        <is>
          <t>NORRTÄLJE</t>
        </is>
      </c>
      <c r="G775" t="n">
        <v>6.9</v>
      </c>
      <c r="H775" t="n">
        <v>0</v>
      </c>
      <c r="I775" t="n">
        <v>0</v>
      </c>
      <c r="J775" t="n">
        <v>0</v>
      </c>
      <c r="K775" t="n">
        <v>0</v>
      </c>
      <c r="L775" t="n">
        <v>0</v>
      </c>
      <c r="M775" t="n">
        <v>0</v>
      </c>
      <c r="N775" t="n">
        <v>0</v>
      </c>
      <c r="O775" t="n">
        <v>0</v>
      </c>
      <c r="P775" t="n">
        <v>0</v>
      </c>
      <c r="Q775" t="n">
        <v>0</v>
      </c>
      <c r="R775" s="2" t="inlineStr"/>
    </row>
    <row r="776" ht="15" customHeight="1">
      <c r="A776" t="inlineStr">
        <is>
          <t>A 15702-2019</t>
        </is>
      </c>
      <c r="B776" s="1" t="n">
        <v>43543</v>
      </c>
      <c r="C776" s="1" t="n">
        <v>45186</v>
      </c>
      <c r="D776" t="inlineStr">
        <is>
          <t>STOCKHOLMS LÄN</t>
        </is>
      </c>
      <c r="E776" t="inlineStr">
        <is>
          <t>NORRTÄLJE</t>
        </is>
      </c>
      <c r="G776" t="n">
        <v>21.3</v>
      </c>
      <c r="H776" t="n">
        <v>0</v>
      </c>
      <c r="I776" t="n">
        <v>0</v>
      </c>
      <c r="J776" t="n">
        <v>0</v>
      </c>
      <c r="K776" t="n">
        <v>0</v>
      </c>
      <c r="L776" t="n">
        <v>0</v>
      </c>
      <c r="M776" t="n">
        <v>0</v>
      </c>
      <c r="N776" t="n">
        <v>0</v>
      </c>
      <c r="O776" t="n">
        <v>0</v>
      </c>
      <c r="P776" t="n">
        <v>0</v>
      </c>
      <c r="Q776" t="n">
        <v>0</v>
      </c>
      <c r="R776" s="2" t="inlineStr"/>
    </row>
    <row r="777" ht="15" customHeight="1">
      <c r="A777" t="inlineStr">
        <is>
          <t>A 15736-2019</t>
        </is>
      </c>
      <c r="B777" s="1" t="n">
        <v>43543</v>
      </c>
      <c r="C777" s="1" t="n">
        <v>45186</v>
      </c>
      <c r="D777" t="inlineStr">
        <is>
          <t>STOCKHOLMS LÄN</t>
        </is>
      </c>
      <c r="E777" t="inlineStr">
        <is>
          <t>NORRTÄLJE</t>
        </is>
      </c>
      <c r="G777" t="n">
        <v>6.2</v>
      </c>
      <c r="H777" t="n">
        <v>0</v>
      </c>
      <c r="I777" t="n">
        <v>0</v>
      </c>
      <c r="J777" t="n">
        <v>0</v>
      </c>
      <c r="K777" t="n">
        <v>0</v>
      </c>
      <c r="L777" t="n">
        <v>0</v>
      </c>
      <c r="M777" t="n">
        <v>0</v>
      </c>
      <c r="N777" t="n">
        <v>0</v>
      </c>
      <c r="O777" t="n">
        <v>0</v>
      </c>
      <c r="P777" t="n">
        <v>0</v>
      </c>
      <c r="Q777" t="n">
        <v>0</v>
      </c>
      <c r="R777" s="2" t="inlineStr"/>
    </row>
    <row r="778" ht="15" customHeight="1">
      <c r="A778" t="inlineStr">
        <is>
          <t>A 15979-2019</t>
        </is>
      </c>
      <c r="B778" s="1" t="n">
        <v>43544</v>
      </c>
      <c r="C778" s="1" t="n">
        <v>45186</v>
      </c>
      <c r="D778" t="inlineStr">
        <is>
          <t>STOCKHOLMS LÄN</t>
        </is>
      </c>
      <c r="E778" t="inlineStr">
        <is>
          <t>VÄRMDÖ</t>
        </is>
      </c>
      <c r="G778" t="n">
        <v>1.3</v>
      </c>
      <c r="H778" t="n">
        <v>0</v>
      </c>
      <c r="I778" t="n">
        <v>0</v>
      </c>
      <c r="J778" t="n">
        <v>0</v>
      </c>
      <c r="K778" t="n">
        <v>0</v>
      </c>
      <c r="L778" t="n">
        <v>0</v>
      </c>
      <c r="M778" t="n">
        <v>0</v>
      </c>
      <c r="N778" t="n">
        <v>0</v>
      </c>
      <c r="O778" t="n">
        <v>0</v>
      </c>
      <c r="P778" t="n">
        <v>0</v>
      </c>
      <c r="Q778" t="n">
        <v>0</v>
      </c>
      <c r="R778" s="2" t="inlineStr"/>
    </row>
    <row r="779" ht="15" customHeight="1">
      <c r="A779" t="inlineStr">
        <is>
          <t>A 16186-2019</t>
        </is>
      </c>
      <c r="B779" s="1" t="n">
        <v>43545</v>
      </c>
      <c r="C779" s="1" t="n">
        <v>45186</v>
      </c>
      <c r="D779" t="inlineStr">
        <is>
          <t>STOCKHOLMS LÄN</t>
        </is>
      </c>
      <c r="E779" t="inlineStr">
        <is>
          <t>NORRTÄLJE</t>
        </is>
      </c>
      <c r="G779" t="n">
        <v>5.7</v>
      </c>
      <c r="H779" t="n">
        <v>0</v>
      </c>
      <c r="I779" t="n">
        <v>0</v>
      </c>
      <c r="J779" t="n">
        <v>0</v>
      </c>
      <c r="K779" t="n">
        <v>0</v>
      </c>
      <c r="L779" t="n">
        <v>0</v>
      </c>
      <c r="M779" t="n">
        <v>0</v>
      </c>
      <c r="N779" t="n">
        <v>0</v>
      </c>
      <c r="O779" t="n">
        <v>0</v>
      </c>
      <c r="P779" t="n">
        <v>0</v>
      </c>
      <c r="Q779" t="n">
        <v>0</v>
      </c>
      <c r="R779" s="2" t="inlineStr"/>
    </row>
    <row r="780" ht="15" customHeight="1">
      <c r="A780" t="inlineStr">
        <is>
          <t>A 16211-2019</t>
        </is>
      </c>
      <c r="B780" s="1" t="n">
        <v>43545</v>
      </c>
      <c r="C780" s="1" t="n">
        <v>45186</v>
      </c>
      <c r="D780" t="inlineStr">
        <is>
          <t>STOCKHOLMS LÄN</t>
        </is>
      </c>
      <c r="E780" t="inlineStr">
        <is>
          <t>NORRTÄLJE</t>
        </is>
      </c>
      <c r="G780" t="n">
        <v>14.2</v>
      </c>
      <c r="H780" t="n">
        <v>0</v>
      </c>
      <c r="I780" t="n">
        <v>0</v>
      </c>
      <c r="J780" t="n">
        <v>0</v>
      </c>
      <c r="K780" t="n">
        <v>0</v>
      </c>
      <c r="L780" t="n">
        <v>0</v>
      </c>
      <c r="M780" t="n">
        <v>0</v>
      </c>
      <c r="N780" t="n">
        <v>0</v>
      </c>
      <c r="O780" t="n">
        <v>0</v>
      </c>
      <c r="P780" t="n">
        <v>0</v>
      </c>
      <c r="Q780" t="n">
        <v>0</v>
      </c>
      <c r="R780" s="2" t="inlineStr"/>
    </row>
    <row r="781" ht="15" customHeight="1">
      <c r="A781" t="inlineStr">
        <is>
          <t>A 16318-2019</t>
        </is>
      </c>
      <c r="B781" s="1" t="n">
        <v>43545</v>
      </c>
      <c r="C781" s="1" t="n">
        <v>45186</v>
      </c>
      <c r="D781" t="inlineStr">
        <is>
          <t>STOCKHOLMS LÄN</t>
        </is>
      </c>
      <c r="E781" t="inlineStr">
        <is>
          <t>NORRTÄLJE</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16258-2019</t>
        </is>
      </c>
      <c r="B782" s="1" t="n">
        <v>43545</v>
      </c>
      <c r="C782" s="1" t="n">
        <v>45186</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16533-2019</t>
        </is>
      </c>
      <c r="B783" s="1" t="n">
        <v>43546</v>
      </c>
      <c r="C783" s="1" t="n">
        <v>45186</v>
      </c>
      <c r="D783" t="inlineStr">
        <is>
          <t>STOCKHOLMS LÄN</t>
        </is>
      </c>
      <c r="E783" t="inlineStr">
        <is>
          <t>NORRTÄLJE</t>
        </is>
      </c>
      <c r="G783" t="n">
        <v>0.8</v>
      </c>
      <c r="H783" t="n">
        <v>0</v>
      </c>
      <c r="I783" t="n">
        <v>0</v>
      </c>
      <c r="J783" t="n">
        <v>0</v>
      </c>
      <c r="K783" t="n">
        <v>0</v>
      </c>
      <c r="L783" t="n">
        <v>0</v>
      </c>
      <c r="M783" t="n">
        <v>0</v>
      </c>
      <c r="N783" t="n">
        <v>0</v>
      </c>
      <c r="O783" t="n">
        <v>0</v>
      </c>
      <c r="P783" t="n">
        <v>0</v>
      </c>
      <c r="Q783" t="n">
        <v>0</v>
      </c>
      <c r="R783" s="2" t="inlineStr"/>
    </row>
    <row r="784" ht="15" customHeight="1">
      <c r="A784" t="inlineStr">
        <is>
          <t>A 16575-2019</t>
        </is>
      </c>
      <c r="B784" s="1" t="n">
        <v>43547</v>
      </c>
      <c r="C784" s="1" t="n">
        <v>45186</v>
      </c>
      <c r="D784" t="inlineStr">
        <is>
          <t>STOCKHOLMS LÄN</t>
        </is>
      </c>
      <c r="E784" t="inlineStr">
        <is>
          <t>NORRTÄLJE</t>
        </is>
      </c>
      <c r="G784" t="n">
        <v>2.8</v>
      </c>
      <c r="H784" t="n">
        <v>0</v>
      </c>
      <c r="I784" t="n">
        <v>0</v>
      </c>
      <c r="J784" t="n">
        <v>0</v>
      </c>
      <c r="K784" t="n">
        <v>0</v>
      </c>
      <c r="L784" t="n">
        <v>0</v>
      </c>
      <c r="M784" t="n">
        <v>0</v>
      </c>
      <c r="N784" t="n">
        <v>0</v>
      </c>
      <c r="O784" t="n">
        <v>0</v>
      </c>
      <c r="P784" t="n">
        <v>0</v>
      </c>
      <c r="Q784" t="n">
        <v>0</v>
      </c>
      <c r="R784" s="2" t="inlineStr"/>
    </row>
    <row r="785" ht="15" customHeight="1">
      <c r="A785" t="inlineStr">
        <is>
          <t>A 16581-2019</t>
        </is>
      </c>
      <c r="B785" s="1" t="n">
        <v>43548</v>
      </c>
      <c r="C785" s="1" t="n">
        <v>45186</v>
      </c>
      <c r="D785" t="inlineStr">
        <is>
          <t>STOCKHOLMS LÄN</t>
        </is>
      </c>
      <c r="E785" t="inlineStr">
        <is>
          <t>NORRTÄLJE</t>
        </is>
      </c>
      <c r="G785" t="n">
        <v>4.3</v>
      </c>
      <c r="H785" t="n">
        <v>0</v>
      </c>
      <c r="I785" t="n">
        <v>0</v>
      </c>
      <c r="J785" t="n">
        <v>0</v>
      </c>
      <c r="K785" t="n">
        <v>0</v>
      </c>
      <c r="L785" t="n">
        <v>0</v>
      </c>
      <c r="M785" t="n">
        <v>0</v>
      </c>
      <c r="N785" t="n">
        <v>0</v>
      </c>
      <c r="O785" t="n">
        <v>0</v>
      </c>
      <c r="P785" t="n">
        <v>0</v>
      </c>
      <c r="Q785" t="n">
        <v>0</v>
      </c>
      <c r="R785" s="2" t="inlineStr"/>
    </row>
    <row r="786" ht="15" customHeight="1">
      <c r="A786" t="inlineStr">
        <is>
          <t>A 16579-2019</t>
        </is>
      </c>
      <c r="B786" s="1" t="n">
        <v>43548</v>
      </c>
      <c r="C786" s="1" t="n">
        <v>45186</v>
      </c>
      <c r="D786" t="inlineStr">
        <is>
          <t>STOCKHOLMS LÄN</t>
        </is>
      </c>
      <c r="E786" t="inlineStr">
        <is>
          <t>NORRTÄLJE</t>
        </is>
      </c>
      <c r="G786" t="n">
        <v>5.9</v>
      </c>
      <c r="H786" t="n">
        <v>0</v>
      </c>
      <c r="I786" t="n">
        <v>0</v>
      </c>
      <c r="J786" t="n">
        <v>0</v>
      </c>
      <c r="K786" t="n">
        <v>0</v>
      </c>
      <c r="L786" t="n">
        <v>0</v>
      </c>
      <c r="M786" t="n">
        <v>0</v>
      </c>
      <c r="N786" t="n">
        <v>0</v>
      </c>
      <c r="O786" t="n">
        <v>0</v>
      </c>
      <c r="P786" t="n">
        <v>0</v>
      </c>
      <c r="Q786" t="n">
        <v>0</v>
      </c>
      <c r="R786" s="2" t="inlineStr"/>
    </row>
    <row r="787" ht="15" customHeight="1">
      <c r="A787" t="inlineStr">
        <is>
          <t>A 16584-2019</t>
        </is>
      </c>
      <c r="B787" s="1" t="n">
        <v>43548</v>
      </c>
      <c r="C787" s="1" t="n">
        <v>45186</v>
      </c>
      <c r="D787" t="inlineStr">
        <is>
          <t>STOCKHOLMS LÄN</t>
        </is>
      </c>
      <c r="E787" t="inlineStr">
        <is>
          <t>NORRTÄLJE</t>
        </is>
      </c>
      <c r="G787" t="n">
        <v>1.1</v>
      </c>
      <c r="H787" t="n">
        <v>0</v>
      </c>
      <c r="I787" t="n">
        <v>0</v>
      </c>
      <c r="J787" t="n">
        <v>0</v>
      </c>
      <c r="K787" t="n">
        <v>0</v>
      </c>
      <c r="L787" t="n">
        <v>0</v>
      </c>
      <c r="M787" t="n">
        <v>0</v>
      </c>
      <c r="N787" t="n">
        <v>0</v>
      </c>
      <c r="O787" t="n">
        <v>0</v>
      </c>
      <c r="P787" t="n">
        <v>0</v>
      </c>
      <c r="Q787" t="n">
        <v>0</v>
      </c>
      <c r="R787" s="2" t="inlineStr"/>
    </row>
    <row r="788" ht="15" customHeight="1">
      <c r="A788" t="inlineStr">
        <is>
          <t>A 16815-2019</t>
        </is>
      </c>
      <c r="B788" s="1" t="n">
        <v>43549</v>
      </c>
      <c r="C788" s="1" t="n">
        <v>45186</v>
      </c>
      <c r="D788" t="inlineStr">
        <is>
          <t>STOCKHOLMS LÄN</t>
        </is>
      </c>
      <c r="E788" t="inlineStr">
        <is>
          <t>UPPLANDS-BRO</t>
        </is>
      </c>
      <c r="G788" t="n">
        <v>2.1</v>
      </c>
      <c r="H788" t="n">
        <v>0</v>
      </c>
      <c r="I788" t="n">
        <v>0</v>
      </c>
      <c r="J788" t="n">
        <v>0</v>
      </c>
      <c r="K788" t="n">
        <v>0</v>
      </c>
      <c r="L788" t="n">
        <v>0</v>
      </c>
      <c r="M788" t="n">
        <v>0</v>
      </c>
      <c r="N788" t="n">
        <v>0</v>
      </c>
      <c r="O788" t="n">
        <v>0</v>
      </c>
      <c r="P788" t="n">
        <v>0</v>
      </c>
      <c r="Q788" t="n">
        <v>0</v>
      </c>
      <c r="R788" s="2" t="inlineStr"/>
    </row>
    <row r="789" ht="15" customHeight="1">
      <c r="A789" t="inlineStr">
        <is>
          <t>A 17233-2019</t>
        </is>
      </c>
      <c r="B789" s="1" t="n">
        <v>43550</v>
      </c>
      <c r="C789" s="1" t="n">
        <v>45186</v>
      </c>
      <c r="D789" t="inlineStr">
        <is>
          <t>STOCKHOLMS LÄN</t>
        </is>
      </c>
      <c r="E789" t="inlineStr">
        <is>
          <t>NORRTÄLJE</t>
        </is>
      </c>
      <c r="F789" t="inlineStr">
        <is>
          <t>Kyrkan</t>
        </is>
      </c>
      <c r="G789" t="n">
        <v>1.4</v>
      </c>
      <c r="H789" t="n">
        <v>0</v>
      </c>
      <c r="I789" t="n">
        <v>0</v>
      </c>
      <c r="J789" t="n">
        <v>0</v>
      </c>
      <c r="K789" t="n">
        <v>0</v>
      </c>
      <c r="L789" t="n">
        <v>0</v>
      </c>
      <c r="M789" t="n">
        <v>0</v>
      </c>
      <c r="N789" t="n">
        <v>0</v>
      </c>
      <c r="O789" t="n">
        <v>0</v>
      </c>
      <c r="P789" t="n">
        <v>0</v>
      </c>
      <c r="Q789" t="n">
        <v>0</v>
      </c>
      <c r="R789" s="2" t="inlineStr"/>
    </row>
    <row r="790" ht="15" customHeight="1">
      <c r="A790" t="inlineStr">
        <is>
          <t>A 16881-2019</t>
        </is>
      </c>
      <c r="B790" s="1" t="n">
        <v>43550</v>
      </c>
      <c r="C790" s="1" t="n">
        <v>45186</v>
      </c>
      <c r="D790" t="inlineStr">
        <is>
          <t>STOCKHOLMS LÄN</t>
        </is>
      </c>
      <c r="E790" t="inlineStr">
        <is>
          <t>NORRTÄLJE</t>
        </is>
      </c>
      <c r="F790" t="inlineStr">
        <is>
          <t>Övriga Aktiebolag</t>
        </is>
      </c>
      <c r="G790" t="n">
        <v>6.3</v>
      </c>
      <c r="H790" t="n">
        <v>0</v>
      </c>
      <c r="I790" t="n">
        <v>0</v>
      </c>
      <c r="J790" t="n">
        <v>0</v>
      </c>
      <c r="K790" t="n">
        <v>0</v>
      </c>
      <c r="L790" t="n">
        <v>0</v>
      </c>
      <c r="M790" t="n">
        <v>0</v>
      </c>
      <c r="N790" t="n">
        <v>0</v>
      </c>
      <c r="O790" t="n">
        <v>0</v>
      </c>
      <c r="P790" t="n">
        <v>0</v>
      </c>
      <c r="Q790" t="n">
        <v>0</v>
      </c>
      <c r="R790" s="2" t="inlineStr"/>
    </row>
    <row r="791" ht="15" customHeight="1">
      <c r="A791" t="inlineStr">
        <is>
          <t>A 16918-2019</t>
        </is>
      </c>
      <c r="B791" s="1" t="n">
        <v>43550</v>
      </c>
      <c r="C791" s="1" t="n">
        <v>45186</v>
      </c>
      <c r="D791" t="inlineStr">
        <is>
          <t>STOCKHOLMS LÄN</t>
        </is>
      </c>
      <c r="E791" t="inlineStr">
        <is>
          <t>NORRTÄLJE</t>
        </is>
      </c>
      <c r="F791" t="inlineStr">
        <is>
          <t>Kommuner</t>
        </is>
      </c>
      <c r="G791" t="n">
        <v>1</v>
      </c>
      <c r="H791" t="n">
        <v>0</v>
      </c>
      <c r="I791" t="n">
        <v>0</v>
      </c>
      <c r="J791" t="n">
        <v>0</v>
      </c>
      <c r="K791" t="n">
        <v>0</v>
      </c>
      <c r="L791" t="n">
        <v>0</v>
      </c>
      <c r="M791" t="n">
        <v>0</v>
      </c>
      <c r="N791" t="n">
        <v>0</v>
      </c>
      <c r="O791" t="n">
        <v>0</v>
      </c>
      <c r="P791" t="n">
        <v>0</v>
      </c>
      <c r="Q791" t="n">
        <v>0</v>
      </c>
      <c r="R791" s="2" t="inlineStr"/>
    </row>
    <row r="792" ht="15" customHeight="1">
      <c r="A792" t="inlineStr">
        <is>
          <t>A 16984-2019</t>
        </is>
      </c>
      <c r="B792" s="1" t="n">
        <v>43550</v>
      </c>
      <c r="C792" s="1" t="n">
        <v>45186</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17060-2019</t>
        </is>
      </c>
      <c r="B793" s="1" t="n">
        <v>43551</v>
      </c>
      <c r="C793" s="1" t="n">
        <v>45186</v>
      </c>
      <c r="D793" t="inlineStr">
        <is>
          <t>STOCKHOLMS LÄN</t>
        </is>
      </c>
      <c r="E793" t="inlineStr">
        <is>
          <t>NORRTÄLJE</t>
        </is>
      </c>
      <c r="F793" t="inlineStr">
        <is>
          <t>Kommuner</t>
        </is>
      </c>
      <c r="G793" t="n">
        <v>1.5</v>
      </c>
      <c r="H793" t="n">
        <v>0</v>
      </c>
      <c r="I793" t="n">
        <v>0</v>
      </c>
      <c r="J793" t="n">
        <v>0</v>
      </c>
      <c r="K793" t="n">
        <v>0</v>
      </c>
      <c r="L793" t="n">
        <v>0</v>
      </c>
      <c r="M793" t="n">
        <v>0</v>
      </c>
      <c r="N793" t="n">
        <v>0</v>
      </c>
      <c r="O793" t="n">
        <v>0</v>
      </c>
      <c r="P793" t="n">
        <v>0</v>
      </c>
      <c r="Q793" t="n">
        <v>0</v>
      </c>
      <c r="R793" s="2" t="inlineStr"/>
    </row>
    <row r="794" ht="15" customHeight="1">
      <c r="A794" t="inlineStr">
        <is>
          <t>A 17149-2019</t>
        </is>
      </c>
      <c r="B794" s="1" t="n">
        <v>43551</v>
      </c>
      <c r="C794" s="1" t="n">
        <v>45186</v>
      </c>
      <c r="D794" t="inlineStr">
        <is>
          <t>STOCKHOLMS LÄN</t>
        </is>
      </c>
      <c r="E794" t="inlineStr">
        <is>
          <t>NORRTÄLJE</t>
        </is>
      </c>
      <c r="G794" t="n">
        <v>1.9</v>
      </c>
      <c r="H794" t="n">
        <v>0</v>
      </c>
      <c r="I794" t="n">
        <v>0</v>
      </c>
      <c r="J794" t="n">
        <v>0</v>
      </c>
      <c r="K794" t="n">
        <v>0</v>
      </c>
      <c r="L794" t="n">
        <v>0</v>
      </c>
      <c r="M794" t="n">
        <v>0</v>
      </c>
      <c r="N794" t="n">
        <v>0</v>
      </c>
      <c r="O794" t="n">
        <v>0</v>
      </c>
      <c r="P794" t="n">
        <v>0</v>
      </c>
      <c r="Q794" t="n">
        <v>0</v>
      </c>
      <c r="R794" s="2" t="inlineStr"/>
    </row>
    <row r="795" ht="15" customHeight="1">
      <c r="A795" t="inlineStr">
        <is>
          <t>A 17061-2019</t>
        </is>
      </c>
      <c r="B795" s="1" t="n">
        <v>43551</v>
      </c>
      <c r="C795" s="1" t="n">
        <v>45186</v>
      </c>
      <c r="D795" t="inlineStr">
        <is>
          <t>STOCKHOLMS LÄN</t>
        </is>
      </c>
      <c r="E795" t="inlineStr">
        <is>
          <t>NORRTÄLJE</t>
        </is>
      </c>
      <c r="F795" t="inlineStr">
        <is>
          <t>Kommuner</t>
        </is>
      </c>
      <c r="G795" t="n">
        <v>3.7</v>
      </c>
      <c r="H795" t="n">
        <v>0</v>
      </c>
      <c r="I795" t="n">
        <v>0</v>
      </c>
      <c r="J795" t="n">
        <v>0</v>
      </c>
      <c r="K795" t="n">
        <v>0</v>
      </c>
      <c r="L795" t="n">
        <v>0</v>
      </c>
      <c r="M795" t="n">
        <v>0</v>
      </c>
      <c r="N795" t="n">
        <v>0</v>
      </c>
      <c r="O795" t="n">
        <v>0</v>
      </c>
      <c r="P795" t="n">
        <v>0</v>
      </c>
      <c r="Q795" t="n">
        <v>0</v>
      </c>
      <c r="R795" s="2" t="inlineStr"/>
    </row>
    <row r="796" ht="15" customHeight="1">
      <c r="A796" t="inlineStr">
        <is>
          <t>A 17272-2019</t>
        </is>
      </c>
      <c r="B796" s="1" t="n">
        <v>43552</v>
      </c>
      <c r="C796" s="1" t="n">
        <v>45186</v>
      </c>
      <c r="D796" t="inlineStr">
        <is>
          <t>STOCKHOLMS LÄN</t>
        </is>
      </c>
      <c r="E796" t="inlineStr">
        <is>
          <t>NORRTÄLJE</t>
        </is>
      </c>
      <c r="G796" t="n">
        <v>5.8</v>
      </c>
      <c r="H796" t="n">
        <v>0</v>
      </c>
      <c r="I796" t="n">
        <v>0</v>
      </c>
      <c r="J796" t="n">
        <v>0</v>
      </c>
      <c r="K796" t="n">
        <v>0</v>
      </c>
      <c r="L796" t="n">
        <v>0</v>
      </c>
      <c r="M796" t="n">
        <v>0</v>
      </c>
      <c r="N796" t="n">
        <v>0</v>
      </c>
      <c r="O796" t="n">
        <v>0</v>
      </c>
      <c r="P796" t="n">
        <v>0</v>
      </c>
      <c r="Q796" t="n">
        <v>0</v>
      </c>
      <c r="R796" s="2" t="inlineStr"/>
    </row>
    <row r="797" ht="15" customHeight="1">
      <c r="A797" t="inlineStr">
        <is>
          <t>A 17389-2019</t>
        </is>
      </c>
      <c r="B797" s="1" t="n">
        <v>43552</v>
      </c>
      <c r="C797" s="1" t="n">
        <v>45186</v>
      </c>
      <c r="D797" t="inlineStr">
        <is>
          <t>STOCKHOLMS LÄN</t>
        </is>
      </c>
      <c r="E797" t="inlineStr">
        <is>
          <t>NORRTÄLJE</t>
        </is>
      </c>
      <c r="G797" t="n">
        <v>2.4</v>
      </c>
      <c r="H797" t="n">
        <v>0</v>
      </c>
      <c r="I797" t="n">
        <v>0</v>
      </c>
      <c r="J797" t="n">
        <v>0</v>
      </c>
      <c r="K797" t="n">
        <v>0</v>
      </c>
      <c r="L797" t="n">
        <v>0</v>
      </c>
      <c r="M797" t="n">
        <v>0</v>
      </c>
      <c r="N797" t="n">
        <v>0</v>
      </c>
      <c r="O797" t="n">
        <v>0</v>
      </c>
      <c r="P797" t="n">
        <v>0</v>
      </c>
      <c r="Q797" t="n">
        <v>0</v>
      </c>
      <c r="R797" s="2" t="inlineStr"/>
    </row>
    <row r="798" ht="15" customHeight="1">
      <c r="A798" t="inlineStr">
        <is>
          <t>A 17297-2019</t>
        </is>
      </c>
      <c r="B798" s="1" t="n">
        <v>43552</v>
      </c>
      <c r="C798" s="1" t="n">
        <v>45186</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17390-2019</t>
        </is>
      </c>
      <c r="B799" s="1" t="n">
        <v>43552</v>
      </c>
      <c r="C799" s="1" t="n">
        <v>45186</v>
      </c>
      <c r="D799" t="inlineStr">
        <is>
          <t>STOCKHOLMS LÄN</t>
        </is>
      </c>
      <c r="E799" t="inlineStr">
        <is>
          <t>NORRTÄLJE</t>
        </is>
      </c>
      <c r="G799" t="n">
        <v>3.5</v>
      </c>
      <c r="H799" t="n">
        <v>0</v>
      </c>
      <c r="I799" t="n">
        <v>0</v>
      </c>
      <c r="J799" t="n">
        <v>0</v>
      </c>
      <c r="K799" t="n">
        <v>0</v>
      </c>
      <c r="L799" t="n">
        <v>0</v>
      </c>
      <c r="M799" t="n">
        <v>0</v>
      </c>
      <c r="N799" t="n">
        <v>0</v>
      </c>
      <c r="O799" t="n">
        <v>0</v>
      </c>
      <c r="P799" t="n">
        <v>0</v>
      </c>
      <c r="Q799" t="n">
        <v>0</v>
      </c>
      <c r="R799" s="2" t="inlineStr"/>
    </row>
    <row r="800" ht="15" customHeight="1">
      <c r="A800" t="inlineStr">
        <is>
          <t>A 17806-2019</t>
        </is>
      </c>
      <c r="B800" s="1" t="n">
        <v>43552</v>
      </c>
      <c r="C800" s="1" t="n">
        <v>45186</v>
      </c>
      <c r="D800" t="inlineStr">
        <is>
          <t>STOCKHOLMS LÄN</t>
        </is>
      </c>
      <c r="E800" t="inlineStr">
        <is>
          <t>VAXHOLM</t>
        </is>
      </c>
      <c r="F800" t="inlineStr">
        <is>
          <t>Övriga statliga verk och myndigheter</t>
        </is>
      </c>
      <c r="G800" t="n">
        <v>4.3</v>
      </c>
      <c r="H800" t="n">
        <v>0</v>
      </c>
      <c r="I800" t="n">
        <v>0</v>
      </c>
      <c r="J800" t="n">
        <v>0</v>
      </c>
      <c r="K800" t="n">
        <v>0</v>
      </c>
      <c r="L800" t="n">
        <v>0</v>
      </c>
      <c r="M800" t="n">
        <v>0</v>
      </c>
      <c r="N800" t="n">
        <v>0</v>
      </c>
      <c r="O800" t="n">
        <v>0</v>
      </c>
      <c r="P800" t="n">
        <v>0</v>
      </c>
      <c r="Q800" t="n">
        <v>0</v>
      </c>
      <c r="R800" s="2" t="inlineStr"/>
    </row>
    <row r="801" ht="15" customHeight="1">
      <c r="A801" t="inlineStr">
        <is>
          <t>A 17240-2019</t>
        </is>
      </c>
      <c r="B801" s="1" t="n">
        <v>43552</v>
      </c>
      <c r="C801" s="1" t="n">
        <v>45186</v>
      </c>
      <c r="D801" t="inlineStr">
        <is>
          <t>STOCKHOLMS LÄN</t>
        </is>
      </c>
      <c r="E801" t="inlineStr">
        <is>
          <t>NORRTÄLJE</t>
        </is>
      </c>
      <c r="G801" t="n">
        <v>1.4</v>
      </c>
      <c r="H801" t="n">
        <v>0</v>
      </c>
      <c r="I801" t="n">
        <v>0</v>
      </c>
      <c r="J801" t="n">
        <v>0</v>
      </c>
      <c r="K801" t="n">
        <v>0</v>
      </c>
      <c r="L801" t="n">
        <v>0</v>
      </c>
      <c r="M801" t="n">
        <v>0</v>
      </c>
      <c r="N801" t="n">
        <v>0</v>
      </c>
      <c r="O801" t="n">
        <v>0</v>
      </c>
      <c r="P801" t="n">
        <v>0</v>
      </c>
      <c r="Q801" t="n">
        <v>0</v>
      </c>
      <c r="R801" s="2" t="inlineStr"/>
    </row>
    <row r="802" ht="15" customHeight="1">
      <c r="A802" t="inlineStr">
        <is>
          <t>A 17292-2019</t>
        </is>
      </c>
      <c r="B802" s="1" t="n">
        <v>43552</v>
      </c>
      <c r="C802" s="1" t="n">
        <v>45186</v>
      </c>
      <c r="D802" t="inlineStr">
        <is>
          <t>STOCKHOLMS LÄN</t>
        </is>
      </c>
      <c r="E802" t="inlineStr">
        <is>
          <t>NORRTÄLJE</t>
        </is>
      </c>
      <c r="G802" t="n">
        <v>0.9</v>
      </c>
      <c r="H802" t="n">
        <v>0</v>
      </c>
      <c r="I802" t="n">
        <v>0</v>
      </c>
      <c r="J802" t="n">
        <v>0</v>
      </c>
      <c r="K802" t="n">
        <v>0</v>
      </c>
      <c r="L802" t="n">
        <v>0</v>
      </c>
      <c r="M802" t="n">
        <v>0</v>
      </c>
      <c r="N802" t="n">
        <v>0</v>
      </c>
      <c r="O802" t="n">
        <v>0</v>
      </c>
      <c r="P802" t="n">
        <v>0</v>
      </c>
      <c r="Q802" t="n">
        <v>0</v>
      </c>
      <c r="R802" s="2" t="inlineStr"/>
    </row>
    <row r="803" ht="15" customHeight="1">
      <c r="A803" t="inlineStr">
        <is>
          <t>A 17350-2019</t>
        </is>
      </c>
      <c r="B803" s="1" t="n">
        <v>43552</v>
      </c>
      <c r="C803" s="1" t="n">
        <v>45186</v>
      </c>
      <c r="D803" t="inlineStr">
        <is>
          <t>STOCKHOLMS LÄN</t>
        </is>
      </c>
      <c r="E803" t="inlineStr">
        <is>
          <t>NORRTÄLJE</t>
        </is>
      </c>
      <c r="G803" t="n">
        <v>2.1</v>
      </c>
      <c r="H803" t="n">
        <v>0</v>
      </c>
      <c r="I803" t="n">
        <v>0</v>
      </c>
      <c r="J803" t="n">
        <v>0</v>
      </c>
      <c r="K803" t="n">
        <v>0</v>
      </c>
      <c r="L803" t="n">
        <v>0</v>
      </c>
      <c r="M803" t="n">
        <v>0</v>
      </c>
      <c r="N803" t="n">
        <v>0</v>
      </c>
      <c r="O803" t="n">
        <v>0</v>
      </c>
      <c r="P803" t="n">
        <v>0</v>
      </c>
      <c r="Q803" t="n">
        <v>0</v>
      </c>
      <c r="R803" s="2" t="inlineStr"/>
    </row>
    <row r="804" ht="15" customHeight="1">
      <c r="A804" t="inlineStr">
        <is>
          <t>A 17378-2019</t>
        </is>
      </c>
      <c r="B804" s="1" t="n">
        <v>43552</v>
      </c>
      <c r="C804" s="1" t="n">
        <v>45186</v>
      </c>
      <c r="D804" t="inlineStr">
        <is>
          <t>STOCKHOLMS LÄN</t>
        </is>
      </c>
      <c r="E804" t="inlineStr">
        <is>
          <t>NORRTÄLJE</t>
        </is>
      </c>
      <c r="G804" t="n">
        <v>8.1</v>
      </c>
      <c r="H804" t="n">
        <v>0</v>
      </c>
      <c r="I804" t="n">
        <v>0</v>
      </c>
      <c r="J804" t="n">
        <v>0</v>
      </c>
      <c r="K804" t="n">
        <v>0</v>
      </c>
      <c r="L804" t="n">
        <v>0</v>
      </c>
      <c r="M804" t="n">
        <v>0</v>
      </c>
      <c r="N804" t="n">
        <v>0</v>
      </c>
      <c r="O804" t="n">
        <v>0</v>
      </c>
      <c r="P804" t="n">
        <v>0</v>
      </c>
      <c r="Q804" t="n">
        <v>0</v>
      </c>
      <c r="R804" s="2" t="inlineStr"/>
    </row>
    <row r="805" ht="15" customHeight="1">
      <c r="A805" t="inlineStr">
        <is>
          <t>A 17552-2019</t>
        </is>
      </c>
      <c r="B805" s="1" t="n">
        <v>43553</v>
      </c>
      <c r="C805" s="1" t="n">
        <v>45186</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17582-2019</t>
        </is>
      </c>
      <c r="B806" s="1" t="n">
        <v>43553</v>
      </c>
      <c r="C806" s="1" t="n">
        <v>45186</v>
      </c>
      <c r="D806" t="inlineStr">
        <is>
          <t>STOCKHOLMS LÄN</t>
        </is>
      </c>
      <c r="E806" t="inlineStr">
        <is>
          <t>NORRTÄLJE</t>
        </is>
      </c>
      <c r="G806" t="n">
        <v>1.9</v>
      </c>
      <c r="H806" t="n">
        <v>0</v>
      </c>
      <c r="I806" t="n">
        <v>0</v>
      </c>
      <c r="J806" t="n">
        <v>0</v>
      </c>
      <c r="K806" t="n">
        <v>0</v>
      </c>
      <c r="L806" t="n">
        <v>0</v>
      </c>
      <c r="M806" t="n">
        <v>0</v>
      </c>
      <c r="N806" t="n">
        <v>0</v>
      </c>
      <c r="O806" t="n">
        <v>0</v>
      </c>
      <c r="P806" t="n">
        <v>0</v>
      </c>
      <c r="Q806" t="n">
        <v>0</v>
      </c>
      <c r="R806" s="2" t="inlineStr"/>
    </row>
    <row r="807" ht="15" customHeight="1">
      <c r="A807" t="inlineStr">
        <is>
          <t>A 17480-2019</t>
        </is>
      </c>
      <c r="B807" s="1" t="n">
        <v>43553</v>
      </c>
      <c r="C807" s="1" t="n">
        <v>45186</v>
      </c>
      <c r="D807" t="inlineStr">
        <is>
          <t>STOCKHOLMS LÄN</t>
        </is>
      </c>
      <c r="E807" t="inlineStr">
        <is>
          <t>EKERÖ</t>
        </is>
      </c>
      <c r="G807" t="n">
        <v>3.9</v>
      </c>
      <c r="H807" t="n">
        <v>0</v>
      </c>
      <c r="I807" t="n">
        <v>0</v>
      </c>
      <c r="J807" t="n">
        <v>0</v>
      </c>
      <c r="K807" t="n">
        <v>0</v>
      </c>
      <c r="L807" t="n">
        <v>0</v>
      </c>
      <c r="M807" t="n">
        <v>0</v>
      </c>
      <c r="N807" t="n">
        <v>0</v>
      </c>
      <c r="O807" t="n">
        <v>0</v>
      </c>
      <c r="P807" t="n">
        <v>0</v>
      </c>
      <c r="Q807" t="n">
        <v>0</v>
      </c>
      <c r="R807" s="2" t="inlineStr"/>
    </row>
    <row r="808" ht="15" customHeight="1">
      <c r="A808" t="inlineStr">
        <is>
          <t>A 17487-2019</t>
        </is>
      </c>
      <c r="B808" s="1" t="n">
        <v>43553</v>
      </c>
      <c r="C808" s="1" t="n">
        <v>45186</v>
      </c>
      <c r="D808" t="inlineStr">
        <is>
          <t>STOCKHOLMS LÄN</t>
        </is>
      </c>
      <c r="E808" t="inlineStr">
        <is>
          <t>EKERÖ</t>
        </is>
      </c>
      <c r="G808" t="n">
        <v>0.7</v>
      </c>
      <c r="H808" t="n">
        <v>0</v>
      </c>
      <c r="I808" t="n">
        <v>0</v>
      </c>
      <c r="J808" t="n">
        <v>0</v>
      </c>
      <c r="K808" t="n">
        <v>0</v>
      </c>
      <c r="L808" t="n">
        <v>0</v>
      </c>
      <c r="M808" t="n">
        <v>0</v>
      </c>
      <c r="N808" t="n">
        <v>0</v>
      </c>
      <c r="O808" t="n">
        <v>0</v>
      </c>
      <c r="P808" t="n">
        <v>0</v>
      </c>
      <c r="Q808" t="n">
        <v>0</v>
      </c>
      <c r="R808" s="2" t="inlineStr"/>
    </row>
    <row r="809" ht="15" customHeight="1">
      <c r="A809" t="inlineStr">
        <is>
          <t>A 17757-2019</t>
        </is>
      </c>
      <c r="B809" s="1" t="n">
        <v>43556</v>
      </c>
      <c r="C809" s="1" t="n">
        <v>45186</v>
      </c>
      <c r="D809" t="inlineStr">
        <is>
          <t>STOCKHOLMS LÄN</t>
        </is>
      </c>
      <c r="E809" t="inlineStr">
        <is>
          <t>NORRTÄLJE</t>
        </is>
      </c>
      <c r="G809" t="n">
        <v>2.5</v>
      </c>
      <c r="H809" t="n">
        <v>0</v>
      </c>
      <c r="I809" t="n">
        <v>0</v>
      </c>
      <c r="J809" t="n">
        <v>0</v>
      </c>
      <c r="K809" t="n">
        <v>0</v>
      </c>
      <c r="L809" t="n">
        <v>0</v>
      </c>
      <c r="M809" t="n">
        <v>0</v>
      </c>
      <c r="N809" t="n">
        <v>0</v>
      </c>
      <c r="O809" t="n">
        <v>0</v>
      </c>
      <c r="P809" t="n">
        <v>0</v>
      </c>
      <c r="Q809" t="n">
        <v>0</v>
      </c>
      <c r="R809" s="2" t="inlineStr"/>
    </row>
    <row r="810" ht="15" customHeight="1">
      <c r="A810" t="inlineStr">
        <is>
          <t>A 17752-2019</t>
        </is>
      </c>
      <c r="B810" s="1" t="n">
        <v>43556</v>
      </c>
      <c r="C810" s="1" t="n">
        <v>45186</v>
      </c>
      <c r="D810" t="inlineStr">
        <is>
          <t>STOCKHOLMS LÄN</t>
        </is>
      </c>
      <c r="E810" t="inlineStr">
        <is>
          <t>NORRTÄLJE</t>
        </is>
      </c>
      <c r="G810" t="n">
        <v>3</v>
      </c>
      <c r="H810" t="n">
        <v>0</v>
      </c>
      <c r="I810" t="n">
        <v>0</v>
      </c>
      <c r="J810" t="n">
        <v>0</v>
      </c>
      <c r="K810" t="n">
        <v>0</v>
      </c>
      <c r="L810" t="n">
        <v>0</v>
      </c>
      <c r="M810" t="n">
        <v>0</v>
      </c>
      <c r="N810" t="n">
        <v>0</v>
      </c>
      <c r="O810" t="n">
        <v>0</v>
      </c>
      <c r="P810" t="n">
        <v>0</v>
      </c>
      <c r="Q810" t="n">
        <v>0</v>
      </c>
      <c r="R810" s="2" t="inlineStr"/>
    </row>
    <row r="811" ht="15" customHeight="1">
      <c r="A811" t="inlineStr">
        <is>
          <t>A 17795-2019</t>
        </is>
      </c>
      <c r="B811" s="1" t="n">
        <v>43556</v>
      </c>
      <c r="C811" s="1" t="n">
        <v>45186</v>
      </c>
      <c r="D811" t="inlineStr">
        <is>
          <t>STOCKHOLMS LÄN</t>
        </is>
      </c>
      <c r="E811" t="inlineStr">
        <is>
          <t>NORRTÄLJE</t>
        </is>
      </c>
      <c r="G811" t="n">
        <v>0.8</v>
      </c>
      <c r="H811" t="n">
        <v>0</v>
      </c>
      <c r="I811" t="n">
        <v>0</v>
      </c>
      <c r="J811" t="n">
        <v>0</v>
      </c>
      <c r="K811" t="n">
        <v>0</v>
      </c>
      <c r="L811" t="n">
        <v>0</v>
      </c>
      <c r="M811" t="n">
        <v>0</v>
      </c>
      <c r="N811" t="n">
        <v>0</v>
      </c>
      <c r="O811" t="n">
        <v>0</v>
      </c>
      <c r="P811" t="n">
        <v>0</v>
      </c>
      <c r="Q811" t="n">
        <v>0</v>
      </c>
      <c r="R811" s="2" t="inlineStr"/>
    </row>
    <row r="812" ht="15" customHeight="1">
      <c r="A812" t="inlineStr">
        <is>
          <t>A 17963-2019</t>
        </is>
      </c>
      <c r="B812" s="1" t="n">
        <v>43557</v>
      </c>
      <c r="C812" s="1" t="n">
        <v>45186</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18378-2019</t>
        </is>
      </c>
      <c r="B813" s="1" t="n">
        <v>43559</v>
      </c>
      <c r="C813" s="1" t="n">
        <v>45186</v>
      </c>
      <c r="D813" t="inlineStr">
        <is>
          <t>STOCKHOLMS LÄN</t>
        </is>
      </c>
      <c r="E813" t="inlineStr">
        <is>
          <t>NORRTÄLJE</t>
        </is>
      </c>
      <c r="G813" t="n">
        <v>5.8</v>
      </c>
      <c r="H813" t="n">
        <v>0</v>
      </c>
      <c r="I813" t="n">
        <v>0</v>
      </c>
      <c r="J813" t="n">
        <v>0</v>
      </c>
      <c r="K813" t="n">
        <v>0</v>
      </c>
      <c r="L813" t="n">
        <v>0</v>
      </c>
      <c r="M813" t="n">
        <v>0</v>
      </c>
      <c r="N813" t="n">
        <v>0</v>
      </c>
      <c r="O813" t="n">
        <v>0</v>
      </c>
      <c r="P813" t="n">
        <v>0</v>
      </c>
      <c r="Q813" t="n">
        <v>0</v>
      </c>
      <c r="R813" s="2" t="inlineStr"/>
    </row>
    <row r="814" ht="15" customHeight="1">
      <c r="A814" t="inlineStr">
        <is>
          <t>A 18664-2019</t>
        </is>
      </c>
      <c r="B814" s="1" t="n">
        <v>43560</v>
      </c>
      <c r="C814" s="1" t="n">
        <v>45186</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18767-2019</t>
        </is>
      </c>
      <c r="B815" s="1" t="n">
        <v>43560</v>
      </c>
      <c r="C815" s="1" t="n">
        <v>45186</v>
      </c>
      <c r="D815" t="inlineStr">
        <is>
          <t>STOCKHOLMS LÄN</t>
        </is>
      </c>
      <c r="E815" t="inlineStr">
        <is>
          <t>NORRTÄLJE</t>
        </is>
      </c>
      <c r="G815" t="n">
        <v>4</v>
      </c>
      <c r="H815" t="n">
        <v>0</v>
      </c>
      <c r="I815" t="n">
        <v>0</v>
      </c>
      <c r="J815" t="n">
        <v>0</v>
      </c>
      <c r="K815" t="n">
        <v>0</v>
      </c>
      <c r="L815" t="n">
        <v>0</v>
      </c>
      <c r="M815" t="n">
        <v>0</v>
      </c>
      <c r="N815" t="n">
        <v>0</v>
      </c>
      <c r="O815" t="n">
        <v>0</v>
      </c>
      <c r="P815" t="n">
        <v>0</v>
      </c>
      <c r="Q815" t="n">
        <v>0</v>
      </c>
      <c r="R815" s="2" t="inlineStr"/>
    </row>
    <row r="816" ht="15" customHeight="1">
      <c r="A816" t="inlineStr">
        <is>
          <t>A 18820-2019</t>
        </is>
      </c>
      <c r="B816" s="1" t="n">
        <v>43563</v>
      </c>
      <c r="C816" s="1" t="n">
        <v>45186</v>
      </c>
      <c r="D816" t="inlineStr">
        <is>
          <t>STOCKHOLMS LÄN</t>
        </is>
      </c>
      <c r="E816" t="inlineStr">
        <is>
          <t>NORRTÄLJE</t>
        </is>
      </c>
      <c r="G816" t="n">
        <v>3</v>
      </c>
      <c r="H816" t="n">
        <v>0</v>
      </c>
      <c r="I816" t="n">
        <v>0</v>
      </c>
      <c r="J816" t="n">
        <v>0</v>
      </c>
      <c r="K816" t="n">
        <v>0</v>
      </c>
      <c r="L816" t="n">
        <v>0</v>
      </c>
      <c r="M816" t="n">
        <v>0</v>
      </c>
      <c r="N816" t="n">
        <v>0</v>
      </c>
      <c r="O816" t="n">
        <v>0</v>
      </c>
      <c r="P816" t="n">
        <v>0</v>
      </c>
      <c r="Q816" t="n">
        <v>0</v>
      </c>
      <c r="R816" s="2" t="inlineStr"/>
    </row>
    <row r="817" ht="15" customHeight="1">
      <c r="A817" t="inlineStr">
        <is>
          <t>A 18890-2019</t>
        </is>
      </c>
      <c r="B817" s="1" t="n">
        <v>43563</v>
      </c>
      <c r="C817" s="1" t="n">
        <v>45186</v>
      </c>
      <c r="D817" t="inlineStr">
        <is>
          <t>STOCKHOLMS LÄN</t>
        </is>
      </c>
      <c r="E817" t="inlineStr">
        <is>
          <t>NORRTÄLJE</t>
        </is>
      </c>
      <c r="G817" t="n">
        <v>4.7</v>
      </c>
      <c r="H817" t="n">
        <v>0</v>
      </c>
      <c r="I817" t="n">
        <v>0</v>
      </c>
      <c r="J817" t="n">
        <v>0</v>
      </c>
      <c r="K817" t="n">
        <v>0</v>
      </c>
      <c r="L817" t="n">
        <v>0</v>
      </c>
      <c r="M817" t="n">
        <v>0</v>
      </c>
      <c r="N817" t="n">
        <v>0</v>
      </c>
      <c r="O817" t="n">
        <v>0</v>
      </c>
      <c r="P817" t="n">
        <v>0</v>
      </c>
      <c r="Q817" t="n">
        <v>0</v>
      </c>
      <c r="R817" s="2" t="inlineStr"/>
    </row>
    <row r="818" ht="15" customHeight="1">
      <c r="A818" t="inlineStr">
        <is>
          <t>A 18909-2019</t>
        </is>
      </c>
      <c r="B818" s="1" t="n">
        <v>43563</v>
      </c>
      <c r="C818" s="1" t="n">
        <v>45186</v>
      </c>
      <c r="D818" t="inlineStr">
        <is>
          <t>STOCKHOLMS LÄN</t>
        </is>
      </c>
      <c r="E818" t="inlineStr">
        <is>
          <t>NORRTÄLJE</t>
        </is>
      </c>
      <c r="G818" t="n">
        <v>2.9</v>
      </c>
      <c r="H818" t="n">
        <v>0</v>
      </c>
      <c r="I818" t="n">
        <v>0</v>
      </c>
      <c r="J818" t="n">
        <v>0</v>
      </c>
      <c r="K818" t="n">
        <v>0</v>
      </c>
      <c r="L818" t="n">
        <v>0</v>
      </c>
      <c r="M818" t="n">
        <v>0</v>
      </c>
      <c r="N818" t="n">
        <v>0</v>
      </c>
      <c r="O818" t="n">
        <v>0</v>
      </c>
      <c r="P818" t="n">
        <v>0</v>
      </c>
      <c r="Q818" t="n">
        <v>0</v>
      </c>
      <c r="R818" s="2" t="inlineStr"/>
    </row>
    <row r="819" ht="15" customHeight="1">
      <c r="A819" t="inlineStr">
        <is>
          <t>A 19014-2019</t>
        </is>
      </c>
      <c r="B819" s="1" t="n">
        <v>43563</v>
      </c>
      <c r="C819" s="1" t="n">
        <v>45186</v>
      </c>
      <c r="D819" t="inlineStr">
        <is>
          <t>STOCKHOLMS LÄN</t>
        </is>
      </c>
      <c r="E819" t="inlineStr">
        <is>
          <t>NORRTÄLJE</t>
        </is>
      </c>
      <c r="G819" t="n">
        <v>2.2</v>
      </c>
      <c r="H819" t="n">
        <v>0</v>
      </c>
      <c r="I819" t="n">
        <v>0</v>
      </c>
      <c r="J819" t="n">
        <v>0</v>
      </c>
      <c r="K819" t="n">
        <v>0</v>
      </c>
      <c r="L819" t="n">
        <v>0</v>
      </c>
      <c r="M819" t="n">
        <v>0</v>
      </c>
      <c r="N819" t="n">
        <v>0</v>
      </c>
      <c r="O819" t="n">
        <v>0</v>
      </c>
      <c r="P819" t="n">
        <v>0</v>
      </c>
      <c r="Q819" t="n">
        <v>0</v>
      </c>
      <c r="R819" s="2" t="inlineStr"/>
    </row>
    <row r="820" ht="15" customHeight="1">
      <c r="A820" t="inlineStr">
        <is>
          <t>A 19026-2019</t>
        </is>
      </c>
      <c r="B820" s="1" t="n">
        <v>43563</v>
      </c>
      <c r="C820" s="1" t="n">
        <v>45186</v>
      </c>
      <c r="D820" t="inlineStr">
        <is>
          <t>STOCKHOLMS LÄN</t>
        </is>
      </c>
      <c r="E820" t="inlineStr">
        <is>
          <t>NORRTÄLJE</t>
        </is>
      </c>
      <c r="G820" t="n">
        <v>4.4</v>
      </c>
      <c r="H820" t="n">
        <v>0</v>
      </c>
      <c r="I820" t="n">
        <v>0</v>
      </c>
      <c r="J820" t="n">
        <v>0</v>
      </c>
      <c r="K820" t="n">
        <v>0</v>
      </c>
      <c r="L820" t="n">
        <v>0</v>
      </c>
      <c r="M820" t="n">
        <v>0</v>
      </c>
      <c r="N820" t="n">
        <v>0</v>
      </c>
      <c r="O820" t="n">
        <v>0</v>
      </c>
      <c r="P820" t="n">
        <v>0</v>
      </c>
      <c r="Q820" t="n">
        <v>0</v>
      </c>
      <c r="R820" s="2" t="inlineStr"/>
    </row>
    <row r="821" ht="15" customHeight="1">
      <c r="A821" t="inlineStr">
        <is>
          <t>A 19198-2019</t>
        </is>
      </c>
      <c r="B821" s="1" t="n">
        <v>43564</v>
      </c>
      <c r="C821" s="1" t="n">
        <v>45186</v>
      </c>
      <c r="D821" t="inlineStr">
        <is>
          <t>STOCKHOLMS LÄN</t>
        </is>
      </c>
      <c r="E821" t="inlineStr">
        <is>
          <t>VALLENTUNA</t>
        </is>
      </c>
      <c r="G821" t="n">
        <v>0.9</v>
      </c>
      <c r="H821" t="n">
        <v>0</v>
      </c>
      <c r="I821" t="n">
        <v>0</v>
      </c>
      <c r="J821" t="n">
        <v>0</v>
      </c>
      <c r="K821" t="n">
        <v>0</v>
      </c>
      <c r="L821" t="n">
        <v>0</v>
      </c>
      <c r="M821" t="n">
        <v>0</v>
      </c>
      <c r="N821" t="n">
        <v>0</v>
      </c>
      <c r="O821" t="n">
        <v>0</v>
      </c>
      <c r="P821" t="n">
        <v>0</v>
      </c>
      <c r="Q821" t="n">
        <v>0</v>
      </c>
      <c r="R821" s="2" t="inlineStr"/>
    </row>
    <row r="822" ht="15" customHeight="1">
      <c r="A822" t="inlineStr">
        <is>
          <t>A 19255-2019</t>
        </is>
      </c>
      <c r="B822" s="1" t="n">
        <v>43564</v>
      </c>
      <c r="C822" s="1" t="n">
        <v>45186</v>
      </c>
      <c r="D822" t="inlineStr">
        <is>
          <t>STOCKHOLMS LÄN</t>
        </is>
      </c>
      <c r="E822" t="inlineStr">
        <is>
          <t>NORRTÄLJE</t>
        </is>
      </c>
      <c r="G822" t="n">
        <v>2.6</v>
      </c>
      <c r="H822" t="n">
        <v>0</v>
      </c>
      <c r="I822" t="n">
        <v>0</v>
      </c>
      <c r="J822" t="n">
        <v>0</v>
      </c>
      <c r="K822" t="n">
        <v>0</v>
      </c>
      <c r="L822" t="n">
        <v>0</v>
      </c>
      <c r="M822" t="n">
        <v>0</v>
      </c>
      <c r="N822" t="n">
        <v>0</v>
      </c>
      <c r="O822" t="n">
        <v>0</v>
      </c>
      <c r="P822" t="n">
        <v>0</v>
      </c>
      <c r="Q822" t="n">
        <v>0</v>
      </c>
      <c r="R822" s="2" t="inlineStr"/>
    </row>
    <row r="823" ht="15" customHeight="1">
      <c r="A823" t="inlineStr">
        <is>
          <t>A 19170-2019</t>
        </is>
      </c>
      <c r="B823" s="1" t="n">
        <v>43564</v>
      </c>
      <c r="C823" s="1" t="n">
        <v>45186</v>
      </c>
      <c r="D823" t="inlineStr">
        <is>
          <t>STOCKHOLMS LÄN</t>
        </is>
      </c>
      <c r="E823" t="inlineStr">
        <is>
          <t>ÖSTERÅKER</t>
        </is>
      </c>
      <c r="G823" t="n">
        <v>2.2</v>
      </c>
      <c r="H823" t="n">
        <v>0</v>
      </c>
      <c r="I823" t="n">
        <v>0</v>
      </c>
      <c r="J823" t="n">
        <v>0</v>
      </c>
      <c r="K823" t="n">
        <v>0</v>
      </c>
      <c r="L823" t="n">
        <v>0</v>
      </c>
      <c r="M823" t="n">
        <v>0</v>
      </c>
      <c r="N823" t="n">
        <v>0</v>
      </c>
      <c r="O823" t="n">
        <v>0</v>
      </c>
      <c r="P823" t="n">
        <v>0</v>
      </c>
      <c r="Q823" t="n">
        <v>0</v>
      </c>
      <c r="R823" s="2" t="inlineStr"/>
    </row>
    <row r="824" ht="15" customHeight="1">
      <c r="A824" t="inlineStr">
        <is>
          <t>A 19247-2019</t>
        </is>
      </c>
      <c r="B824" s="1" t="n">
        <v>43564</v>
      </c>
      <c r="C824" s="1" t="n">
        <v>45186</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19301-2019</t>
        </is>
      </c>
      <c r="B825" s="1" t="n">
        <v>43565</v>
      </c>
      <c r="C825" s="1" t="n">
        <v>45186</v>
      </c>
      <c r="D825" t="inlineStr">
        <is>
          <t>STOCKHOLMS LÄN</t>
        </is>
      </c>
      <c r="E825" t="inlineStr">
        <is>
          <t>NORRTÄLJE</t>
        </is>
      </c>
      <c r="F825" t="inlineStr">
        <is>
          <t>Kommuner</t>
        </is>
      </c>
      <c r="G825" t="n">
        <v>3.9</v>
      </c>
      <c r="H825" t="n">
        <v>0</v>
      </c>
      <c r="I825" t="n">
        <v>0</v>
      </c>
      <c r="J825" t="n">
        <v>0</v>
      </c>
      <c r="K825" t="n">
        <v>0</v>
      </c>
      <c r="L825" t="n">
        <v>0</v>
      </c>
      <c r="M825" t="n">
        <v>0</v>
      </c>
      <c r="N825" t="n">
        <v>0</v>
      </c>
      <c r="O825" t="n">
        <v>0</v>
      </c>
      <c r="P825" t="n">
        <v>0</v>
      </c>
      <c r="Q825" t="n">
        <v>0</v>
      </c>
      <c r="R825" s="2" t="inlineStr"/>
    </row>
    <row r="826" ht="15" customHeight="1">
      <c r="A826" t="inlineStr">
        <is>
          <t>A 19537-2019</t>
        </is>
      </c>
      <c r="B826" s="1" t="n">
        <v>43565</v>
      </c>
      <c r="C826" s="1" t="n">
        <v>45186</v>
      </c>
      <c r="D826" t="inlineStr">
        <is>
          <t>STOCKHOLMS LÄN</t>
        </is>
      </c>
      <c r="E826" t="inlineStr">
        <is>
          <t>NORRTÄLJE</t>
        </is>
      </c>
      <c r="G826" t="n">
        <v>0.6</v>
      </c>
      <c r="H826" t="n">
        <v>0</v>
      </c>
      <c r="I826" t="n">
        <v>0</v>
      </c>
      <c r="J826" t="n">
        <v>0</v>
      </c>
      <c r="K826" t="n">
        <v>0</v>
      </c>
      <c r="L826" t="n">
        <v>0</v>
      </c>
      <c r="M826" t="n">
        <v>0</v>
      </c>
      <c r="N826" t="n">
        <v>0</v>
      </c>
      <c r="O826" t="n">
        <v>0</v>
      </c>
      <c r="P826" t="n">
        <v>0</v>
      </c>
      <c r="Q826" t="n">
        <v>0</v>
      </c>
      <c r="R826" s="2" t="inlineStr"/>
    </row>
    <row r="827" ht="15" customHeight="1">
      <c r="A827" t="inlineStr">
        <is>
          <t>A 19302-2019</t>
        </is>
      </c>
      <c r="B827" s="1" t="n">
        <v>43565</v>
      </c>
      <c r="C827" s="1" t="n">
        <v>45186</v>
      </c>
      <c r="D827" t="inlineStr">
        <is>
          <t>STOCKHOLMS LÄN</t>
        </is>
      </c>
      <c r="E827" t="inlineStr">
        <is>
          <t>NORRTÄLJE</t>
        </is>
      </c>
      <c r="F827" t="inlineStr">
        <is>
          <t>Kommuner</t>
        </is>
      </c>
      <c r="G827" t="n">
        <v>4.2</v>
      </c>
      <c r="H827" t="n">
        <v>0</v>
      </c>
      <c r="I827" t="n">
        <v>0</v>
      </c>
      <c r="J827" t="n">
        <v>0</v>
      </c>
      <c r="K827" t="n">
        <v>0</v>
      </c>
      <c r="L827" t="n">
        <v>0</v>
      </c>
      <c r="M827" t="n">
        <v>0</v>
      </c>
      <c r="N827" t="n">
        <v>0</v>
      </c>
      <c r="O827" t="n">
        <v>0</v>
      </c>
      <c r="P827" t="n">
        <v>0</v>
      </c>
      <c r="Q827" t="n">
        <v>0</v>
      </c>
      <c r="R827" s="2" t="inlineStr"/>
    </row>
    <row r="828" ht="15" customHeight="1">
      <c r="A828" t="inlineStr">
        <is>
          <t>A 19539-2019</t>
        </is>
      </c>
      <c r="B828" s="1" t="n">
        <v>43565</v>
      </c>
      <c r="C828" s="1" t="n">
        <v>45186</v>
      </c>
      <c r="D828" t="inlineStr">
        <is>
          <t>STOCKHOLMS LÄN</t>
        </is>
      </c>
      <c r="E828" t="inlineStr">
        <is>
          <t>NORRTÄLJE</t>
        </is>
      </c>
      <c r="G828" t="n">
        <v>2.4</v>
      </c>
      <c r="H828" t="n">
        <v>0</v>
      </c>
      <c r="I828" t="n">
        <v>0</v>
      </c>
      <c r="J828" t="n">
        <v>0</v>
      </c>
      <c r="K828" t="n">
        <v>0</v>
      </c>
      <c r="L828" t="n">
        <v>0</v>
      </c>
      <c r="M828" t="n">
        <v>0</v>
      </c>
      <c r="N828" t="n">
        <v>0</v>
      </c>
      <c r="O828" t="n">
        <v>0</v>
      </c>
      <c r="P828" t="n">
        <v>0</v>
      </c>
      <c r="Q828" t="n">
        <v>0</v>
      </c>
      <c r="R828" s="2" t="inlineStr"/>
    </row>
    <row r="829" ht="15" customHeight="1">
      <c r="A829" t="inlineStr">
        <is>
          <t>A 19377-2019</t>
        </is>
      </c>
      <c r="B829" s="1" t="n">
        <v>43565</v>
      </c>
      <c r="C829" s="1" t="n">
        <v>45186</v>
      </c>
      <c r="D829" t="inlineStr">
        <is>
          <t>STOCKHOLMS LÄN</t>
        </is>
      </c>
      <c r="E829" t="inlineStr">
        <is>
          <t>NYKVARN</t>
        </is>
      </c>
      <c r="G829" t="n">
        <v>2.9</v>
      </c>
      <c r="H829" t="n">
        <v>0</v>
      </c>
      <c r="I829" t="n">
        <v>0</v>
      </c>
      <c r="J829" t="n">
        <v>0</v>
      </c>
      <c r="K829" t="n">
        <v>0</v>
      </c>
      <c r="L829" t="n">
        <v>0</v>
      </c>
      <c r="M829" t="n">
        <v>0</v>
      </c>
      <c r="N829" t="n">
        <v>0</v>
      </c>
      <c r="O829" t="n">
        <v>0</v>
      </c>
      <c r="P829" t="n">
        <v>0</v>
      </c>
      <c r="Q829" t="n">
        <v>0</v>
      </c>
      <c r="R829" s="2" t="inlineStr"/>
    </row>
    <row r="830" ht="15" customHeight="1">
      <c r="A830" t="inlineStr">
        <is>
          <t>A 19540-2019</t>
        </is>
      </c>
      <c r="B830" s="1" t="n">
        <v>43565</v>
      </c>
      <c r="C830" s="1" t="n">
        <v>45186</v>
      </c>
      <c r="D830" t="inlineStr">
        <is>
          <t>STOCKHOLMS LÄN</t>
        </is>
      </c>
      <c r="E830" t="inlineStr">
        <is>
          <t>NORRTÄLJE</t>
        </is>
      </c>
      <c r="G830" t="n">
        <v>1.8</v>
      </c>
      <c r="H830" t="n">
        <v>0</v>
      </c>
      <c r="I830" t="n">
        <v>0</v>
      </c>
      <c r="J830" t="n">
        <v>0</v>
      </c>
      <c r="K830" t="n">
        <v>0</v>
      </c>
      <c r="L830" t="n">
        <v>0</v>
      </c>
      <c r="M830" t="n">
        <v>0</v>
      </c>
      <c r="N830" t="n">
        <v>0</v>
      </c>
      <c r="O830" t="n">
        <v>0</v>
      </c>
      <c r="P830" t="n">
        <v>0</v>
      </c>
      <c r="Q830" t="n">
        <v>0</v>
      </c>
      <c r="R830" s="2" t="inlineStr"/>
    </row>
    <row r="831" ht="15" customHeight="1">
      <c r="A831" t="inlineStr">
        <is>
          <t>A 19297-2019</t>
        </is>
      </c>
      <c r="B831" s="1" t="n">
        <v>43565</v>
      </c>
      <c r="C831" s="1" t="n">
        <v>45186</v>
      </c>
      <c r="D831" t="inlineStr">
        <is>
          <t>STOCKHOLMS LÄN</t>
        </is>
      </c>
      <c r="E831" t="inlineStr">
        <is>
          <t>NORRTÄLJE</t>
        </is>
      </c>
      <c r="F831" t="inlineStr">
        <is>
          <t>Kommuner</t>
        </is>
      </c>
      <c r="G831" t="n">
        <v>1.2</v>
      </c>
      <c r="H831" t="n">
        <v>0</v>
      </c>
      <c r="I831" t="n">
        <v>0</v>
      </c>
      <c r="J831" t="n">
        <v>0</v>
      </c>
      <c r="K831" t="n">
        <v>0</v>
      </c>
      <c r="L831" t="n">
        <v>0</v>
      </c>
      <c r="M831" t="n">
        <v>0</v>
      </c>
      <c r="N831" t="n">
        <v>0</v>
      </c>
      <c r="O831" t="n">
        <v>0</v>
      </c>
      <c r="P831" t="n">
        <v>0</v>
      </c>
      <c r="Q831" t="n">
        <v>0</v>
      </c>
      <c r="R831" s="2" t="inlineStr"/>
    </row>
    <row r="832" ht="15" customHeight="1">
      <c r="A832" t="inlineStr">
        <is>
          <t>A 19593-2019</t>
        </is>
      </c>
      <c r="B832" s="1" t="n">
        <v>43566</v>
      </c>
      <c r="C832" s="1" t="n">
        <v>45186</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19563-2019</t>
        </is>
      </c>
      <c r="B833" s="1" t="n">
        <v>43566</v>
      </c>
      <c r="C833" s="1" t="n">
        <v>45186</v>
      </c>
      <c r="D833" t="inlineStr">
        <is>
          <t>STOCKHOLMS LÄN</t>
        </is>
      </c>
      <c r="E833" t="inlineStr">
        <is>
          <t>SIGTUNA</t>
        </is>
      </c>
      <c r="G833" t="n">
        <v>7.8</v>
      </c>
      <c r="H833" t="n">
        <v>0</v>
      </c>
      <c r="I833" t="n">
        <v>0</v>
      </c>
      <c r="J833" t="n">
        <v>0</v>
      </c>
      <c r="K833" t="n">
        <v>0</v>
      </c>
      <c r="L833" t="n">
        <v>0</v>
      </c>
      <c r="M833" t="n">
        <v>0</v>
      </c>
      <c r="N833" t="n">
        <v>0</v>
      </c>
      <c r="O833" t="n">
        <v>0</v>
      </c>
      <c r="P833" t="n">
        <v>0</v>
      </c>
      <c r="Q833" t="n">
        <v>0</v>
      </c>
      <c r="R833" s="2" t="inlineStr"/>
    </row>
    <row r="834" ht="15" customHeight="1">
      <c r="A834" t="inlineStr">
        <is>
          <t>A 19638-2019</t>
        </is>
      </c>
      <c r="B834" s="1" t="n">
        <v>43566</v>
      </c>
      <c r="C834" s="1" t="n">
        <v>45186</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19811-2019</t>
        </is>
      </c>
      <c r="B835" s="1" t="n">
        <v>43567</v>
      </c>
      <c r="C835" s="1" t="n">
        <v>45186</v>
      </c>
      <c r="D835" t="inlineStr">
        <is>
          <t>STOCKHOLMS LÄN</t>
        </is>
      </c>
      <c r="E835" t="inlineStr">
        <is>
          <t>NORRTÄLJE</t>
        </is>
      </c>
      <c r="F835" t="inlineStr">
        <is>
          <t>Kommuner</t>
        </is>
      </c>
      <c r="G835" t="n">
        <v>1.6</v>
      </c>
      <c r="H835" t="n">
        <v>0</v>
      </c>
      <c r="I835" t="n">
        <v>0</v>
      </c>
      <c r="J835" t="n">
        <v>0</v>
      </c>
      <c r="K835" t="n">
        <v>0</v>
      </c>
      <c r="L835" t="n">
        <v>0</v>
      </c>
      <c r="M835" t="n">
        <v>0</v>
      </c>
      <c r="N835" t="n">
        <v>0</v>
      </c>
      <c r="O835" t="n">
        <v>0</v>
      </c>
      <c r="P835" t="n">
        <v>0</v>
      </c>
      <c r="Q835" t="n">
        <v>0</v>
      </c>
      <c r="R835" s="2" t="inlineStr"/>
    </row>
    <row r="836" ht="15" customHeight="1">
      <c r="A836" t="inlineStr">
        <is>
          <t>A 19872-2019</t>
        </is>
      </c>
      <c r="B836" s="1" t="n">
        <v>43567</v>
      </c>
      <c r="C836" s="1" t="n">
        <v>45186</v>
      </c>
      <c r="D836" t="inlineStr">
        <is>
          <t>STOCKHOLMS LÄN</t>
        </is>
      </c>
      <c r="E836" t="inlineStr">
        <is>
          <t>NORRTÄLJE</t>
        </is>
      </c>
      <c r="G836" t="n">
        <v>1.8</v>
      </c>
      <c r="H836" t="n">
        <v>0</v>
      </c>
      <c r="I836" t="n">
        <v>0</v>
      </c>
      <c r="J836" t="n">
        <v>0</v>
      </c>
      <c r="K836" t="n">
        <v>0</v>
      </c>
      <c r="L836" t="n">
        <v>0</v>
      </c>
      <c r="M836" t="n">
        <v>0</v>
      </c>
      <c r="N836" t="n">
        <v>0</v>
      </c>
      <c r="O836" t="n">
        <v>0</v>
      </c>
      <c r="P836" t="n">
        <v>0</v>
      </c>
      <c r="Q836" t="n">
        <v>0</v>
      </c>
      <c r="R836" s="2" t="inlineStr"/>
    </row>
    <row r="837" ht="15" customHeight="1">
      <c r="A837" t="inlineStr">
        <is>
          <t>A 19812-2019</t>
        </is>
      </c>
      <c r="B837" s="1" t="n">
        <v>43567</v>
      </c>
      <c r="C837" s="1" t="n">
        <v>45186</v>
      </c>
      <c r="D837" t="inlineStr">
        <is>
          <t>STOCKHOLMS LÄN</t>
        </is>
      </c>
      <c r="E837" t="inlineStr">
        <is>
          <t>NORRTÄLJE</t>
        </is>
      </c>
      <c r="F837" t="inlineStr">
        <is>
          <t>Kommuner</t>
        </is>
      </c>
      <c r="G837" t="n">
        <v>1.5</v>
      </c>
      <c r="H837" t="n">
        <v>0</v>
      </c>
      <c r="I837" t="n">
        <v>0</v>
      </c>
      <c r="J837" t="n">
        <v>0</v>
      </c>
      <c r="K837" t="n">
        <v>0</v>
      </c>
      <c r="L837" t="n">
        <v>0</v>
      </c>
      <c r="M837" t="n">
        <v>0</v>
      </c>
      <c r="N837" t="n">
        <v>0</v>
      </c>
      <c r="O837" t="n">
        <v>0</v>
      </c>
      <c r="P837" t="n">
        <v>0</v>
      </c>
      <c r="Q837" t="n">
        <v>0</v>
      </c>
      <c r="R837" s="2" t="inlineStr"/>
    </row>
    <row r="838" ht="15" customHeight="1">
      <c r="A838" t="inlineStr">
        <is>
          <t>A 19931-2019</t>
        </is>
      </c>
      <c r="B838" s="1" t="n">
        <v>43568</v>
      </c>
      <c r="C838" s="1" t="n">
        <v>45186</v>
      </c>
      <c r="D838" t="inlineStr">
        <is>
          <t>STOCKHOLMS LÄN</t>
        </is>
      </c>
      <c r="E838" t="inlineStr">
        <is>
          <t>NORRTÄLJE</t>
        </is>
      </c>
      <c r="G838" t="n">
        <v>4.2</v>
      </c>
      <c r="H838" t="n">
        <v>0</v>
      </c>
      <c r="I838" t="n">
        <v>0</v>
      </c>
      <c r="J838" t="n">
        <v>0</v>
      </c>
      <c r="K838" t="n">
        <v>0</v>
      </c>
      <c r="L838" t="n">
        <v>0</v>
      </c>
      <c r="M838" t="n">
        <v>0</v>
      </c>
      <c r="N838" t="n">
        <v>0</v>
      </c>
      <c r="O838" t="n">
        <v>0</v>
      </c>
      <c r="P838" t="n">
        <v>0</v>
      </c>
      <c r="Q838" t="n">
        <v>0</v>
      </c>
      <c r="R838" s="2" t="inlineStr"/>
    </row>
    <row r="839" ht="15" customHeight="1">
      <c r="A839" t="inlineStr">
        <is>
          <t>A 20137-2019</t>
        </is>
      </c>
      <c r="B839" s="1" t="n">
        <v>43570</v>
      </c>
      <c r="C839" s="1" t="n">
        <v>45186</v>
      </c>
      <c r="D839" t="inlineStr">
        <is>
          <t>STOCKHOLMS LÄN</t>
        </is>
      </c>
      <c r="E839" t="inlineStr">
        <is>
          <t>NORRTÄLJE</t>
        </is>
      </c>
      <c r="G839" t="n">
        <v>3</v>
      </c>
      <c r="H839" t="n">
        <v>0</v>
      </c>
      <c r="I839" t="n">
        <v>0</v>
      </c>
      <c r="J839" t="n">
        <v>0</v>
      </c>
      <c r="K839" t="n">
        <v>0</v>
      </c>
      <c r="L839" t="n">
        <v>0</v>
      </c>
      <c r="M839" t="n">
        <v>0</v>
      </c>
      <c r="N839" t="n">
        <v>0</v>
      </c>
      <c r="O839" t="n">
        <v>0</v>
      </c>
      <c r="P839" t="n">
        <v>0</v>
      </c>
      <c r="Q839" t="n">
        <v>0</v>
      </c>
      <c r="R839" s="2" t="inlineStr"/>
    </row>
    <row r="840" ht="15" customHeight="1">
      <c r="A840" t="inlineStr">
        <is>
          <t>A 20159-2019</t>
        </is>
      </c>
      <c r="B840" s="1" t="n">
        <v>43570</v>
      </c>
      <c r="C840" s="1" t="n">
        <v>45186</v>
      </c>
      <c r="D840" t="inlineStr">
        <is>
          <t>STOCKHOLMS LÄN</t>
        </is>
      </c>
      <c r="E840" t="inlineStr">
        <is>
          <t>NORRTÄLJE</t>
        </is>
      </c>
      <c r="F840" t="inlineStr">
        <is>
          <t>Kommuner</t>
        </is>
      </c>
      <c r="G840" t="n">
        <v>2</v>
      </c>
      <c r="H840" t="n">
        <v>0</v>
      </c>
      <c r="I840" t="n">
        <v>0</v>
      </c>
      <c r="J840" t="n">
        <v>0</v>
      </c>
      <c r="K840" t="n">
        <v>0</v>
      </c>
      <c r="L840" t="n">
        <v>0</v>
      </c>
      <c r="M840" t="n">
        <v>0</v>
      </c>
      <c r="N840" t="n">
        <v>0</v>
      </c>
      <c r="O840" t="n">
        <v>0</v>
      </c>
      <c r="P840" t="n">
        <v>0</v>
      </c>
      <c r="Q840" t="n">
        <v>0</v>
      </c>
      <c r="R840" s="2" t="inlineStr"/>
    </row>
    <row r="841" ht="15" customHeight="1">
      <c r="A841" t="inlineStr">
        <is>
          <t>A 20181-2019</t>
        </is>
      </c>
      <c r="B841" s="1" t="n">
        <v>43570</v>
      </c>
      <c r="C841" s="1" t="n">
        <v>45186</v>
      </c>
      <c r="D841" t="inlineStr">
        <is>
          <t>STOCKHOLMS LÄN</t>
        </is>
      </c>
      <c r="E841" t="inlineStr">
        <is>
          <t>NORRTÄLJE</t>
        </is>
      </c>
      <c r="G841" t="n">
        <v>0.9</v>
      </c>
      <c r="H841" t="n">
        <v>0</v>
      </c>
      <c r="I841" t="n">
        <v>0</v>
      </c>
      <c r="J841" t="n">
        <v>0</v>
      </c>
      <c r="K841" t="n">
        <v>0</v>
      </c>
      <c r="L841" t="n">
        <v>0</v>
      </c>
      <c r="M841" t="n">
        <v>0</v>
      </c>
      <c r="N841" t="n">
        <v>0</v>
      </c>
      <c r="O841" t="n">
        <v>0</v>
      </c>
      <c r="P841" t="n">
        <v>0</v>
      </c>
      <c r="Q841" t="n">
        <v>0</v>
      </c>
      <c r="R841" s="2" t="inlineStr"/>
    </row>
    <row r="842" ht="15" customHeight="1">
      <c r="A842" t="inlineStr">
        <is>
          <t>A 20007-2019</t>
        </is>
      </c>
      <c r="B842" s="1" t="n">
        <v>43570</v>
      </c>
      <c r="C842" s="1" t="n">
        <v>45186</v>
      </c>
      <c r="D842" t="inlineStr">
        <is>
          <t>STOCKHOLMS LÄN</t>
        </is>
      </c>
      <c r="E842" t="inlineStr">
        <is>
          <t>NORRTÄLJE</t>
        </is>
      </c>
      <c r="G842" t="n">
        <v>1</v>
      </c>
      <c r="H842" t="n">
        <v>0</v>
      </c>
      <c r="I842" t="n">
        <v>0</v>
      </c>
      <c r="J842" t="n">
        <v>0</v>
      </c>
      <c r="K842" t="n">
        <v>0</v>
      </c>
      <c r="L842" t="n">
        <v>0</v>
      </c>
      <c r="M842" t="n">
        <v>0</v>
      </c>
      <c r="N842" t="n">
        <v>0</v>
      </c>
      <c r="O842" t="n">
        <v>0</v>
      </c>
      <c r="P842" t="n">
        <v>0</v>
      </c>
      <c r="Q842" t="n">
        <v>0</v>
      </c>
      <c r="R842" s="2" t="inlineStr"/>
    </row>
    <row r="843" ht="15" customHeight="1">
      <c r="A843" t="inlineStr">
        <is>
          <t>A 20052-2019</t>
        </is>
      </c>
      <c r="B843" s="1" t="n">
        <v>43570</v>
      </c>
      <c r="C843" s="1" t="n">
        <v>45186</v>
      </c>
      <c r="D843" t="inlineStr">
        <is>
          <t>STOCKHOLMS LÄN</t>
        </is>
      </c>
      <c r="E843" t="inlineStr">
        <is>
          <t>NORRTÄLJE</t>
        </is>
      </c>
      <c r="G843" t="n">
        <v>0.5</v>
      </c>
      <c r="H843" t="n">
        <v>0</v>
      </c>
      <c r="I843" t="n">
        <v>0</v>
      </c>
      <c r="J843" t="n">
        <v>0</v>
      </c>
      <c r="K843" t="n">
        <v>0</v>
      </c>
      <c r="L843" t="n">
        <v>0</v>
      </c>
      <c r="M843" t="n">
        <v>0</v>
      </c>
      <c r="N843" t="n">
        <v>0</v>
      </c>
      <c r="O843" t="n">
        <v>0</v>
      </c>
      <c r="P843" t="n">
        <v>0</v>
      </c>
      <c r="Q843" t="n">
        <v>0</v>
      </c>
      <c r="R843" s="2" t="inlineStr"/>
    </row>
    <row r="844" ht="15" customHeight="1">
      <c r="A844" t="inlineStr">
        <is>
          <t>A 20165-2019</t>
        </is>
      </c>
      <c r="B844" s="1" t="n">
        <v>43570</v>
      </c>
      <c r="C844" s="1" t="n">
        <v>45186</v>
      </c>
      <c r="D844" t="inlineStr">
        <is>
          <t>STOCKHOLMS LÄN</t>
        </is>
      </c>
      <c r="E844" t="inlineStr">
        <is>
          <t>NORRTÄLJE</t>
        </is>
      </c>
      <c r="F844" t="inlineStr">
        <is>
          <t>Kommuner</t>
        </is>
      </c>
      <c r="G844" t="n">
        <v>0.5</v>
      </c>
      <c r="H844" t="n">
        <v>0</v>
      </c>
      <c r="I844" t="n">
        <v>0</v>
      </c>
      <c r="J844" t="n">
        <v>0</v>
      </c>
      <c r="K844" t="n">
        <v>0</v>
      </c>
      <c r="L844" t="n">
        <v>0</v>
      </c>
      <c r="M844" t="n">
        <v>0</v>
      </c>
      <c r="N844" t="n">
        <v>0</v>
      </c>
      <c r="O844" t="n">
        <v>0</v>
      </c>
      <c r="P844" t="n">
        <v>0</v>
      </c>
      <c r="Q844" t="n">
        <v>0</v>
      </c>
      <c r="R844" s="2" t="inlineStr"/>
    </row>
    <row r="845" ht="15" customHeight="1">
      <c r="A845" t="inlineStr">
        <is>
          <t>A 20020-2019</t>
        </is>
      </c>
      <c r="B845" s="1" t="n">
        <v>43570</v>
      </c>
      <c r="C845" s="1" t="n">
        <v>45186</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20051-2019</t>
        </is>
      </c>
      <c r="B846" s="1" t="n">
        <v>43570</v>
      </c>
      <c r="C846" s="1" t="n">
        <v>45186</v>
      </c>
      <c r="D846" t="inlineStr">
        <is>
          <t>STOCKHOLMS LÄN</t>
        </is>
      </c>
      <c r="E846" t="inlineStr">
        <is>
          <t>NORRTÄLJE</t>
        </is>
      </c>
      <c r="G846" t="n">
        <v>1.4</v>
      </c>
      <c r="H846" t="n">
        <v>0</v>
      </c>
      <c r="I846" t="n">
        <v>0</v>
      </c>
      <c r="J846" t="n">
        <v>0</v>
      </c>
      <c r="K846" t="n">
        <v>0</v>
      </c>
      <c r="L846" t="n">
        <v>0</v>
      </c>
      <c r="M846" t="n">
        <v>0</v>
      </c>
      <c r="N846" t="n">
        <v>0</v>
      </c>
      <c r="O846" t="n">
        <v>0</v>
      </c>
      <c r="P846" t="n">
        <v>0</v>
      </c>
      <c r="Q846" t="n">
        <v>0</v>
      </c>
      <c r="R846" s="2" t="inlineStr"/>
    </row>
    <row r="847" ht="15" customHeight="1">
      <c r="A847" t="inlineStr">
        <is>
          <t>A 20184-2019</t>
        </is>
      </c>
      <c r="B847" s="1" t="n">
        <v>43570</v>
      </c>
      <c r="C847" s="1" t="n">
        <v>45186</v>
      </c>
      <c r="D847" t="inlineStr">
        <is>
          <t>STOCKHOLMS LÄN</t>
        </is>
      </c>
      <c r="E847" t="inlineStr">
        <is>
          <t>NORRTÄLJE</t>
        </is>
      </c>
      <c r="G847" t="n">
        <v>2.8</v>
      </c>
      <c r="H847" t="n">
        <v>0</v>
      </c>
      <c r="I847" t="n">
        <v>0</v>
      </c>
      <c r="J847" t="n">
        <v>0</v>
      </c>
      <c r="K847" t="n">
        <v>0</v>
      </c>
      <c r="L847" t="n">
        <v>0</v>
      </c>
      <c r="M847" t="n">
        <v>0</v>
      </c>
      <c r="N847" t="n">
        <v>0</v>
      </c>
      <c r="O847" t="n">
        <v>0</v>
      </c>
      <c r="P847" t="n">
        <v>0</v>
      </c>
      <c r="Q847" t="n">
        <v>0</v>
      </c>
      <c r="R847" s="2" t="inlineStr"/>
    </row>
    <row r="848" ht="15" customHeight="1">
      <c r="A848" t="inlineStr">
        <is>
          <t>A 20023-2019</t>
        </is>
      </c>
      <c r="B848" s="1" t="n">
        <v>43570</v>
      </c>
      <c r="C848" s="1" t="n">
        <v>45186</v>
      </c>
      <c r="D848" t="inlineStr">
        <is>
          <t>STOCKHOLMS LÄN</t>
        </is>
      </c>
      <c r="E848" t="inlineStr">
        <is>
          <t>NORRTÄLJE</t>
        </is>
      </c>
      <c r="G848" t="n">
        <v>5.1</v>
      </c>
      <c r="H848" t="n">
        <v>0</v>
      </c>
      <c r="I848" t="n">
        <v>0</v>
      </c>
      <c r="J848" t="n">
        <v>0</v>
      </c>
      <c r="K848" t="n">
        <v>0</v>
      </c>
      <c r="L848" t="n">
        <v>0</v>
      </c>
      <c r="M848" t="n">
        <v>0</v>
      </c>
      <c r="N848" t="n">
        <v>0</v>
      </c>
      <c r="O848" t="n">
        <v>0</v>
      </c>
      <c r="P848" t="n">
        <v>0</v>
      </c>
      <c r="Q848" t="n">
        <v>0</v>
      </c>
      <c r="R848" s="2" t="inlineStr"/>
    </row>
    <row r="849" ht="15" customHeight="1">
      <c r="A849" t="inlineStr">
        <is>
          <t>A 20033-2019</t>
        </is>
      </c>
      <c r="B849" s="1" t="n">
        <v>43570</v>
      </c>
      <c r="C849" s="1" t="n">
        <v>45186</v>
      </c>
      <c r="D849" t="inlineStr">
        <is>
          <t>STOCKHOLMS LÄN</t>
        </is>
      </c>
      <c r="E849" t="inlineStr">
        <is>
          <t>NORRTÄLJE</t>
        </is>
      </c>
      <c r="G849" t="n">
        <v>1.3</v>
      </c>
      <c r="H849" t="n">
        <v>0</v>
      </c>
      <c r="I849" t="n">
        <v>0</v>
      </c>
      <c r="J849" t="n">
        <v>0</v>
      </c>
      <c r="K849" t="n">
        <v>0</v>
      </c>
      <c r="L849" t="n">
        <v>0</v>
      </c>
      <c r="M849" t="n">
        <v>0</v>
      </c>
      <c r="N849" t="n">
        <v>0</v>
      </c>
      <c r="O849" t="n">
        <v>0</v>
      </c>
      <c r="P849" t="n">
        <v>0</v>
      </c>
      <c r="Q849" t="n">
        <v>0</v>
      </c>
      <c r="R849" s="2" t="inlineStr"/>
    </row>
    <row r="850" ht="15" customHeight="1">
      <c r="A850" t="inlineStr">
        <is>
          <t>A 20090-2019</t>
        </is>
      </c>
      <c r="B850" s="1" t="n">
        <v>43570</v>
      </c>
      <c r="C850" s="1" t="n">
        <v>45186</v>
      </c>
      <c r="D850" t="inlineStr">
        <is>
          <t>STOCKHOLMS LÄN</t>
        </is>
      </c>
      <c r="E850" t="inlineStr">
        <is>
          <t>NORRTÄLJE</t>
        </is>
      </c>
      <c r="F850" t="inlineStr">
        <is>
          <t>Kommuner</t>
        </is>
      </c>
      <c r="G850" t="n">
        <v>1.3</v>
      </c>
      <c r="H850" t="n">
        <v>0</v>
      </c>
      <c r="I850" t="n">
        <v>0</v>
      </c>
      <c r="J850" t="n">
        <v>0</v>
      </c>
      <c r="K850" t="n">
        <v>0</v>
      </c>
      <c r="L850" t="n">
        <v>0</v>
      </c>
      <c r="M850" t="n">
        <v>0</v>
      </c>
      <c r="N850" t="n">
        <v>0</v>
      </c>
      <c r="O850" t="n">
        <v>0</v>
      </c>
      <c r="P850" t="n">
        <v>0</v>
      </c>
      <c r="Q850" t="n">
        <v>0</v>
      </c>
      <c r="R850" s="2" t="inlineStr"/>
    </row>
    <row r="851" ht="15" customHeight="1">
      <c r="A851" t="inlineStr">
        <is>
          <t>A 20193-2019</t>
        </is>
      </c>
      <c r="B851" s="1" t="n">
        <v>43570</v>
      </c>
      <c r="C851" s="1" t="n">
        <v>45186</v>
      </c>
      <c r="D851" t="inlineStr">
        <is>
          <t>STOCKHOLMS LÄN</t>
        </is>
      </c>
      <c r="E851" t="inlineStr">
        <is>
          <t>NORRTÄLJE</t>
        </is>
      </c>
      <c r="G851" t="n">
        <v>1.7</v>
      </c>
      <c r="H851" t="n">
        <v>0</v>
      </c>
      <c r="I851" t="n">
        <v>0</v>
      </c>
      <c r="J851" t="n">
        <v>0</v>
      </c>
      <c r="K851" t="n">
        <v>0</v>
      </c>
      <c r="L851" t="n">
        <v>0</v>
      </c>
      <c r="M851" t="n">
        <v>0</v>
      </c>
      <c r="N851" t="n">
        <v>0</v>
      </c>
      <c r="O851" t="n">
        <v>0</v>
      </c>
      <c r="P851" t="n">
        <v>0</v>
      </c>
      <c r="Q851" t="n">
        <v>0</v>
      </c>
      <c r="R851" s="2" t="inlineStr"/>
    </row>
    <row r="852" ht="15" customHeight="1">
      <c r="A852" t="inlineStr">
        <is>
          <t>A 20531-2019</t>
        </is>
      </c>
      <c r="B852" s="1" t="n">
        <v>43572</v>
      </c>
      <c r="C852" s="1" t="n">
        <v>45186</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20809-2019</t>
        </is>
      </c>
      <c r="B853" s="1" t="n">
        <v>43573</v>
      </c>
      <c r="C853" s="1" t="n">
        <v>45186</v>
      </c>
      <c r="D853" t="inlineStr">
        <is>
          <t>STOCKHOLMS LÄN</t>
        </is>
      </c>
      <c r="E853" t="inlineStr">
        <is>
          <t>NORRTÄLJE</t>
        </is>
      </c>
      <c r="F853" t="inlineStr">
        <is>
          <t>Kommuner</t>
        </is>
      </c>
      <c r="G853" t="n">
        <v>2.2</v>
      </c>
      <c r="H853" t="n">
        <v>0</v>
      </c>
      <c r="I853" t="n">
        <v>0</v>
      </c>
      <c r="J853" t="n">
        <v>0</v>
      </c>
      <c r="K853" t="n">
        <v>0</v>
      </c>
      <c r="L853" t="n">
        <v>0</v>
      </c>
      <c r="M853" t="n">
        <v>0</v>
      </c>
      <c r="N853" t="n">
        <v>0</v>
      </c>
      <c r="O853" t="n">
        <v>0</v>
      </c>
      <c r="P853" t="n">
        <v>0</v>
      </c>
      <c r="Q853" t="n">
        <v>0</v>
      </c>
      <c r="R853" s="2" t="inlineStr"/>
    </row>
    <row r="854" ht="15" customHeight="1">
      <c r="A854" t="inlineStr">
        <is>
          <t>A 20743-2019</t>
        </is>
      </c>
      <c r="B854" s="1" t="n">
        <v>43573</v>
      </c>
      <c r="C854" s="1" t="n">
        <v>45186</v>
      </c>
      <c r="D854" t="inlineStr">
        <is>
          <t>STOCKHOLMS LÄN</t>
        </is>
      </c>
      <c r="E854" t="inlineStr">
        <is>
          <t>NORRTÄLJE</t>
        </is>
      </c>
      <c r="G854" t="n">
        <v>2.2</v>
      </c>
      <c r="H854" t="n">
        <v>0</v>
      </c>
      <c r="I854" t="n">
        <v>0</v>
      </c>
      <c r="J854" t="n">
        <v>0</v>
      </c>
      <c r="K854" t="n">
        <v>0</v>
      </c>
      <c r="L854" t="n">
        <v>0</v>
      </c>
      <c r="M854" t="n">
        <v>0</v>
      </c>
      <c r="N854" t="n">
        <v>0</v>
      </c>
      <c r="O854" t="n">
        <v>0</v>
      </c>
      <c r="P854" t="n">
        <v>0</v>
      </c>
      <c r="Q854" t="n">
        <v>0</v>
      </c>
      <c r="R854" s="2" t="inlineStr"/>
    </row>
    <row r="855" ht="15" customHeight="1">
      <c r="A855" t="inlineStr">
        <is>
          <t>A 20925-2019</t>
        </is>
      </c>
      <c r="B855" s="1" t="n">
        <v>43578</v>
      </c>
      <c r="C855" s="1" t="n">
        <v>45186</v>
      </c>
      <c r="D855" t="inlineStr">
        <is>
          <t>STOCKHOLMS LÄN</t>
        </is>
      </c>
      <c r="E855" t="inlineStr">
        <is>
          <t>NORRTÄLJE</t>
        </is>
      </c>
      <c r="G855" t="n">
        <v>5</v>
      </c>
      <c r="H855" t="n">
        <v>0</v>
      </c>
      <c r="I855" t="n">
        <v>0</v>
      </c>
      <c r="J855" t="n">
        <v>0</v>
      </c>
      <c r="K855" t="n">
        <v>0</v>
      </c>
      <c r="L855" t="n">
        <v>0</v>
      </c>
      <c r="M855" t="n">
        <v>0</v>
      </c>
      <c r="N855" t="n">
        <v>0</v>
      </c>
      <c r="O855" t="n">
        <v>0</v>
      </c>
      <c r="P855" t="n">
        <v>0</v>
      </c>
      <c r="Q855" t="n">
        <v>0</v>
      </c>
      <c r="R855" s="2" t="inlineStr"/>
    </row>
    <row r="856" ht="15" customHeight="1">
      <c r="A856" t="inlineStr">
        <is>
          <t>A 21062-2019</t>
        </is>
      </c>
      <c r="B856" s="1" t="n">
        <v>43578</v>
      </c>
      <c r="C856" s="1" t="n">
        <v>45186</v>
      </c>
      <c r="D856" t="inlineStr">
        <is>
          <t>STOCKHOLMS LÄN</t>
        </is>
      </c>
      <c r="E856" t="inlineStr">
        <is>
          <t>NORRTÄLJE</t>
        </is>
      </c>
      <c r="G856" t="n">
        <v>2.7</v>
      </c>
      <c r="H856" t="n">
        <v>0</v>
      </c>
      <c r="I856" t="n">
        <v>0</v>
      </c>
      <c r="J856" t="n">
        <v>0</v>
      </c>
      <c r="K856" t="n">
        <v>0</v>
      </c>
      <c r="L856" t="n">
        <v>0</v>
      </c>
      <c r="M856" t="n">
        <v>0</v>
      </c>
      <c r="N856" t="n">
        <v>0</v>
      </c>
      <c r="O856" t="n">
        <v>0</v>
      </c>
      <c r="P856" t="n">
        <v>0</v>
      </c>
      <c r="Q856" t="n">
        <v>0</v>
      </c>
      <c r="R856" s="2" t="inlineStr"/>
    </row>
    <row r="857" ht="15" customHeight="1">
      <c r="A857" t="inlineStr">
        <is>
          <t>A 21441-2019</t>
        </is>
      </c>
      <c r="B857" s="1" t="n">
        <v>43580</v>
      </c>
      <c r="C857" s="1" t="n">
        <v>45186</v>
      </c>
      <c r="D857" t="inlineStr">
        <is>
          <t>STOCKHOLMS LÄN</t>
        </is>
      </c>
      <c r="E857" t="inlineStr">
        <is>
          <t>NORRTÄLJE</t>
        </is>
      </c>
      <c r="G857" t="n">
        <v>0.7</v>
      </c>
      <c r="H857" t="n">
        <v>0</v>
      </c>
      <c r="I857" t="n">
        <v>0</v>
      </c>
      <c r="J857" t="n">
        <v>0</v>
      </c>
      <c r="K857" t="n">
        <v>0</v>
      </c>
      <c r="L857" t="n">
        <v>0</v>
      </c>
      <c r="M857" t="n">
        <v>0</v>
      </c>
      <c r="N857" t="n">
        <v>0</v>
      </c>
      <c r="O857" t="n">
        <v>0</v>
      </c>
      <c r="P857" t="n">
        <v>0</v>
      </c>
      <c r="Q857" t="n">
        <v>0</v>
      </c>
      <c r="R857" s="2" t="inlineStr"/>
    </row>
    <row r="858" ht="15" customHeight="1">
      <c r="A858" t="inlineStr">
        <is>
          <t>A 21501-2019</t>
        </is>
      </c>
      <c r="B858" s="1" t="n">
        <v>43580</v>
      </c>
      <c r="C858" s="1" t="n">
        <v>45186</v>
      </c>
      <c r="D858" t="inlineStr">
        <is>
          <t>STOCKHOLMS LÄN</t>
        </is>
      </c>
      <c r="E858" t="inlineStr">
        <is>
          <t>NORRTÄLJE</t>
        </is>
      </c>
      <c r="G858" t="n">
        <v>3.6</v>
      </c>
      <c r="H858" t="n">
        <v>0</v>
      </c>
      <c r="I858" t="n">
        <v>0</v>
      </c>
      <c r="J858" t="n">
        <v>0</v>
      </c>
      <c r="K858" t="n">
        <v>0</v>
      </c>
      <c r="L858" t="n">
        <v>0</v>
      </c>
      <c r="M858" t="n">
        <v>0</v>
      </c>
      <c r="N858" t="n">
        <v>0</v>
      </c>
      <c r="O858" t="n">
        <v>0</v>
      </c>
      <c r="P858" t="n">
        <v>0</v>
      </c>
      <c r="Q858" t="n">
        <v>0</v>
      </c>
      <c r="R858" s="2" t="inlineStr"/>
    </row>
    <row r="859" ht="15" customHeight="1">
      <c r="A859" t="inlineStr">
        <is>
          <t>A 21457-2019</t>
        </is>
      </c>
      <c r="B859" s="1" t="n">
        <v>43580</v>
      </c>
      <c r="C859" s="1" t="n">
        <v>45186</v>
      </c>
      <c r="D859" t="inlineStr">
        <is>
          <t>STOCKHOLMS LÄN</t>
        </is>
      </c>
      <c r="E859" t="inlineStr">
        <is>
          <t>NORRTÄLJE</t>
        </is>
      </c>
      <c r="G859" t="n">
        <v>2.6</v>
      </c>
      <c r="H859" t="n">
        <v>0</v>
      </c>
      <c r="I859" t="n">
        <v>0</v>
      </c>
      <c r="J859" t="n">
        <v>0</v>
      </c>
      <c r="K859" t="n">
        <v>0</v>
      </c>
      <c r="L859" t="n">
        <v>0</v>
      </c>
      <c r="M859" t="n">
        <v>0</v>
      </c>
      <c r="N859" t="n">
        <v>0</v>
      </c>
      <c r="O859" t="n">
        <v>0</v>
      </c>
      <c r="P859" t="n">
        <v>0</v>
      </c>
      <c r="Q859" t="n">
        <v>0</v>
      </c>
      <c r="R859" s="2" t="inlineStr"/>
    </row>
    <row r="860" ht="15" customHeight="1">
      <c r="A860" t="inlineStr">
        <is>
          <t>A 21508-2019</t>
        </is>
      </c>
      <c r="B860" s="1" t="n">
        <v>43580</v>
      </c>
      <c r="C860" s="1" t="n">
        <v>45186</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21521-2019</t>
        </is>
      </c>
      <c r="B861" s="1" t="n">
        <v>43580</v>
      </c>
      <c r="C861" s="1" t="n">
        <v>45186</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21720-2019</t>
        </is>
      </c>
      <c r="B862" s="1" t="n">
        <v>43581</v>
      </c>
      <c r="C862" s="1" t="n">
        <v>45186</v>
      </c>
      <c r="D862" t="inlineStr">
        <is>
          <t>STOCKHOLMS LÄN</t>
        </is>
      </c>
      <c r="E862" t="inlineStr">
        <is>
          <t>NORRTÄLJE</t>
        </is>
      </c>
      <c r="F862" t="inlineStr">
        <is>
          <t>Kommuner</t>
        </is>
      </c>
      <c r="G862" t="n">
        <v>1.5</v>
      </c>
      <c r="H862" t="n">
        <v>0</v>
      </c>
      <c r="I862" t="n">
        <v>0</v>
      </c>
      <c r="J862" t="n">
        <v>0</v>
      </c>
      <c r="K862" t="n">
        <v>0</v>
      </c>
      <c r="L862" t="n">
        <v>0</v>
      </c>
      <c r="M862" t="n">
        <v>0</v>
      </c>
      <c r="N862" t="n">
        <v>0</v>
      </c>
      <c r="O862" t="n">
        <v>0</v>
      </c>
      <c r="P862" t="n">
        <v>0</v>
      </c>
      <c r="Q862" t="n">
        <v>0</v>
      </c>
      <c r="R862" s="2" t="inlineStr"/>
    </row>
    <row r="863" ht="15" customHeight="1">
      <c r="A863" t="inlineStr">
        <is>
          <t>A 21616-2019</t>
        </is>
      </c>
      <c r="B863" s="1" t="n">
        <v>43581</v>
      </c>
      <c r="C863" s="1" t="n">
        <v>45186</v>
      </c>
      <c r="D863" t="inlineStr">
        <is>
          <t>STOCKHOLMS LÄN</t>
        </is>
      </c>
      <c r="E863" t="inlineStr">
        <is>
          <t>NORRTÄLJE</t>
        </is>
      </c>
      <c r="G863" t="n">
        <v>5.3</v>
      </c>
      <c r="H863" t="n">
        <v>0</v>
      </c>
      <c r="I863" t="n">
        <v>0</v>
      </c>
      <c r="J863" t="n">
        <v>0</v>
      </c>
      <c r="K863" t="n">
        <v>0</v>
      </c>
      <c r="L863" t="n">
        <v>0</v>
      </c>
      <c r="M863" t="n">
        <v>0</v>
      </c>
      <c r="N863" t="n">
        <v>0</v>
      </c>
      <c r="O863" t="n">
        <v>0</v>
      </c>
      <c r="P863" t="n">
        <v>0</v>
      </c>
      <c r="Q863" t="n">
        <v>0</v>
      </c>
      <c r="R863" s="2" t="inlineStr"/>
    </row>
    <row r="864" ht="15" customHeight="1">
      <c r="A864" t="inlineStr">
        <is>
          <t>A 21662-2019</t>
        </is>
      </c>
      <c r="B864" s="1" t="n">
        <v>43581</v>
      </c>
      <c r="C864" s="1" t="n">
        <v>45186</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21811-2019</t>
        </is>
      </c>
      <c r="B865" s="1" t="n">
        <v>43582</v>
      </c>
      <c r="C865" s="1" t="n">
        <v>45186</v>
      </c>
      <c r="D865" t="inlineStr">
        <is>
          <t>STOCKHOLMS LÄN</t>
        </is>
      </c>
      <c r="E865" t="inlineStr">
        <is>
          <t>NORRTÄLJE</t>
        </is>
      </c>
      <c r="G865" t="n">
        <v>1.4</v>
      </c>
      <c r="H865" t="n">
        <v>0</v>
      </c>
      <c r="I865" t="n">
        <v>0</v>
      </c>
      <c r="J865" t="n">
        <v>0</v>
      </c>
      <c r="K865" t="n">
        <v>0</v>
      </c>
      <c r="L865" t="n">
        <v>0</v>
      </c>
      <c r="M865" t="n">
        <v>0</v>
      </c>
      <c r="N865" t="n">
        <v>0</v>
      </c>
      <c r="O865" t="n">
        <v>0</v>
      </c>
      <c r="P865" t="n">
        <v>0</v>
      </c>
      <c r="Q865" t="n">
        <v>0</v>
      </c>
      <c r="R865" s="2" t="inlineStr"/>
    </row>
    <row r="866" ht="15" customHeight="1">
      <c r="A866" t="inlineStr">
        <is>
          <t>A 22218-2019</t>
        </is>
      </c>
      <c r="B866" s="1" t="n">
        <v>43585</v>
      </c>
      <c r="C866" s="1" t="n">
        <v>45186</v>
      </c>
      <c r="D866" t="inlineStr">
        <is>
          <t>STOCKHOLMS LÄN</t>
        </is>
      </c>
      <c r="E866" t="inlineStr">
        <is>
          <t>NORRTÄLJE</t>
        </is>
      </c>
      <c r="G866" t="n">
        <v>1.3</v>
      </c>
      <c r="H866" t="n">
        <v>0</v>
      </c>
      <c r="I866" t="n">
        <v>0</v>
      </c>
      <c r="J866" t="n">
        <v>0</v>
      </c>
      <c r="K866" t="n">
        <v>0</v>
      </c>
      <c r="L866" t="n">
        <v>0</v>
      </c>
      <c r="M866" t="n">
        <v>0</v>
      </c>
      <c r="N866" t="n">
        <v>0</v>
      </c>
      <c r="O866" t="n">
        <v>0</v>
      </c>
      <c r="P866" t="n">
        <v>0</v>
      </c>
      <c r="Q866" t="n">
        <v>0</v>
      </c>
      <c r="R866" s="2" t="inlineStr"/>
    </row>
    <row r="867" ht="15" customHeight="1">
      <c r="A867" t="inlineStr">
        <is>
          <t>A 22207-2019</t>
        </is>
      </c>
      <c r="B867" s="1" t="n">
        <v>43585</v>
      </c>
      <c r="C867" s="1" t="n">
        <v>45186</v>
      </c>
      <c r="D867" t="inlineStr">
        <is>
          <t>STOCKHOLMS LÄN</t>
        </is>
      </c>
      <c r="E867" t="inlineStr">
        <is>
          <t>NORRTÄLJE</t>
        </is>
      </c>
      <c r="G867" t="n">
        <v>0.8</v>
      </c>
      <c r="H867" t="n">
        <v>0</v>
      </c>
      <c r="I867" t="n">
        <v>0</v>
      </c>
      <c r="J867" t="n">
        <v>0</v>
      </c>
      <c r="K867" t="n">
        <v>0</v>
      </c>
      <c r="L867" t="n">
        <v>0</v>
      </c>
      <c r="M867" t="n">
        <v>0</v>
      </c>
      <c r="N867" t="n">
        <v>0</v>
      </c>
      <c r="O867" t="n">
        <v>0</v>
      </c>
      <c r="P867" t="n">
        <v>0</v>
      </c>
      <c r="Q867" t="n">
        <v>0</v>
      </c>
      <c r="R867" s="2" t="inlineStr"/>
    </row>
    <row r="868" ht="15" customHeight="1">
      <c r="A868" t="inlineStr">
        <is>
          <t>A 22211-2019</t>
        </is>
      </c>
      <c r="B868" s="1" t="n">
        <v>43585</v>
      </c>
      <c r="C868" s="1" t="n">
        <v>45186</v>
      </c>
      <c r="D868" t="inlineStr">
        <is>
          <t>STOCKHOLMS LÄN</t>
        </is>
      </c>
      <c r="E868" t="inlineStr">
        <is>
          <t>NORRTÄLJE</t>
        </is>
      </c>
      <c r="G868" t="n">
        <v>6.8</v>
      </c>
      <c r="H868" t="n">
        <v>0</v>
      </c>
      <c r="I868" t="n">
        <v>0</v>
      </c>
      <c r="J868" t="n">
        <v>0</v>
      </c>
      <c r="K868" t="n">
        <v>0</v>
      </c>
      <c r="L868" t="n">
        <v>0</v>
      </c>
      <c r="M868" t="n">
        <v>0</v>
      </c>
      <c r="N868" t="n">
        <v>0</v>
      </c>
      <c r="O868" t="n">
        <v>0</v>
      </c>
      <c r="P868" t="n">
        <v>0</v>
      </c>
      <c r="Q868" t="n">
        <v>0</v>
      </c>
      <c r="R868" s="2" t="inlineStr"/>
    </row>
    <row r="869" ht="15" customHeight="1">
      <c r="A869" t="inlineStr">
        <is>
          <t>A 22254-2019</t>
        </is>
      </c>
      <c r="B869" s="1" t="n">
        <v>43585</v>
      </c>
      <c r="C869" s="1" t="n">
        <v>45186</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22331-2019</t>
        </is>
      </c>
      <c r="B870" s="1" t="n">
        <v>43586</v>
      </c>
      <c r="C870" s="1" t="n">
        <v>45186</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22359-2019</t>
        </is>
      </c>
      <c r="B871" s="1" t="n">
        <v>43587</v>
      </c>
      <c r="C871" s="1" t="n">
        <v>45186</v>
      </c>
      <c r="D871" t="inlineStr">
        <is>
          <t>STOCKHOLMS LÄN</t>
        </is>
      </c>
      <c r="E871" t="inlineStr">
        <is>
          <t>NORRTÄLJE</t>
        </is>
      </c>
      <c r="G871" t="n">
        <v>1.1</v>
      </c>
      <c r="H871" t="n">
        <v>0</v>
      </c>
      <c r="I871" t="n">
        <v>0</v>
      </c>
      <c r="J871" t="n">
        <v>0</v>
      </c>
      <c r="K871" t="n">
        <v>0</v>
      </c>
      <c r="L871" t="n">
        <v>0</v>
      </c>
      <c r="M871" t="n">
        <v>0</v>
      </c>
      <c r="N871" t="n">
        <v>0</v>
      </c>
      <c r="O871" t="n">
        <v>0</v>
      </c>
      <c r="P871" t="n">
        <v>0</v>
      </c>
      <c r="Q871" t="n">
        <v>0</v>
      </c>
      <c r="R871" s="2" t="inlineStr"/>
    </row>
    <row r="872" ht="15" customHeight="1">
      <c r="A872" t="inlineStr">
        <is>
          <t>A 22422-2019</t>
        </is>
      </c>
      <c r="B872" s="1" t="n">
        <v>43587</v>
      </c>
      <c r="C872" s="1" t="n">
        <v>45186</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22490-2019</t>
        </is>
      </c>
      <c r="B873" s="1" t="n">
        <v>43587</v>
      </c>
      <c r="C873" s="1" t="n">
        <v>45186</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22496-2019</t>
        </is>
      </c>
      <c r="B874" s="1" t="n">
        <v>43587</v>
      </c>
      <c r="C874" s="1" t="n">
        <v>45186</v>
      </c>
      <c r="D874" t="inlineStr">
        <is>
          <t>STOCKHOLMS LÄN</t>
        </is>
      </c>
      <c r="E874" t="inlineStr">
        <is>
          <t>NORRTÄLJE</t>
        </is>
      </c>
      <c r="G874" t="n">
        <v>0.6</v>
      </c>
      <c r="H874" t="n">
        <v>0</v>
      </c>
      <c r="I874" t="n">
        <v>0</v>
      </c>
      <c r="J874" t="n">
        <v>0</v>
      </c>
      <c r="K874" t="n">
        <v>0</v>
      </c>
      <c r="L874" t="n">
        <v>0</v>
      </c>
      <c r="M874" t="n">
        <v>0</v>
      </c>
      <c r="N874" t="n">
        <v>0</v>
      </c>
      <c r="O874" t="n">
        <v>0</v>
      </c>
      <c r="P874" t="n">
        <v>0</v>
      </c>
      <c r="Q874" t="n">
        <v>0</v>
      </c>
      <c r="R874" s="2" t="inlineStr"/>
    </row>
    <row r="875" ht="15" customHeight="1">
      <c r="A875" t="inlineStr">
        <is>
          <t>A 23444-2019</t>
        </is>
      </c>
      <c r="B875" s="1" t="n">
        <v>43592</v>
      </c>
      <c r="C875" s="1" t="n">
        <v>45186</v>
      </c>
      <c r="D875" t="inlineStr">
        <is>
          <t>STOCKHOLMS LÄN</t>
        </is>
      </c>
      <c r="E875" t="inlineStr">
        <is>
          <t>NYNÄSHAMN</t>
        </is>
      </c>
      <c r="F875" t="inlineStr">
        <is>
          <t>Övriga statliga verk och myndigheter</t>
        </is>
      </c>
      <c r="G875" t="n">
        <v>6.9</v>
      </c>
      <c r="H875" t="n">
        <v>0</v>
      </c>
      <c r="I875" t="n">
        <v>0</v>
      </c>
      <c r="J875" t="n">
        <v>0</v>
      </c>
      <c r="K875" t="n">
        <v>0</v>
      </c>
      <c r="L875" t="n">
        <v>0</v>
      </c>
      <c r="M875" t="n">
        <v>0</v>
      </c>
      <c r="N875" t="n">
        <v>0</v>
      </c>
      <c r="O875" t="n">
        <v>0</v>
      </c>
      <c r="P875" t="n">
        <v>0</v>
      </c>
      <c r="Q875" t="n">
        <v>0</v>
      </c>
      <c r="R875" s="2" t="inlineStr"/>
    </row>
    <row r="876" ht="15" customHeight="1">
      <c r="A876" t="inlineStr">
        <is>
          <t>A 23783-2019</t>
        </is>
      </c>
      <c r="B876" s="1" t="n">
        <v>43592</v>
      </c>
      <c r="C876" s="1" t="n">
        <v>45186</v>
      </c>
      <c r="D876" t="inlineStr">
        <is>
          <t>STOCKHOLMS LÄN</t>
        </is>
      </c>
      <c r="E876" t="inlineStr">
        <is>
          <t>NYNÄSHAMN</t>
        </is>
      </c>
      <c r="F876" t="inlineStr">
        <is>
          <t>Övriga statliga verk och myndigheter</t>
        </is>
      </c>
      <c r="G876" t="n">
        <v>7.3</v>
      </c>
      <c r="H876" t="n">
        <v>0</v>
      </c>
      <c r="I876" t="n">
        <v>0</v>
      </c>
      <c r="J876" t="n">
        <v>0</v>
      </c>
      <c r="K876" t="n">
        <v>0</v>
      </c>
      <c r="L876" t="n">
        <v>0</v>
      </c>
      <c r="M876" t="n">
        <v>0</v>
      </c>
      <c r="N876" t="n">
        <v>0</v>
      </c>
      <c r="O876" t="n">
        <v>0</v>
      </c>
      <c r="P876" t="n">
        <v>0</v>
      </c>
      <c r="Q876" t="n">
        <v>0</v>
      </c>
      <c r="R876" s="2" t="inlineStr"/>
    </row>
    <row r="877" ht="15" customHeight="1">
      <c r="A877" t="inlineStr">
        <is>
          <t>A 23342-2019</t>
        </is>
      </c>
      <c r="B877" s="1" t="n">
        <v>43593</v>
      </c>
      <c r="C877" s="1" t="n">
        <v>45186</v>
      </c>
      <c r="D877" t="inlineStr">
        <is>
          <t>STOCKHOLMS LÄN</t>
        </is>
      </c>
      <c r="E877" t="inlineStr">
        <is>
          <t>VÄRMDÖ</t>
        </is>
      </c>
      <c r="G877" t="n">
        <v>4</v>
      </c>
      <c r="H877" t="n">
        <v>0</v>
      </c>
      <c r="I877" t="n">
        <v>0</v>
      </c>
      <c r="J877" t="n">
        <v>0</v>
      </c>
      <c r="K877" t="n">
        <v>0</v>
      </c>
      <c r="L877" t="n">
        <v>0</v>
      </c>
      <c r="M877" t="n">
        <v>0</v>
      </c>
      <c r="N877" t="n">
        <v>0</v>
      </c>
      <c r="O877" t="n">
        <v>0</v>
      </c>
      <c r="P877" t="n">
        <v>0</v>
      </c>
      <c r="Q877" t="n">
        <v>0</v>
      </c>
      <c r="R877" s="2" t="inlineStr"/>
    </row>
    <row r="878" ht="15" customHeight="1">
      <c r="A878" t="inlineStr">
        <is>
          <t>A 23711-2019</t>
        </is>
      </c>
      <c r="B878" s="1" t="n">
        <v>43594</v>
      </c>
      <c r="C878" s="1" t="n">
        <v>45186</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23710-2019</t>
        </is>
      </c>
      <c r="B879" s="1" t="n">
        <v>43594</v>
      </c>
      <c r="C879" s="1" t="n">
        <v>45186</v>
      </c>
      <c r="D879" t="inlineStr">
        <is>
          <t>STOCKHOLMS LÄN</t>
        </is>
      </c>
      <c r="E879" t="inlineStr">
        <is>
          <t>NORRTÄLJE</t>
        </is>
      </c>
      <c r="G879" t="n">
        <v>2.2</v>
      </c>
      <c r="H879" t="n">
        <v>0</v>
      </c>
      <c r="I879" t="n">
        <v>0</v>
      </c>
      <c r="J879" t="n">
        <v>0</v>
      </c>
      <c r="K879" t="n">
        <v>0</v>
      </c>
      <c r="L879" t="n">
        <v>0</v>
      </c>
      <c r="M879" t="n">
        <v>0</v>
      </c>
      <c r="N879" t="n">
        <v>0</v>
      </c>
      <c r="O879" t="n">
        <v>0</v>
      </c>
      <c r="P879" t="n">
        <v>0</v>
      </c>
      <c r="Q879" t="n">
        <v>0</v>
      </c>
      <c r="R879" s="2" t="inlineStr"/>
    </row>
    <row r="880" ht="15" customHeight="1">
      <c r="A880" t="inlineStr">
        <is>
          <t>A 23862-2019</t>
        </is>
      </c>
      <c r="B880" s="1" t="n">
        <v>43595</v>
      </c>
      <c r="C880" s="1" t="n">
        <v>45186</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23878-2019</t>
        </is>
      </c>
      <c r="B881" s="1" t="n">
        <v>43595</v>
      </c>
      <c r="C881" s="1" t="n">
        <v>45186</v>
      </c>
      <c r="D881" t="inlineStr">
        <is>
          <t>STOCKHOLMS LÄN</t>
        </is>
      </c>
      <c r="E881" t="inlineStr">
        <is>
          <t>NORRTÄLJE</t>
        </is>
      </c>
      <c r="G881" t="n">
        <v>1.3</v>
      </c>
      <c r="H881" t="n">
        <v>0</v>
      </c>
      <c r="I881" t="n">
        <v>0</v>
      </c>
      <c r="J881" t="n">
        <v>0</v>
      </c>
      <c r="K881" t="n">
        <v>0</v>
      </c>
      <c r="L881" t="n">
        <v>0</v>
      </c>
      <c r="M881" t="n">
        <v>0</v>
      </c>
      <c r="N881" t="n">
        <v>0</v>
      </c>
      <c r="O881" t="n">
        <v>0</v>
      </c>
      <c r="P881" t="n">
        <v>0</v>
      </c>
      <c r="Q881" t="n">
        <v>0</v>
      </c>
      <c r="R881" s="2" t="inlineStr"/>
    </row>
    <row r="882" ht="15" customHeight="1">
      <c r="A882" t="inlineStr">
        <is>
          <t>A 23961-2019</t>
        </is>
      </c>
      <c r="B882" s="1" t="n">
        <v>43597</v>
      </c>
      <c r="C882" s="1" t="n">
        <v>45186</v>
      </c>
      <c r="D882" t="inlineStr">
        <is>
          <t>STOCKHOLMS LÄN</t>
        </is>
      </c>
      <c r="E882" t="inlineStr">
        <is>
          <t>NORRTÄLJE</t>
        </is>
      </c>
      <c r="G882" t="n">
        <v>17.6</v>
      </c>
      <c r="H882" t="n">
        <v>0</v>
      </c>
      <c r="I882" t="n">
        <v>0</v>
      </c>
      <c r="J882" t="n">
        <v>0</v>
      </c>
      <c r="K882" t="n">
        <v>0</v>
      </c>
      <c r="L882" t="n">
        <v>0</v>
      </c>
      <c r="M882" t="n">
        <v>0</v>
      </c>
      <c r="N882" t="n">
        <v>0</v>
      </c>
      <c r="O882" t="n">
        <v>0</v>
      </c>
      <c r="P882" t="n">
        <v>0</v>
      </c>
      <c r="Q882" t="n">
        <v>0</v>
      </c>
      <c r="R882" s="2" t="inlineStr"/>
    </row>
    <row r="883" ht="15" customHeight="1">
      <c r="A883" t="inlineStr">
        <is>
          <t>A 23963-2019</t>
        </is>
      </c>
      <c r="B883" s="1" t="n">
        <v>43597</v>
      </c>
      <c r="C883" s="1" t="n">
        <v>45186</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23965-2019</t>
        </is>
      </c>
      <c r="B884" s="1" t="n">
        <v>43597</v>
      </c>
      <c r="C884" s="1" t="n">
        <v>45186</v>
      </c>
      <c r="D884" t="inlineStr">
        <is>
          <t>STOCKHOLMS LÄN</t>
        </is>
      </c>
      <c r="E884" t="inlineStr">
        <is>
          <t>NORRTÄLJE</t>
        </is>
      </c>
      <c r="G884" t="n">
        <v>6.1</v>
      </c>
      <c r="H884" t="n">
        <v>0</v>
      </c>
      <c r="I884" t="n">
        <v>0</v>
      </c>
      <c r="J884" t="n">
        <v>0</v>
      </c>
      <c r="K884" t="n">
        <v>0</v>
      </c>
      <c r="L884" t="n">
        <v>0</v>
      </c>
      <c r="M884" t="n">
        <v>0</v>
      </c>
      <c r="N884" t="n">
        <v>0</v>
      </c>
      <c r="O884" t="n">
        <v>0</v>
      </c>
      <c r="P884" t="n">
        <v>0</v>
      </c>
      <c r="Q884" t="n">
        <v>0</v>
      </c>
      <c r="R884" s="2" t="inlineStr"/>
    </row>
    <row r="885" ht="15" customHeight="1">
      <c r="A885" t="inlineStr">
        <is>
          <t>A 24058-2019</t>
        </is>
      </c>
      <c r="B885" s="1" t="n">
        <v>43598</v>
      </c>
      <c r="C885" s="1" t="n">
        <v>45186</v>
      </c>
      <c r="D885" t="inlineStr">
        <is>
          <t>STOCKHOLMS LÄN</t>
        </is>
      </c>
      <c r="E885" t="inlineStr">
        <is>
          <t>NORRTÄLJE</t>
        </is>
      </c>
      <c r="G885" t="n">
        <v>2.5</v>
      </c>
      <c r="H885" t="n">
        <v>0</v>
      </c>
      <c r="I885" t="n">
        <v>0</v>
      </c>
      <c r="J885" t="n">
        <v>0</v>
      </c>
      <c r="K885" t="n">
        <v>0</v>
      </c>
      <c r="L885" t="n">
        <v>0</v>
      </c>
      <c r="M885" t="n">
        <v>0</v>
      </c>
      <c r="N885" t="n">
        <v>0</v>
      </c>
      <c r="O885" t="n">
        <v>0</v>
      </c>
      <c r="P885" t="n">
        <v>0</v>
      </c>
      <c r="Q885" t="n">
        <v>0</v>
      </c>
      <c r="R885" s="2" t="inlineStr"/>
    </row>
    <row r="886" ht="15" customHeight="1">
      <c r="A886" t="inlineStr">
        <is>
          <t>A 24124-2019</t>
        </is>
      </c>
      <c r="B886" s="1" t="n">
        <v>43598</v>
      </c>
      <c r="C886" s="1" t="n">
        <v>45186</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24362-2019</t>
        </is>
      </c>
      <c r="B887" s="1" t="n">
        <v>43599</v>
      </c>
      <c r="C887" s="1" t="n">
        <v>45186</v>
      </c>
      <c r="D887" t="inlineStr">
        <is>
          <t>STOCKHOLMS LÄN</t>
        </is>
      </c>
      <c r="E887" t="inlineStr">
        <is>
          <t>NYNÄSHAMN</t>
        </is>
      </c>
      <c r="F887" t="inlineStr">
        <is>
          <t>Kommuner</t>
        </is>
      </c>
      <c r="G887" t="n">
        <v>2.3</v>
      </c>
      <c r="H887" t="n">
        <v>0</v>
      </c>
      <c r="I887" t="n">
        <v>0</v>
      </c>
      <c r="J887" t="n">
        <v>0</v>
      </c>
      <c r="K887" t="n">
        <v>0</v>
      </c>
      <c r="L887" t="n">
        <v>0</v>
      </c>
      <c r="M887" t="n">
        <v>0</v>
      </c>
      <c r="N887" t="n">
        <v>0</v>
      </c>
      <c r="O887" t="n">
        <v>0</v>
      </c>
      <c r="P887" t="n">
        <v>0</v>
      </c>
      <c r="Q887" t="n">
        <v>0</v>
      </c>
      <c r="R887" s="2" t="inlineStr"/>
    </row>
    <row r="888" ht="15" customHeight="1">
      <c r="A888" t="inlineStr">
        <is>
          <t>A 24360-2019</t>
        </is>
      </c>
      <c r="B888" s="1" t="n">
        <v>43599</v>
      </c>
      <c r="C888" s="1" t="n">
        <v>45186</v>
      </c>
      <c r="D888" t="inlineStr">
        <is>
          <t>STOCKHOLMS LÄN</t>
        </is>
      </c>
      <c r="E888" t="inlineStr">
        <is>
          <t>NYNÄSHAMN</t>
        </is>
      </c>
      <c r="F888" t="inlineStr">
        <is>
          <t>Kommuner</t>
        </is>
      </c>
      <c r="G888" t="n">
        <v>1.2</v>
      </c>
      <c r="H888" t="n">
        <v>0</v>
      </c>
      <c r="I888" t="n">
        <v>0</v>
      </c>
      <c r="J888" t="n">
        <v>0</v>
      </c>
      <c r="K888" t="n">
        <v>0</v>
      </c>
      <c r="L888" t="n">
        <v>0</v>
      </c>
      <c r="M888" t="n">
        <v>0</v>
      </c>
      <c r="N888" t="n">
        <v>0</v>
      </c>
      <c r="O888" t="n">
        <v>0</v>
      </c>
      <c r="P888" t="n">
        <v>0</v>
      </c>
      <c r="Q888" t="n">
        <v>0</v>
      </c>
      <c r="R888" s="2" t="inlineStr"/>
    </row>
    <row r="889" ht="15" customHeight="1">
      <c r="A889" t="inlineStr">
        <is>
          <t>A 24562-2019</t>
        </is>
      </c>
      <c r="B889" s="1" t="n">
        <v>43600</v>
      </c>
      <c r="C889" s="1" t="n">
        <v>45186</v>
      </c>
      <c r="D889" t="inlineStr">
        <is>
          <t>STOCKHOLMS LÄN</t>
        </is>
      </c>
      <c r="E889" t="inlineStr">
        <is>
          <t>NORRTÄLJE</t>
        </is>
      </c>
      <c r="G889" t="n">
        <v>1.1</v>
      </c>
      <c r="H889" t="n">
        <v>0</v>
      </c>
      <c r="I889" t="n">
        <v>0</v>
      </c>
      <c r="J889" t="n">
        <v>0</v>
      </c>
      <c r="K889" t="n">
        <v>0</v>
      </c>
      <c r="L889" t="n">
        <v>0</v>
      </c>
      <c r="M889" t="n">
        <v>0</v>
      </c>
      <c r="N889" t="n">
        <v>0</v>
      </c>
      <c r="O889" t="n">
        <v>0</v>
      </c>
      <c r="P889" t="n">
        <v>0</v>
      </c>
      <c r="Q889" t="n">
        <v>0</v>
      </c>
      <c r="R889" s="2" t="inlineStr"/>
    </row>
    <row r="890" ht="15" customHeight="1">
      <c r="A890" t="inlineStr">
        <is>
          <t>A 24657-2019</t>
        </is>
      </c>
      <c r="B890" s="1" t="n">
        <v>43601</v>
      </c>
      <c r="C890" s="1" t="n">
        <v>45186</v>
      </c>
      <c r="D890" t="inlineStr">
        <is>
          <t>STOCKHOLMS LÄN</t>
        </is>
      </c>
      <c r="E890" t="inlineStr">
        <is>
          <t>SÖDERTÄLJE</t>
        </is>
      </c>
      <c r="G890" t="n">
        <v>1.6</v>
      </c>
      <c r="H890" t="n">
        <v>0</v>
      </c>
      <c r="I890" t="n">
        <v>0</v>
      </c>
      <c r="J890" t="n">
        <v>0</v>
      </c>
      <c r="K890" t="n">
        <v>0</v>
      </c>
      <c r="L890" t="n">
        <v>0</v>
      </c>
      <c r="M890" t="n">
        <v>0</v>
      </c>
      <c r="N890" t="n">
        <v>0</v>
      </c>
      <c r="O890" t="n">
        <v>0</v>
      </c>
      <c r="P890" t="n">
        <v>0</v>
      </c>
      <c r="Q890" t="n">
        <v>0</v>
      </c>
      <c r="R890" s="2" t="inlineStr"/>
    </row>
    <row r="891" ht="15" customHeight="1">
      <c r="A891" t="inlineStr">
        <is>
          <t>A 24721-2019</t>
        </is>
      </c>
      <c r="B891" s="1" t="n">
        <v>43601</v>
      </c>
      <c r="C891" s="1" t="n">
        <v>45186</v>
      </c>
      <c r="D891" t="inlineStr">
        <is>
          <t>STOCKHOLMS LÄN</t>
        </is>
      </c>
      <c r="E891" t="inlineStr">
        <is>
          <t>NORRTÄLJE</t>
        </is>
      </c>
      <c r="G891" t="n">
        <v>1.8</v>
      </c>
      <c r="H891" t="n">
        <v>0</v>
      </c>
      <c r="I891" t="n">
        <v>0</v>
      </c>
      <c r="J891" t="n">
        <v>0</v>
      </c>
      <c r="K891" t="n">
        <v>0</v>
      </c>
      <c r="L891" t="n">
        <v>0</v>
      </c>
      <c r="M891" t="n">
        <v>0</v>
      </c>
      <c r="N891" t="n">
        <v>0</v>
      </c>
      <c r="O891" t="n">
        <v>0</v>
      </c>
      <c r="P891" t="n">
        <v>0</v>
      </c>
      <c r="Q891" t="n">
        <v>0</v>
      </c>
      <c r="R891" s="2" t="inlineStr"/>
    </row>
    <row r="892" ht="15" customHeight="1">
      <c r="A892" t="inlineStr">
        <is>
          <t>A 25284-2019</t>
        </is>
      </c>
      <c r="B892" s="1" t="n">
        <v>43605</v>
      </c>
      <c r="C892" s="1" t="n">
        <v>45186</v>
      </c>
      <c r="D892" t="inlineStr">
        <is>
          <t>STOCKHOLMS LÄN</t>
        </is>
      </c>
      <c r="E892" t="inlineStr">
        <is>
          <t>NORRTÄLJE</t>
        </is>
      </c>
      <c r="G892" t="n">
        <v>3.6</v>
      </c>
      <c r="H892" t="n">
        <v>0</v>
      </c>
      <c r="I892" t="n">
        <v>0</v>
      </c>
      <c r="J892" t="n">
        <v>0</v>
      </c>
      <c r="K892" t="n">
        <v>0</v>
      </c>
      <c r="L892" t="n">
        <v>0</v>
      </c>
      <c r="M892" t="n">
        <v>0</v>
      </c>
      <c r="N892" t="n">
        <v>0</v>
      </c>
      <c r="O892" t="n">
        <v>0</v>
      </c>
      <c r="P892" t="n">
        <v>0</v>
      </c>
      <c r="Q892" t="n">
        <v>0</v>
      </c>
      <c r="R892" s="2" t="inlineStr"/>
    </row>
    <row r="893" ht="15" customHeight="1">
      <c r="A893" t="inlineStr">
        <is>
          <t>A 26374-2019</t>
        </is>
      </c>
      <c r="B893" s="1" t="n">
        <v>43606</v>
      </c>
      <c r="C893" s="1" t="n">
        <v>45186</v>
      </c>
      <c r="D893" t="inlineStr">
        <is>
          <t>STOCKHOLMS LÄN</t>
        </is>
      </c>
      <c r="E893" t="inlineStr">
        <is>
          <t>NORRTÄLJE</t>
        </is>
      </c>
      <c r="G893" t="n">
        <v>11.6</v>
      </c>
      <c r="H893" t="n">
        <v>0</v>
      </c>
      <c r="I893" t="n">
        <v>0</v>
      </c>
      <c r="J893" t="n">
        <v>0</v>
      </c>
      <c r="K893" t="n">
        <v>0</v>
      </c>
      <c r="L893" t="n">
        <v>0</v>
      </c>
      <c r="M893" t="n">
        <v>0</v>
      </c>
      <c r="N893" t="n">
        <v>0</v>
      </c>
      <c r="O893" t="n">
        <v>0</v>
      </c>
      <c r="P893" t="n">
        <v>0</v>
      </c>
      <c r="Q893" t="n">
        <v>0</v>
      </c>
      <c r="R893" s="2" t="inlineStr"/>
    </row>
    <row r="894" ht="15" customHeight="1">
      <c r="A894" t="inlineStr">
        <is>
          <t>A 25316-2019</t>
        </is>
      </c>
      <c r="B894" s="1" t="n">
        <v>43606</v>
      </c>
      <c r="C894" s="1" t="n">
        <v>45186</v>
      </c>
      <c r="D894" t="inlineStr">
        <is>
          <t>STOCKHOLMS LÄN</t>
        </is>
      </c>
      <c r="E894" t="inlineStr">
        <is>
          <t>NORRTÄLJE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25535-2019</t>
        </is>
      </c>
      <c r="B895" s="1" t="n">
        <v>43606</v>
      </c>
      <c r="C895" s="1" t="n">
        <v>45186</v>
      </c>
      <c r="D895" t="inlineStr">
        <is>
          <t>STOCKHOLMS LÄN</t>
        </is>
      </c>
      <c r="E895" t="inlineStr">
        <is>
          <t>NORRTÄLJE</t>
        </is>
      </c>
      <c r="G895" t="n">
        <v>1.7</v>
      </c>
      <c r="H895" t="n">
        <v>0</v>
      </c>
      <c r="I895" t="n">
        <v>0</v>
      </c>
      <c r="J895" t="n">
        <v>0</v>
      </c>
      <c r="K895" t="n">
        <v>0</v>
      </c>
      <c r="L895" t="n">
        <v>0</v>
      </c>
      <c r="M895" t="n">
        <v>0</v>
      </c>
      <c r="N895" t="n">
        <v>0</v>
      </c>
      <c r="O895" t="n">
        <v>0</v>
      </c>
      <c r="P895" t="n">
        <v>0</v>
      </c>
      <c r="Q895" t="n">
        <v>0</v>
      </c>
      <c r="R895" s="2" t="inlineStr"/>
    </row>
    <row r="896" ht="15" customHeight="1">
      <c r="A896" t="inlineStr">
        <is>
          <t>A 25315-2019</t>
        </is>
      </c>
      <c r="B896" s="1" t="n">
        <v>43606</v>
      </c>
      <c r="C896" s="1" t="n">
        <v>45186</v>
      </c>
      <c r="D896" t="inlineStr">
        <is>
          <t>STOCKHOLMS LÄN</t>
        </is>
      </c>
      <c r="E896" t="inlineStr">
        <is>
          <t>NORRTÄLJE</t>
        </is>
      </c>
      <c r="G896" t="n">
        <v>0.9</v>
      </c>
      <c r="H896" t="n">
        <v>0</v>
      </c>
      <c r="I896" t="n">
        <v>0</v>
      </c>
      <c r="J896" t="n">
        <v>0</v>
      </c>
      <c r="K896" t="n">
        <v>0</v>
      </c>
      <c r="L896" t="n">
        <v>0</v>
      </c>
      <c r="M896" t="n">
        <v>0</v>
      </c>
      <c r="N896" t="n">
        <v>0</v>
      </c>
      <c r="O896" t="n">
        <v>0</v>
      </c>
      <c r="P896" t="n">
        <v>0</v>
      </c>
      <c r="Q896" t="n">
        <v>0</v>
      </c>
      <c r="R896" s="2" t="inlineStr"/>
    </row>
    <row r="897" ht="15" customHeight="1">
      <c r="A897" t="inlineStr">
        <is>
          <t>A 25625-2019</t>
        </is>
      </c>
      <c r="B897" s="1" t="n">
        <v>43607</v>
      </c>
      <c r="C897" s="1" t="n">
        <v>45186</v>
      </c>
      <c r="D897" t="inlineStr">
        <is>
          <t>STOCKHOLMS LÄN</t>
        </is>
      </c>
      <c r="E897" t="inlineStr">
        <is>
          <t>NORRTÄLJE</t>
        </is>
      </c>
      <c r="G897" t="n">
        <v>1.3</v>
      </c>
      <c r="H897" t="n">
        <v>0</v>
      </c>
      <c r="I897" t="n">
        <v>0</v>
      </c>
      <c r="J897" t="n">
        <v>0</v>
      </c>
      <c r="K897" t="n">
        <v>0</v>
      </c>
      <c r="L897" t="n">
        <v>0</v>
      </c>
      <c r="M897" t="n">
        <v>0</v>
      </c>
      <c r="N897" t="n">
        <v>0</v>
      </c>
      <c r="O897" t="n">
        <v>0</v>
      </c>
      <c r="P897" t="n">
        <v>0</v>
      </c>
      <c r="Q897" t="n">
        <v>0</v>
      </c>
      <c r="R897" s="2" t="inlineStr"/>
    </row>
    <row r="898" ht="15" customHeight="1">
      <c r="A898" t="inlineStr">
        <is>
          <t>A 26235-2019</t>
        </is>
      </c>
      <c r="B898" s="1" t="n">
        <v>43609</v>
      </c>
      <c r="C898" s="1" t="n">
        <v>45186</v>
      </c>
      <c r="D898" t="inlineStr">
        <is>
          <t>STOCKHOLMS LÄN</t>
        </is>
      </c>
      <c r="E898" t="inlineStr">
        <is>
          <t>NYKVARN</t>
        </is>
      </c>
      <c r="G898" t="n">
        <v>0.6</v>
      </c>
      <c r="H898" t="n">
        <v>0</v>
      </c>
      <c r="I898" t="n">
        <v>0</v>
      </c>
      <c r="J898" t="n">
        <v>0</v>
      </c>
      <c r="K898" t="n">
        <v>0</v>
      </c>
      <c r="L898" t="n">
        <v>0</v>
      </c>
      <c r="M898" t="n">
        <v>0</v>
      </c>
      <c r="N898" t="n">
        <v>0</v>
      </c>
      <c r="O898" t="n">
        <v>0</v>
      </c>
      <c r="P898" t="n">
        <v>0</v>
      </c>
      <c r="Q898" t="n">
        <v>0</v>
      </c>
      <c r="R898" s="2" t="inlineStr"/>
    </row>
    <row r="899" ht="15" customHeight="1">
      <c r="A899" t="inlineStr">
        <is>
          <t>A 26272-2019</t>
        </is>
      </c>
      <c r="B899" s="1" t="n">
        <v>43611</v>
      </c>
      <c r="C899" s="1" t="n">
        <v>45186</v>
      </c>
      <c r="D899" t="inlineStr">
        <is>
          <t>STOCKHOLMS LÄN</t>
        </is>
      </c>
      <c r="E899" t="inlineStr">
        <is>
          <t>NORRTÄLJE</t>
        </is>
      </c>
      <c r="G899" t="n">
        <v>0.8</v>
      </c>
      <c r="H899" t="n">
        <v>0</v>
      </c>
      <c r="I899" t="n">
        <v>0</v>
      </c>
      <c r="J899" t="n">
        <v>0</v>
      </c>
      <c r="K899" t="n">
        <v>0</v>
      </c>
      <c r="L899" t="n">
        <v>0</v>
      </c>
      <c r="M899" t="n">
        <v>0</v>
      </c>
      <c r="N899" t="n">
        <v>0</v>
      </c>
      <c r="O899" t="n">
        <v>0</v>
      </c>
      <c r="P899" t="n">
        <v>0</v>
      </c>
      <c r="Q899" t="n">
        <v>0</v>
      </c>
      <c r="R899" s="2" t="inlineStr"/>
    </row>
    <row r="900" ht="15" customHeight="1">
      <c r="A900" t="inlineStr">
        <is>
          <t>A 26566-2019</t>
        </is>
      </c>
      <c r="B900" s="1" t="n">
        <v>43612</v>
      </c>
      <c r="C900" s="1" t="n">
        <v>45186</v>
      </c>
      <c r="D900" t="inlineStr">
        <is>
          <t>STOCKHOLMS LÄN</t>
        </is>
      </c>
      <c r="E900" t="inlineStr">
        <is>
          <t>SÖDERTÄLJE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26391-2019</t>
        </is>
      </c>
      <c r="B901" s="1" t="n">
        <v>43612</v>
      </c>
      <c r="C901" s="1" t="n">
        <v>45186</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26620-2019</t>
        </is>
      </c>
      <c r="B902" s="1" t="n">
        <v>43612</v>
      </c>
      <c r="C902" s="1" t="n">
        <v>45186</v>
      </c>
      <c r="D902" t="inlineStr">
        <is>
          <t>STOCKHOLMS LÄN</t>
        </is>
      </c>
      <c r="E902" t="inlineStr">
        <is>
          <t>NORRTÄLJE</t>
        </is>
      </c>
      <c r="G902" t="n">
        <v>0.5</v>
      </c>
      <c r="H902" t="n">
        <v>0</v>
      </c>
      <c r="I902" t="n">
        <v>0</v>
      </c>
      <c r="J902" t="n">
        <v>0</v>
      </c>
      <c r="K902" t="n">
        <v>0</v>
      </c>
      <c r="L902" t="n">
        <v>0</v>
      </c>
      <c r="M902" t="n">
        <v>0</v>
      </c>
      <c r="N902" t="n">
        <v>0</v>
      </c>
      <c r="O902" t="n">
        <v>0</v>
      </c>
      <c r="P902" t="n">
        <v>0</v>
      </c>
      <c r="Q902" t="n">
        <v>0</v>
      </c>
      <c r="R902" s="2" t="inlineStr"/>
    </row>
    <row r="903" ht="15" customHeight="1">
      <c r="A903" t="inlineStr">
        <is>
          <t>A 26933-2019</t>
        </is>
      </c>
      <c r="B903" s="1" t="n">
        <v>43613</v>
      </c>
      <c r="C903" s="1" t="n">
        <v>45186</v>
      </c>
      <c r="D903" t="inlineStr">
        <is>
          <t>STOCKHOLMS LÄN</t>
        </is>
      </c>
      <c r="E903" t="inlineStr">
        <is>
          <t>NORRTÄLJE</t>
        </is>
      </c>
      <c r="G903" t="n">
        <v>2.8</v>
      </c>
      <c r="H903" t="n">
        <v>0</v>
      </c>
      <c r="I903" t="n">
        <v>0</v>
      </c>
      <c r="J903" t="n">
        <v>0</v>
      </c>
      <c r="K903" t="n">
        <v>0</v>
      </c>
      <c r="L903" t="n">
        <v>0</v>
      </c>
      <c r="M903" t="n">
        <v>0</v>
      </c>
      <c r="N903" t="n">
        <v>0</v>
      </c>
      <c r="O903" t="n">
        <v>0</v>
      </c>
      <c r="P903" t="n">
        <v>0</v>
      </c>
      <c r="Q903" t="n">
        <v>0</v>
      </c>
      <c r="R903" s="2" t="inlineStr"/>
    </row>
    <row r="904" ht="15" customHeight="1">
      <c r="A904" t="inlineStr">
        <is>
          <t>A 26830-2019</t>
        </is>
      </c>
      <c r="B904" s="1" t="n">
        <v>43613</v>
      </c>
      <c r="C904" s="1" t="n">
        <v>45186</v>
      </c>
      <c r="D904" t="inlineStr">
        <is>
          <t>STOCKHOLMS LÄN</t>
        </is>
      </c>
      <c r="E904" t="inlineStr">
        <is>
          <t>NORRTÄLJE</t>
        </is>
      </c>
      <c r="G904" t="n">
        <v>2.1</v>
      </c>
      <c r="H904" t="n">
        <v>0</v>
      </c>
      <c r="I904" t="n">
        <v>0</v>
      </c>
      <c r="J904" t="n">
        <v>0</v>
      </c>
      <c r="K904" t="n">
        <v>0</v>
      </c>
      <c r="L904" t="n">
        <v>0</v>
      </c>
      <c r="M904" t="n">
        <v>0</v>
      </c>
      <c r="N904" t="n">
        <v>0</v>
      </c>
      <c r="O904" t="n">
        <v>0</v>
      </c>
      <c r="P904" t="n">
        <v>0</v>
      </c>
      <c r="Q904" t="n">
        <v>0</v>
      </c>
      <c r="R904" s="2" t="inlineStr"/>
    </row>
    <row r="905" ht="15" customHeight="1">
      <c r="A905" t="inlineStr">
        <is>
          <t>A 28481-2019</t>
        </is>
      </c>
      <c r="B905" s="1" t="n">
        <v>43614</v>
      </c>
      <c r="C905" s="1" t="n">
        <v>45186</v>
      </c>
      <c r="D905" t="inlineStr">
        <is>
          <t>STOCKHOLMS LÄN</t>
        </is>
      </c>
      <c r="E905" t="inlineStr">
        <is>
          <t>UPPLANDS-BRO</t>
        </is>
      </c>
      <c r="F905" t="inlineStr">
        <is>
          <t>Allmännings- och besparingsskogar</t>
        </is>
      </c>
      <c r="G905" t="n">
        <v>1.8</v>
      </c>
      <c r="H905" t="n">
        <v>0</v>
      </c>
      <c r="I905" t="n">
        <v>0</v>
      </c>
      <c r="J905" t="n">
        <v>0</v>
      </c>
      <c r="K905" t="n">
        <v>0</v>
      </c>
      <c r="L905" t="n">
        <v>0</v>
      </c>
      <c r="M905" t="n">
        <v>0</v>
      </c>
      <c r="N905" t="n">
        <v>0</v>
      </c>
      <c r="O905" t="n">
        <v>0</v>
      </c>
      <c r="P905" t="n">
        <v>0</v>
      </c>
      <c r="Q905" t="n">
        <v>0</v>
      </c>
      <c r="R905" s="2" t="inlineStr"/>
    </row>
    <row r="906" ht="15" customHeight="1">
      <c r="A906" t="inlineStr">
        <is>
          <t>A 28157-2019</t>
        </is>
      </c>
      <c r="B906" s="1" t="n">
        <v>43614</v>
      </c>
      <c r="C906" s="1" t="n">
        <v>45186</v>
      </c>
      <c r="D906" t="inlineStr">
        <is>
          <t>STOCKHOLMS LÄN</t>
        </is>
      </c>
      <c r="E906" t="inlineStr">
        <is>
          <t>NORRTÄLJE</t>
        </is>
      </c>
      <c r="F906" t="inlineStr">
        <is>
          <t>Kyrkan</t>
        </is>
      </c>
      <c r="G906" t="n">
        <v>0.5</v>
      </c>
      <c r="H906" t="n">
        <v>0</v>
      </c>
      <c r="I906" t="n">
        <v>0</v>
      </c>
      <c r="J906" t="n">
        <v>0</v>
      </c>
      <c r="K906" t="n">
        <v>0</v>
      </c>
      <c r="L906" t="n">
        <v>0</v>
      </c>
      <c r="M906" t="n">
        <v>0</v>
      </c>
      <c r="N906" t="n">
        <v>0</v>
      </c>
      <c r="O906" t="n">
        <v>0</v>
      </c>
      <c r="P906" t="n">
        <v>0</v>
      </c>
      <c r="Q906" t="n">
        <v>0</v>
      </c>
      <c r="R906" s="2" t="inlineStr"/>
    </row>
    <row r="907" ht="15" customHeight="1">
      <c r="A907" t="inlineStr">
        <is>
          <t>A 27095-2019</t>
        </is>
      </c>
      <c r="B907" s="1" t="n">
        <v>43614</v>
      </c>
      <c r="C907" s="1" t="n">
        <v>45186</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27264-2019</t>
        </is>
      </c>
      <c r="B908" s="1" t="n">
        <v>43615</v>
      </c>
      <c r="C908" s="1" t="n">
        <v>45186</v>
      </c>
      <c r="D908" t="inlineStr">
        <is>
          <t>STOCKHOLMS LÄN</t>
        </is>
      </c>
      <c r="E908" t="inlineStr">
        <is>
          <t>NORRTÄLJE</t>
        </is>
      </c>
      <c r="G908" t="n">
        <v>1.6</v>
      </c>
      <c r="H908" t="n">
        <v>0</v>
      </c>
      <c r="I908" t="n">
        <v>0</v>
      </c>
      <c r="J908" t="n">
        <v>0</v>
      </c>
      <c r="K908" t="n">
        <v>0</v>
      </c>
      <c r="L908" t="n">
        <v>0</v>
      </c>
      <c r="M908" t="n">
        <v>0</v>
      </c>
      <c r="N908" t="n">
        <v>0</v>
      </c>
      <c r="O908" t="n">
        <v>0</v>
      </c>
      <c r="P908" t="n">
        <v>0</v>
      </c>
      <c r="Q908" t="n">
        <v>0</v>
      </c>
      <c r="R908" s="2" t="inlineStr"/>
    </row>
    <row r="909" ht="15" customHeight="1">
      <c r="A909" t="inlineStr">
        <is>
          <t>A 27505-2019</t>
        </is>
      </c>
      <c r="B909" s="1" t="n">
        <v>43619</v>
      </c>
      <c r="C909" s="1" t="n">
        <v>45186</v>
      </c>
      <c r="D909" t="inlineStr">
        <is>
          <t>STOCKHOLMS LÄN</t>
        </is>
      </c>
      <c r="E909" t="inlineStr">
        <is>
          <t>SÖDERTÄLJE</t>
        </is>
      </c>
      <c r="F909" t="inlineStr">
        <is>
          <t>Sveaskog</t>
        </is>
      </c>
      <c r="G909" t="n">
        <v>1.4</v>
      </c>
      <c r="H909" t="n">
        <v>0</v>
      </c>
      <c r="I909" t="n">
        <v>0</v>
      </c>
      <c r="J909" t="n">
        <v>0</v>
      </c>
      <c r="K909" t="n">
        <v>0</v>
      </c>
      <c r="L909" t="n">
        <v>0</v>
      </c>
      <c r="M909" t="n">
        <v>0</v>
      </c>
      <c r="N909" t="n">
        <v>0</v>
      </c>
      <c r="O909" t="n">
        <v>0</v>
      </c>
      <c r="P909" t="n">
        <v>0</v>
      </c>
      <c r="Q909" t="n">
        <v>0</v>
      </c>
      <c r="R909" s="2" t="inlineStr"/>
    </row>
    <row r="910" ht="15" customHeight="1">
      <c r="A910" t="inlineStr">
        <is>
          <t>A 27623-2019</t>
        </is>
      </c>
      <c r="B910" s="1" t="n">
        <v>43619</v>
      </c>
      <c r="C910" s="1" t="n">
        <v>45186</v>
      </c>
      <c r="D910" t="inlineStr">
        <is>
          <t>STOCKHOLMS LÄN</t>
        </is>
      </c>
      <c r="E910" t="inlineStr">
        <is>
          <t>NYKVARN</t>
        </is>
      </c>
      <c r="F910" t="inlineStr">
        <is>
          <t>Sveaskog</t>
        </is>
      </c>
      <c r="G910" t="n">
        <v>0.4</v>
      </c>
      <c r="H910" t="n">
        <v>0</v>
      </c>
      <c r="I910" t="n">
        <v>0</v>
      </c>
      <c r="J910" t="n">
        <v>0</v>
      </c>
      <c r="K910" t="n">
        <v>0</v>
      </c>
      <c r="L910" t="n">
        <v>0</v>
      </c>
      <c r="M910" t="n">
        <v>0</v>
      </c>
      <c r="N910" t="n">
        <v>0</v>
      </c>
      <c r="O910" t="n">
        <v>0</v>
      </c>
      <c r="P910" t="n">
        <v>0</v>
      </c>
      <c r="Q910" t="n">
        <v>0</v>
      </c>
      <c r="R910" s="2" t="inlineStr"/>
    </row>
    <row r="911" ht="15" customHeight="1">
      <c r="A911" t="inlineStr">
        <is>
          <t>A 27502-2019</t>
        </is>
      </c>
      <c r="B911" s="1" t="n">
        <v>43619</v>
      </c>
      <c r="C911" s="1" t="n">
        <v>45186</v>
      </c>
      <c r="D911" t="inlineStr">
        <is>
          <t>STOCKHOLMS LÄN</t>
        </is>
      </c>
      <c r="E911" t="inlineStr">
        <is>
          <t>SÖDERTÄLJE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27611-2019</t>
        </is>
      </c>
      <c r="B912" s="1" t="n">
        <v>43619</v>
      </c>
      <c r="C912" s="1" t="n">
        <v>45186</v>
      </c>
      <c r="D912" t="inlineStr">
        <is>
          <t>STOCKHOLMS LÄN</t>
        </is>
      </c>
      <c r="E912" t="inlineStr">
        <is>
          <t>NYKVARN</t>
        </is>
      </c>
      <c r="F912" t="inlineStr">
        <is>
          <t>Sveaskog</t>
        </is>
      </c>
      <c r="G912" t="n">
        <v>2.4</v>
      </c>
      <c r="H912" t="n">
        <v>0</v>
      </c>
      <c r="I912" t="n">
        <v>0</v>
      </c>
      <c r="J912" t="n">
        <v>0</v>
      </c>
      <c r="K912" t="n">
        <v>0</v>
      </c>
      <c r="L912" t="n">
        <v>0</v>
      </c>
      <c r="M912" t="n">
        <v>0</v>
      </c>
      <c r="N912" t="n">
        <v>0</v>
      </c>
      <c r="O912" t="n">
        <v>0</v>
      </c>
      <c r="P912" t="n">
        <v>0</v>
      </c>
      <c r="Q912" t="n">
        <v>0</v>
      </c>
      <c r="R912" s="2" t="inlineStr"/>
    </row>
    <row r="913" ht="15" customHeight="1">
      <c r="A913" t="inlineStr">
        <is>
          <t>A 27967-2019</t>
        </is>
      </c>
      <c r="B913" s="1" t="n">
        <v>43620</v>
      </c>
      <c r="C913" s="1" t="n">
        <v>45186</v>
      </c>
      <c r="D913" t="inlineStr">
        <is>
          <t>STOCKHOLMS LÄN</t>
        </is>
      </c>
      <c r="E913" t="inlineStr">
        <is>
          <t>NORRTÄLJE</t>
        </is>
      </c>
      <c r="G913" t="n">
        <v>1.5</v>
      </c>
      <c r="H913" t="n">
        <v>0</v>
      </c>
      <c r="I913" t="n">
        <v>0</v>
      </c>
      <c r="J913" t="n">
        <v>0</v>
      </c>
      <c r="K913" t="n">
        <v>0</v>
      </c>
      <c r="L913" t="n">
        <v>0</v>
      </c>
      <c r="M913" t="n">
        <v>0</v>
      </c>
      <c r="N913" t="n">
        <v>0</v>
      </c>
      <c r="O913" t="n">
        <v>0</v>
      </c>
      <c r="P913" t="n">
        <v>0</v>
      </c>
      <c r="Q913" t="n">
        <v>0</v>
      </c>
      <c r="R913" s="2" t="inlineStr"/>
    </row>
    <row r="914" ht="15" customHeight="1">
      <c r="A914" t="inlineStr">
        <is>
          <t>A 27971-2019</t>
        </is>
      </c>
      <c r="B914" s="1" t="n">
        <v>43620</v>
      </c>
      <c r="C914" s="1" t="n">
        <v>45186</v>
      </c>
      <c r="D914" t="inlineStr">
        <is>
          <t>STOCKHOLMS LÄN</t>
        </is>
      </c>
      <c r="E914" t="inlineStr">
        <is>
          <t>NORRTÄLJE</t>
        </is>
      </c>
      <c r="G914" t="n">
        <v>1.7</v>
      </c>
      <c r="H914" t="n">
        <v>0</v>
      </c>
      <c r="I914" t="n">
        <v>0</v>
      </c>
      <c r="J914" t="n">
        <v>0</v>
      </c>
      <c r="K914" t="n">
        <v>0</v>
      </c>
      <c r="L914" t="n">
        <v>0</v>
      </c>
      <c r="M914" t="n">
        <v>0</v>
      </c>
      <c r="N914" t="n">
        <v>0</v>
      </c>
      <c r="O914" t="n">
        <v>0</v>
      </c>
      <c r="P914" t="n">
        <v>0</v>
      </c>
      <c r="Q914" t="n">
        <v>0</v>
      </c>
      <c r="R914" s="2" t="inlineStr"/>
    </row>
    <row r="915" ht="15" customHeight="1">
      <c r="A915" t="inlineStr">
        <is>
          <t>A 24679-2019</t>
        </is>
      </c>
      <c r="B915" s="1" t="n">
        <v>43621</v>
      </c>
      <c r="C915" s="1" t="n">
        <v>45186</v>
      </c>
      <c r="D915" t="inlineStr">
        <is>
          <t>STOCKHOLMS LÄN</t>
        </is>
      </c>
      <c r="E915" t="inlineStr">
        <is>
          <t>VALLENTUNA</t>
        </is>
      </c>
      <c r="F915" t="inlineStr">
        <is>
          <t>Kommuner</t>
        </is>
      </c>
      <c r="G915" t="n">
        <v>31.6</v>
      </c>
      <c r="H915" t="n">
        <v>0</v>
      </c>
      <c r="I915" t="n">
        <v>0</v>
      </c>
      <c r="J915" t="n">
        <v>0</v>
      </c>
      <c r="K915" t="n">
        <v>0</v>
      </c>
      <c r="L915" t="n">
        <v>0</v>
      </c>
      <c r="M915" t="n">
        <v>0</v>
      </c>
      <c r="N915" t="n">
        <v>0</v>
      </c>
      <c r="O915" t="n">
        <v>0</v>
      </c>
      <c r="P915" t="n">
        <v>0</v>
      </c>
      <c r="Q915" t="n">
        <v>0</v>
      </c>
      <c r="R915" s="2" t="inlineStr"/>
    </row>
    <row r="916" ht="15" customHeight="1">
      <c r="A916" t="inlineStr">
        <is>
          <t>A 28121-2019</t>
        </is>
      </c>
      <c r="B916" s="1" t="n">
        <v>43621</v>
      </c>
      <c r="C916" s="1" t="n">
        <v>45186</v>
      </c>
      <c r="D916" t="inlineStr">
        <is>
          <t>STOCKHOLMS LÄN</t>
        </is>
      </c>
      <c r="E916" t="inlineStr">
        <is>
          <t>NORRTÄLJE</t>
        </is>
      </c>
      <c r="F916" t="inlineStr">
        <is>
          <t>Kyrkan</t>
        </is>
      </c>
      <c r="G916" t="n">
        <v>2.5</v>
      </c>
      <c r="H916" t="n">
        <v>0</v>
      </c>
      <c r="I916" t="n">
        <v>0</v>
      </c>
      <c r="J916" t="n">
        <v>0</v>
      </c>
      <c r="K916" t="n">
        <v>0</v>
      </c>
      <c r="L916" t="n">
        <v>0</v>
      </c>
      <c r="M916" t="n">
        <v>0</v>
      </c>
      <c r="N916" t="n">
        <v>0</v>
      </c>
      <c r="O916" t="n">
        <v>0</v>
      </c>
      <c r="P916" t="n">
        <v>0</v>
      </c>
      <c r="Q916" t="n">
        <v>0</v>
      </c>
      <c r="R916" s="2" t="inlineStr"/>
    </row>
    <row r="917" ht="15" customHeight="1">
      <c r="A917" t="inlineStr">
        <is>
          <t>A 28289-2019</t>
        </is>
      </c>
      <c r="B917" s="1" t="n">
        <v>43623</v>
      </c>
      <c r="C917" s="1" t="n">
        <v>45186</v>
      </c>
      <c r="D917" t="inlineStr">
        <is>
          <t>STOCKHOLMS LÄN</t>
        </is>
      </c>
      <c r="E917" t="inlineStr">
        <is>
          <t>NORRTÄLJE</t>
        </is>
      </c>
      <c r="G917" t="n">
        <v>7.7</v>
      </c>
      <c r="H917" t="n">
        <v>0</v>
      </c>
      <c r="I917" t="n">
        <v>0</v>
      </c>
      <c r="J917" t="n">
        <v>0</v>
      </c>
      <c r="K917" t="n">
        <v>0</v>
      </c>
      <c r="L917" t="n">
        <v>0</v>
      </c>
      <c r="M917" t="n">
        <v>0</v>
      </c>
      <c r="N917" t="n">
        <v>0</v>
      </c>
      <c r="O917" t="n">
        <v>0</v>
      </c>
      <c r="P917" t="n">
        <v>0</v>
      </c>
      <c r="Q917" t="n">
        <v>0</v>
      </c>
      <c r="R917" s="2" t="inlineStr"/>
    </row>
    <row r="918" ht="15" customHeight="1">
      <c r="A918" t="inlineStr">
        <is>
          <t>A 28330-2019</t>
        </is>
      </c>
      <c r="B918" s="1" t="n">
        <v>43623</v>
      </c>
      <c r="C918" s="1" t="n">
        <v>45186</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28394-2019</t>
        </is>
      </c>
      <c r="B919" s="1" t="n">
        <v>43626</v>
      </c>
      <c r="C919" s="1" t="n">
        <v>45186</v>
      </c>
      <c r="D919" t="inlineStr">
        <is>
          <t>STOCKHOLMS LÄN</t>
        </is>
      </c>
      <c r="E919" t="inlineStr">
        <is>
          <t>NORRTÄLJE</t>
        </is>
      </c>
      <c r="G919" t="n">
        <v>2.4</v>
      </c>
      <c r="H919" t="n">
        <v>0</v>
      </c>
      <c r="I919" t="n">
        <v>0</v>
      </c>
      <c r="J919" t="n">
        <v>0</v>
      </c>
      <c r="K919" t="n">
        <v>0</v>
      </c>
      <c r="L919" t="n">
        <v>0</v>
      </c>
      <c r="M919" t="n">
        <v>0</v>
      </c>
      <c r="N919" t="n">
        <v>0</v>
      </c>
      <c r="O919" t="n">
        <v>0</v>
      </c>
      <c r="P919" t="n">
        <v>0</v>
      </c>
      <c r="Q919" t="n">
        <v>0</v>
      </c>
      <c r="R919" s="2" t="inlineStr"/>
    </row>
    <row r="920" ht="15" customHeight="1">
      <c r="A920" t="inlineStr">
        <is>
          <t>A 28384-2019</t>
        </is>
      </c>
      <c r="B920" s="1" t="n">
        <v>43626</v>
      </c>
      <c r="C920" s="1" t="n">
        <v>45186</v>
      </c>
      <c r="D920" t="inlineStr">
        <is>
          <t>STOCKHOLMS LÄN</t>
        </is>
      </c>
      <c r="E920" t="inlineStr">
        <is>
          <t>SIGTUNA</t>
        </is>
      </c>
      <c r="G920" t="n">
        <v>6.3</v>
      </c>
      <c r="H920" t="n">
        <v>0</v>
      </c>
      <c r="I920" t="n">
        <v>0</v>
      </c>
      <c r="J920" t="n">
        <v>0</v>
      </c>
      <c r="K920" t="n">
        <v>0</v>
      </c>
      <c r="L920" t="n">
        <v>0</v>
      </c>
      <c r="M920" t="n">
        <v>0</v>
      </c>
      <c r="N920" t="n">
        <v>0</v>
      </c>
      <c r="O920" t="n">
        <v>0</v>
      </c>
      <c r="P920" t="n">
        <v>0</v>
      </c>
      <c r="Q920" t="n">
        <v>0</v>
      </c>
      <c r="R920" s="2" t="inlineStr"/>
    </row>
    <row r="921" ht="15" customHeight="1">
      <c r="A921" t="inlineStr">
        <is>
          <t>A 28519-2019</t>
        </is>
      </c>
      <c r="B921" s="1" t="n">
        <v>43626</v>
      </c>
      <c r="C921" s="1" t="n">
        <v>45186</v>
      </c>
      <c r="D921" t="inlineStr">
        <is>
          <t>STOCKHOLMS LÄN</t>
        </is>
      </c>
      <c r="E921" t="inlineStr">
        <is>
          <t>NORRTÄLJE</t>
        </is>
      </c>
      <c r="G921" t="n">
        <v>3</v>
      </c>
      <c r="H921" t="n">
        <v>0</v>
      </c>
      <c r="I921" t="n">
        <v>0</v>
      </c>
      <c r="J921" t="n">
        <v>0</v>
      </c>
      <c r="K921" t="n">
        <v>0</v>
      </c>
      <c r="L921" t="n">
        <v>0</v>
      </c>
      <c r="M921" t="n">
        <v>0</v>
      </c>
      <c r="N921" t="n">
        <v>0</v>
      </c>
      <c r="O921" t="n">
        <v>0</v>
      </c>
      <c r="P921" t="n">
        <v>0</v>
      </c>
      <c r="Q921" t="n">
        <v>0</v>
      </c>
      <c r="R921" s="2" t="inlineStr"/>
    </row>
    <row r="922" ht="15" customHeight="1">
      <c r="A922" t="inlineStr">
        <is>
          <t>A 28560-2019</t>
        </is>
      </c>
      <c r="B922" s="1" t="n">
        <v>43626</v>
      </c>
      <c r="C922" s="1" t="n">
        <v>45186</v>
      </c>
      <c r="D922" t="inlineStr">
        <is>
          <t>STOCKHOLMS LÄN</t>
        </is>
      </c>
      <c r="E922" t="inlineStr">
        <is>
          <t>SIGTUNA</t>
        </is>
      </c>
      <c r="G922" t="n">
        <v>1.4</v>
      </c>
      <c r="H922" t="n">
        <v>0</v>
      </c>
      <c r="I922" t="n">
        <v>0</v>
      </c>
      <c r="J922" t="n">
        <v>0</v>
      </c>
      <c r="K922" t="n">
        <v>0</v>
      </c>
      <c r="L922" t="n">
        <v>0</v>
      </c>
      <c r="M922" t="n">
        <v>0</v>
      </c>
      <c r="N922" t="n">
        <v>0</v>
      </c>
      <c r="O922" t="n">
        <v>0</v>
      </c>
      <c r="P922" t="n">
        <v>0</v>
      </c>
      <c r="Q922" t="n">
        <v>0</v>
      </c>
      <c r="R922" s="2" t="inlineStr"/>
    </row>
    <row r="923" ht="15" customHeight="1">
      <c r="A923" t="inlineStr">
        <is>
          <t>A 28495-2019</t>
        </is>
      </c>
      <c r="B923" s="1" t="n">
        <v>43626</v>
      </c>
      <c r="C923" s="1" t="n">
        <v>45186</v>
      </c>
      <c r="D923" t="inlineStr">
        <is>
          <t>STOCKHOLMS LÄN</t>
        </is>
      </c>
      <c r="E923" t="inlineStr">
        <is>
          <t>NORRTÄLJE</t>
        </is>
      </c>
      <c r="G923" t="n">
        <v>14.7</v>
      </c>
      <c r="H923" t="n">
        <v>0</v>
      </c>
      <c r="I923" t="n">
        <v>0</v>
      </c>
      <c r="J923" t="n">
        <v>0</v>
      </c>
      <c r="K923" t="n">
        <v>0</v>
      </c>
      <c r="L923" t="n">
        <v>0</v>
      </c>
      <c r="M923" t="n">
        <v>0</v>
      </c>
      <c r="N923" t="n">
        <v>0</v>
      </c>
      <c r="O923" t="n">
        <v>0</v>
      </c>
      <c r="P923" t="n">
        <v>0</v>
      </c>
      <c r="Q923" t="n">
        <v>0</v>
      </c>
      <c r="R923" s="2" t="inlineStr"/>
    </row>
    <row r="924" ht="15" customHeight="1">
      <c r="A924" t="inlineStr">
        <is>
          <t>A 29260-2019</t>
        </is>
      </c>
      <c r="B924" s="1" t="n">
        <v>43629</v>
      </c>
      <c r="C924" s="1" t="n">
        <v>45186</v>
      </c>
      <c r="D924" t="inlineStr">
        <is>
          <t>STOCKHOLMS LÄN</t>
        </is>
      </c>
      <c r="E924" t="inlineStr">
        <is>
          <t>NORRTÄLJE</t>
        </is>
      </c>
      <c r="G924" t="n">
        <v>0.6</v>
      </c>
      <c r="H924" t="n">
        <v>0</v>
      </c>
      <c r="I924" t="n">
        <v>0</v>
      </c>
      <c r="J924" t="n">
        <v>0</v>
      </c>
      <c r="K924" t="n">
        <v>0</v>
      </c>
      <c r="L924" t="n">
        <v>0</v>
      </c>
      <c r="M924" t="n">
        <v>0</v>
      </c>
      <c r="N924" t="n">
        <v>0</v>
      </c>
      <c r="O924" t="n">
        <v>0</v>
      </c>
      <c r="P924" t="n">
        <v>0</v>
      </c>
      <c r="Q924" t="n">
        <v>0</v>
      </c>
      <c r="R924" s="2" t="inlineStr"/>
    </row>
    <row r="925" ht="15" customHeight="1">
      <c r="A925" t="inlineStr">
        <is>
          <t>A 29312-2019</t>
        </is>
      </c>
      <c r="B925" s="1" t="n">
        <v>43629</v>
      </c>
      <c r="C925" s="1" t="n">
        <v>45186</v>
      </c>
      <c r="D925" t="inlineStr">
        <is>
          <t>STOCKHOLMS LÄN</t>
        </is>
      </c>
      <c r="E925" t="inlineStr">
        <is>
          <t>NORRTÄLJE</t>
        </is>
      </c>
      <c r="G925" t="n">
        <v>7.1</v>
      </c>
      <c r="H925" t="n">
        <v>0</v>
      </c>
      <c r="I925" t="n">
        <v>0</v>
      </c>
      <c r="J925" t="n">
        <v>0</v>
      </c>
      <c r="K925" t="n">
        <v>0</v>
      </c>
      <c r="L925" t="n">
        <v>0</v>
      </c>
      <c r="M925" t="n">
        <v>0</v>
      </c>
      <c r="N925" t="n">
        <v>0</v>
      </c>
      <c r="O925" t="n">
        <v>0</v>
      </c>
      <c r="P925" t="n">
        <v>0</v>
      </c>
      <c r="Q925" t="n">
        <v>0</v>
      </c>
      <c r="R925" s="2" t="inlineStr"/>
    </row>
    <row r="926" ht="15" customHeight="1">
      <c r="A926" t="inlineStr">
        <is>
          <t>A 29953-2019</t>
        </is>
      </c>
      <c r="B926" s="1" t="n">
        <v>43629</v>
      </c>
      <c r="C926" s="1" t="n">
        <v>45186</v>
      </c>
      <c r="D926" t="inlineStr">
        <is>
          <t>STOCKHOLMS LÄN</t>
        </is>
      </c>
      <c r="E926" t="inlineStr">
        <is>
          <t>VALLENTUNA</t>
        </is>
      </c>
      <c r="G926" t="n">
        <v>1.6</v>
      </c>
      <c r="H926" t="n">
        <v>0</v>
      </c>
      <c r="I926" t="n">
        <v>0</v>
      </c>
      <c r="J926" t="n">
        <v>0</v>
      </c>
      <c r="K926" t="n">
        <v>0</v>
      </c>
      <c r="L926" t="n">
        <v>0</v>
      </c>
      <c r="M926" t="n">
        <v>0</v>
      </c>
      <c r="N926" t="n">
        <v>0</v>
      </c>
      <c r="O926" t="n">
        <v>0</v>
      </c>
      <c r="P926" t="n">
        <v>0</v>
      </c>
      <c r="Q926" t="n">
        <v>0</v>
      </c>
      <c r="R926" s="2" t="inlineStr"/>
    </row>
    <row r="927" ht="15" customHeight="1">
      <c r="A927" t="inlineStr">
        <is>
          <t>A 29759-2019</t>
        </is>
      </c>
      <c r="B927" s="1" t="n">
        <v>43631</v>
      </c>
      <c r="C927" s="1" t="n">
        <v>45186</v>
      </c>
      <c r="D927" t="inlineStr">
        <is>
          <t>STOCKHOLMS LÄN</t>
        </is>
      </c>
      <c r="E927" t="inlineStr">
        <is>
          <t>NORRTÄLJE</t>
        </is>
      </c>
      <c r="G927" t="n">
        <v>0.8</v>
      </c>
      <c r="H927" t="n">
        <v>0</v>
      </c>
      <c r="I927" t="n">
        <v>0</v>
      </c>
      <c r="J927" t="n">
        <v>0</v>
      </c>
      <c r="K927" t="n">
        <v>0</v>
      </c>
      <c r="L927" t="n">
        <v>0</v>
      </c>
      <c r="M927" t="n">
        <v>0</v>
      </c>
      <c r="N927" t="n">
        <v>0</v>
      </c>
      <c r="O927" t="n">
        <v>0</v>
      </c>
      <c r="P927" t="n">
        <v>0</v>
      </c>
      <c r="Q927" t="n">
        <v>0</v>
      </c>
      <c r="R927" s="2" t="inlineStr"/>
    </row>
    <row r="928" ht="15" customHeight="1">
      <c r="A928" t="inlineStr">
        <is>
          <t>A 29973-2019</t>
        </is>
      </c>
      <c r="B928" s="1" t="n">
        <v>43633</v>
      </c>
      <c r="C928" s="1" t="n">
        <v>45186</v>
      </c>
      <c r="D928" t="inlineStr">
        <is>
          <t>STOCKHOLMS LÄN</t>
        </is>
      </c>
      <c r="E928" t="inlineStr">
        <is>
          <t>ÖSTERÅKER</t>
        </is>
      </c>
      <c r="G928" t="n">
        <v>0.4</v>
      </c>
      <c r="H928" t="n">
        <v>0</v>
      </c>
      <c r="I928" t="n">
        <v>0</v>
      </c>
      <c r="J928" t="n">
        <v>0</v>
      </c>
      <c r="K928" t="n">
        <v>0</v>
      </c>
      <c r="L928" t="n">
        <v>0</v>
      </c>
      <c r="M928" t="n">
        <v>0</v>
      </c>
      <c r="N928" t="n">
        <v>0</v>
      </c>
      <c r="O928" t="n">
        <v>0</v>
      </c>
      <c r="P928" t="n">
        <v>0</v>
      </c>
      <c r="Q928" t="n">
        <v>0</v>
      </c>
      <c r="R928" s="2" t="inlineStr"/>
    </row>
    <row r="929" ht="15" customHeight="1">
      <c r="A929" t="inlineStr">
        <is>
          <t>A 30000-2019</t>
        </is>
      </c>
      <c r="B929" s="1" t="n">
        <v>43633</v>
      </c>
      <c r="C929" s="1" t="n">
        <v>45186</v>
      </c>
      <c r="D929" t="inlineStr">
        <is>
          <t>STOCKHOLMS LÄN</t>
        </is>
      </c>
      <c r="E929" t="inlineStr">
        <is>
          <t>NORRTÄLJE</t>
        </is>
      </c>
      <c r="G929" t="n">
        <v>5.4</v>
      </c>
      <c r="H929" t="n">
        <v>0</v>
      </c>
      <c r="I929" t="n">
        <v>0</v>
      </c>
      <c r="J929" t="n">
        <v>0</v>
      </c>
      <c r="K929" t="n">
        <v>0</v>
      </c>
      <c r="L929" t="n">
        <v>0</v>
      </c>
      <c r="M929" t="n">
        <v>0</v>
      </c>
      <c r="N929" t="n">
        <v>0</v>
      </c>
      <c r="O929" t="n">
        <v>0</v>
      </c>
      <c r="P929" t="n">
        <v>0</v>
      </c>
      <c r="Q929" t="n">
        <v>0</v>
      </c>
      <c r="R929" s="2" t="inlineStr"/>
    </row>
    <row r="930" ht="15" customHeight="1">
      <c r="A930" t="inlineStr">
        <is>
          <t>A 30011-2019</t>
        </is>
      </c>
      <c r="B930" s="1" t="n">
        <v>43633</v>
      </c>
      <c r="C930" s="1" t="n">
        <v>45186</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31171-2019</t>
        </is>
      </c>
      <c r="B931" s="1" t="n">
        <v>43635</v>
      </c>
      <c r="C931" s="1" t="n">
        <v>45186</v>
      </c>
      <c r="D931" t="inlineStr">
        <is>
          <t>STOCKHOLMS LÄN</t>
        </is>
      </c>
      <c r="E931" t="inlineStr">
        <is>
          <t>EKERÖ</t>
        </is>
      </c>
      <c r="F931" t="inlineStr">
        <is>
          <t>Övriga statliga verk och myndigheter</t>
        </is>
      </c>
      <c r="G931" t="n">
        <v>2.6</v>
      </c>
      <c r="H931" t="n">
        <v>0</v>
      </c>
      <c r="I931" t="n">
        <v>0</v>
      </c>
      <c r="J931" t="n">
        <v>0</v>
      </c>
      <c r="K931" t="n">
        <v>0</v>
      </c>
      <c r="L931" t="n">
        <v>0</v>
      </c>
      <c r="M931" t="n">
        <v>0</v>
      </c>
      <c r="N931" t="n">
        <v>0</v>
      </c>
      <c r="O931" t="n">
        <v>0</v>
      </c>
      <c r="P931" t="n">
        <v>0</v>
      </c>
      <c r="Q931" t="n">
        <v>0</v>
      </c>
      <c r="R931" s="2" t="inlineStr"/>
    </row>
    <row r="932" ht="15" customHeight="1">
      <c r="A932" t="inlineStr">
        <is>
          <t>A 30529-2019</t>
        </is>
      </c>
      <c r="B932" s="1" t="n">
        <v>43635</v>
      </c>
      <c r="C932" s="1" t="n">
        <v>45186</v>
      </c>
      <c r="D932" t="inlineStr">
        <is>
          <t>STOCKHOLMS LÄN</t>
        </is>
      </c>
      <c r="E932" t="inlineStr">
        <is>
          <t>VÄRMDÖ</t>
        </is>
      </c>
      <c r="G932" t="n">
        <v>2.6</v>
      </c>
      <c r="H932" t="n">
        <v>0</v>
      </c>
      <c r="I932" t="n">
        <v>0</v>
      </c>
      <c r="J932" t="n">
        <v>0</v>
      </c>
      <c r="K932" t="n">
        <v>0</v>
      </c>
      <c r="L932" t="n">
        <v>0</v>
      </c>
      <c r="M932" t="n">
        <v>0</v>
      </c>
      <c r="N932" t="n">
        <v>0</v>
      </c>
      <c r="O932" t="n">
        <v>0</v>
      </c>
      <c r="P932" t="n">
        <v>0</v>
      </c>
      <c r="Q932" t="n">
        <v>0</v>
      </c>
      <c r="R932" s="2" t="inlineStr"/>
    </row>
    <row r="933" ht="15" customHeight="1">
      <c r="A933" t="inlineStr">
        <is>
          <t>A 30833-2019</t>
        </is>
      </c>
      <c r="B933" s="1" t="n">
        <v>43636</v>
      </c>
      <c r="C933" s="1" t="n">
        <v>45186</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31215-2019</t>
        </is>
      </c>
      <c r="B934" s="1" t="n">
        <v>43640</v>
      </c>
      <c r="C934" s="1" t="n">
        <v>45186</v>
      </c>
      <c r="D934" t="inlineStr">
        <is>
          <t>STOCKHOLMS LÄN</t>
        </is>
      </c>
      <c r="E934" t="inlineStr">
        <is>
          <t>NORRTÄLJE</t>
        </is>
      </c>
      <c r="G934" t="n">
        <v>0.9</v>
      </c>
      <c r="H934" t="n">
        <v>0</v>
      </c>
      <c r="I934" t="n">
        <v>0</v>
      </c>
      <c r="J934" t="n">
        <v>0</v>
      </c>
      <c r="K934" t="n">
        <v>0</v>
      </c>
      <c r="L934" t="n">
        <v>0</v>
      </c>
      <c r="M934" t="n">
        <v>0</v>
      </c>
      <c r="N934" t="n">
        <v>0</v>
      </c>
      <c r="O934" t="n">
        <v>0</v>
      </c>
      <c r="P934" t="n">
        <v>0</v>
      </c>
      <c r="Q934" t="n">
        <v>0</v>
      </c>
      <c r="R934" s="2" t="inlineStr"/>
    </row>
    <row r="935" ht="15" customHeight="1">
      <c r="A935" t="inlineStr">
        <is>
          <t>A 31017-2019</t>
        </is>
      </c>
      <c r="B935" s="1" t="n">
        <v>43640</v>
      </c>
      <c r="C935" s="1" t="n">
        <v>45186</v>
      </c>
      <c r="D935" t="inlineStr">
        <is>
          <t>STOCKHOLMS LÄN</t>
        </is>
      </c>
      <c r="E935" t="inlineStr">
        <is>
          <t>NORRTÄLJE</t>
        </is>
      </c>
      <c r="G935" t="n">
        <v>3.4</v>
      </c>
      <c r="H935" t="n">
        <v>0</v>
      </c>
      <c r="I935" t="n">
        <v>0</v>
      </c>
      <c r="J935" t="n">
        <v>0</v>
      </c>
      <c r="K935" t="n">
        <v>0</v>
      </c>
      <c r="L935" t="n">
        <v>0</v>
      </c>
      <c r="M935" t="n">
        <v>0</v>
      </c>
      <c r="N935" t="n">
        <v>0</v>
      </c>
      <c r="O935" t="n">
        <v>0</v>
      </c>
      <c r="P935" t="n">
        <v>0</v>
      </c>
      <c r="Q935" t="n">
        <v>0</v>
      </c>
      <c r="R935" s="2" t="inlineStr"/>
    </row>
    <row r="936" ht="15" customHeight="1">
      <c r="A936" t="inlineStr">
        <is>
          <t>A 31211-2019</t>
        </is>
      </c>
      <c r="B936" s="1" t="n">
        <v>43640</v>
      </c>
      <c r="C936" s="1" t="n">
        <v>45186</v>
      </c>
      <c r="D936" t="inlineStr">
        <is>
          <t>STOCKHOLMS LÄN</t>
        </is>
      </c>
      <c r="E936" t="inlineStr">
        <is>
          <t>VÄRMDÖ</t>
        </is>
      </c>
      <c r="G936" t="n">
        <v>1.3</v>
      </c>
      <c r="H936" t="n">
        <v>0</v>
      </c>
      <c r="I936" t="n">
        <v>0</v>
      </c>
      <c r="J936" t="n">
        <v>0</v>
      </c>
      <c r="K936" t="n">
        <v>0</v>
      </c>
      <c r="L936" t="n">
        <v>0</v>
      </c>
      <c r="M936" t="n">
        <v>0</v>
      </c>
      <c r="N936" t="n">
        <v>0</v>
      </c>
      <c r="O936" t="n">
        <v>0</v>
      </c>
      <c r="P936" t="n">
        <v>0</v>
      </c>
      <c r="Q936" t="n">
        <v>0</v>
      </c>
      <c r="R936" s="2" t="inlineStr"/>
    </row>
    <row r="937" ht="15" customHeight="1">
      <c r="A937" t="inlineStr">
        <is>
          <t>A 31382-2019</t>
        </is>
      </c>
      <c r="B937" s="1" t="n">
        <v>43641</v>
      </c>
      <c r="C937" s="1" t="n">
        <v>45186</v>
      </c>
      <c r="D937" t="inlineStr">
        <is>
          <t>STOCKHOLMS LÄN</t>
        </is>
      </c>
      <c r="E937" t="inlineStr">
        <is>
          <t>NYNÄSHAMN</t>
        </is>
      </c>
      <c r="G937" t="n">
        <v>7</v>
      </c>
      <c r="H937" t="n">
        <v>0</v>
      </c>
      <c r="I937" t="n">
        <v>0</v>
      </c>
      <c r="J937" t="n">
        <v>0</v>
      </c>
      <c r="K937" t="n">
        <v>0</v>
      </c>
      <c r="L937" t="n">
        <v>0</v>
      </c>
      <c r="M937" t="n">
        <v>0</v>
      </c>
      <c r="N937" t="n">
        <v>0</v>
      </c>
      <c r="O937" t="n">
        <v>0</v>
      </c>
      <c r="P937" t="n">
        <v>0</v>
      </c>
      <c r="Q937" t="n">
        <v>0</v>
      </c>
      <c r="R937" s="2" t="inlineStr"/>
    </row>
    <row r="938" ht="15" customHeight="1">
      <c r="A938" t="inlineStr">
        <is>
          <t>A 31662-2019</t>
        </is>
      </c>
      <c r="B938" s="1" t="n">
        <v>43642</v>
      </c>
      <c r="C938" s="1" t="n">
        <v>45186</v>
      </c>
      <c r="D938" t="inlineStr">
        <is>
          <t>STOCKHOLMS LÄN</t>
        </is>
      </c>
      <c r="E938" t="inlineStr">
        <is>
          <t>SÖDERTÄLJE</t>
        </is>
      </c>
      <c r="G938" t="n">
        <v>0.5</v>
      </c>
      <c r="H938" t="n">
        <v>0</v>
      </c>
      <c r="I938" t="n">
        <v>0</v>
      </c>
      <c r="J938" t="n">
        <v>0</v>
      </c>
      <c r="K938" t="n">
        <v>0</v>
      </c>
      <c r="L938" t="n">
        <v>0</v>
      </c>
      <c r="M938" t="n">
        <v>0</v>
      </c>
      <c r="N938" t="n">
        <v>0</v>
      </c>
      <c r="O938" t="n">
        <v>0</v>
      </c>
      <c r="P938" t="n">
        <v>0</v>
      </c>
      <c r="Q938" t="n">
        <v>0</v>
      </c>
      <c r="R938" s="2" t="inlineStr"/>
    </row>
    <row r="939" ht="15" customHeight="1">
      <c r="A939" t="inlineStr">
        <is>
          <t>A 31893-2019</t>
        </is>
      </c>
      <c r="B939" s="1" t="n">
        <v>43642</v>
      </c>
      <c r="C939" s="1" t="n">
        <v>45186</v>
      </c>
      <c r="D939" t="inlineStr">
        <is>
          <t>STOCKHOLMS LÄN</t>
        </is>
      </c>
      <c r="E939" t="inlineStr">
        <is>
          <t>NYNÄSHAMN</t>
        </is>
      </c>
      <c r="F939" t="inlineStr">
        <is>
          <t>Kommuner</t>
        </is>
      </c>
      <c r="G939" t="n">
        <v>3.4</v>
      </c>
      <c r="H939" t="n">
        <v>0</v>
      </c>
      <c r="I939" t="n">
        <v>0</v>
      </c>
      <c r="J939" t="n">
        <v>0</v>
      </c>
      <c r="K939" t="n">
        <v>0</v>
      </c>
      <c r="L939" t="n">
        <v>0</v>
      </c>
      <c r="M939" t="n">
        <v>0</v>
      </c>
      <c r="N939" t="n">
        <v>0</v>
      </c>
      <c r="O939" t="n">
        <v>0</v>
      </c>
      <c r="P939" t="n">
        <v>0</v>
      </c>
      <c r="Q939" t="n">
        <v>0</v>
      </c>
      <c r="R939" s="2" t="inlineStr"/>
    </row>
    <row r="940" ht="15" customHeight="1">
      <c r="A940" t="inlineStr">
        <is>
          <t>A 31976-2019</t>
        </is>
      </c>
      <c r="B940" s="1" t="n">
        <v>43643</v>
      </c>
      <c r="C940" s="1" t="n">
        <v>45186</v>
      </c>
      <c r="D940" t="inlineStr">
        <is>
          <t>STOCKHOLMS LÄN</t>
        </is>
      </c>
      <c r="E940" t="inlineStr">
        <is>
          <t>NYNÄSHAMN</t>
        </is>
      </c>
      <c r="G940" t="n">
        <v>7.6</v>
      </c>
      <c r="H940" t="n">
        <v>0</v>
      </c>
      <c r="I940" t="n">
        <v>0</v>
      </c>
      <c r="J940" t="n">
        <v>0</v>
      </c>
      <c r="K940" t="n">
        <v>0</v>
      </c>
      <c r="L940" t="n">
        <v>0</v>
      </c>
      <c r="M940" t="n">
        <v>0</v>
      </c>
      <c r="N940" t="n">
        <v>0</v>
      </c>
      <c r="O940" t="n">
        <v>0</v>
      </c>
      <c r="P940" t="n">
        <v>0</v>
      </c>
      <c r="Q940" t="n">
        <v>0</v>
      </c>
      <c r="R940" s="2" t="inlineStr"/>
    </row>
    <row r="941" ht="15" customHeight="1">
      <c r="A941" t="inlineStr">
        <is>
          <t>A 31966-2019</t>
        </is>
      </c>
      <c r="B941" s="1" t="n">
        <v>43643</v>
      </c>
      <c r="C941" s="1" t="n">
        <v>45186</v>
      </c>
      <c r="D941" t="inlineStr">
        <is>
          <t>STOCKHOLMS LÄN</t>
        </is>
      </c>
      <c r="E941" t="inlineStr">
        <is>
          <t>NORRTÄLJE</t>
        </is>
      </c>
      <c r="G941" t="n">
        <v>1.3</v>
      </c>
      <c r="H941" t="n">
        <v>0</v>
      </c>
      <c r="I941" t="n">
        <v>0</v>
      </c>
      <c r="J941" t="n">
        <v>0</v>
      </c>
      <c r="K941" t="n">
        <v>0</v>
      </c>
      <c r="L941" t="n">
        <v>0</v>
      </c>
      <c r="M941" t="n">
        <v>0</v>
      </c>
      <c r="N941" t="n">
        <v>0</v>
      </c>
      <c r="O941" t="n">
        <v>0</v>
      </c>
      <c r="P941" t="n">
        <v>0</v>
      </c>
      <c r="Q941" t="n">
        <v>0</v>
      </c>
      <c r="R941" s="2" t="inlineStr"/>
    </row>
    <row r="942" ht="15" customHeight="1">
      <c r="A942" t="inlineStr">
        <is>
          <t>A 31971-2019</t>
        </is>
      </c>
      <c r="B942" s="1" t="n">
        <v>43643</v>
      </c>
      <c r="C942" s="1" t="n">
        <v>45186</v>
      </c>
      <c r="D942" t="inlineStr">
        <is>
          <t>STOCKHOLMS LÄN</t>
        </is>
      </c>
      <c r="E942" t="inlineStr">
        <is>
          <t>NYNÄSHAMN</t>
        </is>
      </c>
      <c r="G942" t="n">
        <v>3.1</v>
      </c>
      <c r="H942" t="n">
        <v>0</v>
      </c>
      <c r="I942" t="n">
        <v>0</v>
      </c>
      <c r="J942" t="n">
        <v>0</v>
      </c>
      <c r="K942" t="n">
        <v>0</v>
      </c>
      <c r="L942" t="n">
        <v>0</v>
      </c>
      <c r="M942" t="n">
        <v>0</v>
      </c>
      <c r="N942" t="n">
        <v>0</v>
      </c>
      <c r="O942" t="n">
        <v>0</v>
      </c>
      <c r="P942" t="n">
        <v>0</v>
      </c>
      <c r="Q942" t="n">
        <v>0</v>
      </c>
      <c r="R942" s="2" t="inlineStr"/>
    </row>
    <row r="943" ht="15" customHeight="1">
      <c r="A943" t="inlineStr">
        <is>
          <t>A 33732-2019</t>
        </is>
      </c>
      <c r="B943" s="1" t="n">
        <v>43644</v>
      </c>
      <c r="C943" s="1" t="n">
        <v>45186</v>
      </c>
      <c r="D943" t="inlineStr">
        <is>
          <t>STOCKHOLMS LÄN</t>
        </is>
      </c>
      <c r="E943" t="inlineStr">
        <is>
          <t>UPPLANDS-BRO</t>
        </is>
      </c>
      <c r="G943" t="n">
        <v>0.9</v>
      </c>
      <c r="H943" t="n">
        <v>0</v>
      </c>
      <c r="I943" t="n">
        <v>0</v>
      </c>
      <c r="J943" t="n">
        <v>0</v>
      </c>
      <c r="K943" t="n">
        <v>0</v>
      </c>
      <c r="L943" t="n">
        <v>0</v>
      </c>
      <c r="M943" t="n">
        <v>0</v>
      </c>
      <c r="N943" t="n">
        <v>0</v>
      </c>
      <c r="O943" t="n">
        <v>0</v>
      </c>
      <c r="P943" t="n">
        <v>0</v>
      </c>
      <c r="Q943" t="n">
        <v>0</v>
      </c>
      <c r="R943" s="2" t="inlineStr"/>
    </row>
    <row r="944" ht="15" customHeight="1">
      <c r="A944" t="inlineStr">
        <is>
          <t>A 32726-2019</t>
        </is>
      </c>
      <c r="B944" s="1" t="n">
        <v>43647</v>
      </c>
      <c r="C944" s="1" t="n">
        <v>45186</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32725-2019</t>
        </is>
      </c>
      <c r="B945" s="1" t="n">
        <v>43647</v>
      </c>
      <c r="C945" s="1" t="n">
        <v>45186</v>
      </c>
      <c r="D945" t="inlineStr">
        <is>
          <t>STOCKHOLMS LÄN</t>
        </is>
      </c>
      <c r="E945" t="inlineStr">
        <is>
          <t>NORRTÄLJE</t>
        </is>
      </c>
      <c r="G945" t="n">
        <v>1.5</v>
      </c>
      <c r="H945" t="n">
        <v>0</v>
      </c>
      <c r="I945" t="n">
        <v>0</v>
      </c>
      <c r="J945" t="n">
        <v>0</v>
      </c>
      <c r="K945" t="n">
        <v>0</v>
      </c>
      <c r="L945" t="n">
        <v>0</v>
      </c>
      <c r="M945" t="n">
        <v>0</v>
      </c>
      <c r="N945" t="n">
        <v>0</v>
      </c>
      <c r="O945" t="n">
        <v>0</v>
      </c>
      <c r="P945" t="n">
        <v>0</v>
      </c>
      <c r="Q945" t="n">
        <v>0</v>
      </c>
      <c r="R945" s="2" t="inlineStr"/>
    </row>
    <row r="946" ht="15" customHeight="1">
      <c r="A946" t="inlineStr">
        <is>
          <t>A 32813-2019</t>
        </is>
      </c>
      <c r="B946" s="1" t="n">
        <v>43648</v>
      </c>
      <c r="C946" s="1" t="n">
        <v>45186</v>
      </c>
      <c r="D946" t="inlineStr">
        <is>
          <t>STOCKHOLMS LÄN</t>
        </is>
      </c>
      <c r="E946" t="inlineStr">
        <is>
          <t>SIGTUNA</t>
        </is>
      </c>
      <c r="G946" t="n">
        <v>8.300000000000001</v>
      </c>
      <c r="H946" t="n">
        <v>0</v>
      </c>
      <c r="I946" t="n">
        <v>0</v>
      </c>
      <c r="J946" t="n">
        <v>0</v>
      </c>
      <c r="K946" t="n">
        <v>0</v>
      </c>
      <c r="L946" t="n">
        <v>0</v>
      </c>
      <c r="M946" t="n">
        <v>0</v>
      </c>
      <c r="N946" t="n">
        <v>0</v>
      </c>
      <c r="O946" t="n">
        <v>0</v>
      </c>
      <c r="P946" t="n">
        <v>0</v>
      </c>
      <c r="Q946" t="n">
        <v>0</v>
      </c>
      <c r="R946" s="2" t="inlineStr"/>
    </row>
    <row r="947" ht="15" customHeight="1">
      <c r="A947" t="inlineStr">
        <is>
          <t>A 33207-2019</t>
        </is>
      </c>
      <c r="B947" s="1" t="n">
        <v>43649</v>
      </c>
      <c r="C947" s="1" t="n">
        <v>45186</v>
      </c>
      <c r="D947" t="inlineStr">
        <is>
          <t>STOCKHOLMS LÄN</t>
        </is>
      </c>
      <c r="E947" t="inlineStr">
        <is>
          <t>NORRTÄLJE</t>
        </is>
      </c>
      <c r="G947" t="n">
        <v>0.6</v>
      </c>
      <c r="H947" t="n">
        <v>0</v>
      </c>
      <c r="I947" t="n">
        <v>0</v>
      </c>
      <c r="J947" t="n">
        <v>0</v>
      </c>
      <c r="K947" t="n">
        <v>0</v>
      </c>
      <c r="L947" t="n">
        <v>0</v>
      </c>
      <c r="M947" t="n">
        <v>0</v>
      </c>
      <c r="N947" t="n">
        <v>0</v>
      </c>
      <c r="O947" t="n">
        <v>0</v>
      </c>
      <c r="P947" t="n">
        <v>0</v>
      </c>
      <c r="Q947" t="n">
        <v>0</v>
      </c>
      <c r="R947" s="2" t="inlineStr"/>
    </row>
    <row r="948" ht="15" customHeight="1">
      <c r="A948" t="inlineStr">
        <is>
          <t>A 33196-2019</t>
        </is>
      </c>
      <c r="B948" s="1" t="n">
        <v>43649</v>
      </c>
      <c r="C948" s="1" t="n">
        <v>45186</v>
      </c>
      <c r="D948" t="inlineStr">
        <is>
          <t>STOCKHOLMS LÄN</t>
        </is>
      </c>
      <c r="E948" t="inlineStr">
        <is>
          <t>NYKVARN</t>
        </is>
      </c>
      <c r="G948" t="n">
        <v>0.9</v>
      </c>
      <c r="H948" t="n">
        <v>0</v>
      </c>
      <c r="I948" t="n">
        <v>0</v>
      </c>
      <c r="J948" t="n">
        <v>0</v>
      </c>
      <c r="K948" t="n">
        <v>0</v>
      </c>
      <c r="L948" t="n">
        <v>0</v>
      </c>
      <c r="M948" t="n">
        <v>0</v>
      </c>
      <c r="N948" t="n">
        <v>0</v>
      </c>
      <c r="O948" t="n">
        <v>0</v>
      </c>
      <c r="P948" t="n">
        <v>0</v>
      </c>
      <c r="Q948" t="n">
        <v>0</v>
      </c>
      <c r="R948" s="2" t="inlineStr"/>
    </row>
    <row r="949" ht="15" customHeight="1">
      <c r="A949" t="inlineStr">
        <is>
          <t>A 35301-2019</t>
        </is>
      </c>
      <c r="B949" s="1" t="n">
        <v>43651</v>
      </c>
      <c r="C949" s="1" t="n">
        <v>45186</v>
      </c>
      <c r="D949" t="inlineStr">
        <is>
          <t>STOCKHOLMS LÄN</t>
        </is>
      </c>
      <c r="E949" t="inlineStr">
        <is>
          <t>VALLENTUNA</t>
        </is>
      </c>
      <c r="G949" t="n">
        <v>4.7</v>
      </c>
      <c r="H949" t="n">
        <v>0</v>
      </c>
      <c r="I949" t="n">
        <v>0</v>
      </c>
      <c r="J949" t="n">
        <v>0</v>
      </c>
      <c r="K949" t="n">
        <v>0</v>
      </c>
      <c r="L949" t="n">
        <v>0</v>
      </c>
      <c r="M949" t="n">
        <v>0</v>
      </c>
      <c r="N949" t="n">
        <v>0</v>
      </c>
      <c r="O949" t="n">
        <v>0</v>
      </c>
      <c r="P949" t="n">
        <v>0</v>
      </c>
      <c r="Q949" t="n">
        <v>0</v>
      </c>
      <c r="R949" s="2" t="inlineStr"/>
    </row>
    <row r="950" ht="15" customHeight="1">
      <c r="A950" t="inlineStr">
        <is>
          <t>A 35303-2019</t>
        </is>
      </c>
      <c r="B950" s="1" t="n">
        <v>43651</v>
      </c>
      <c r="C950" s="1" t="n">
        <v>45186</v>
      </c>
      <c r="D950" t="inlineStr">
        <is>
          <t>STOCKHOLMS LÄN</t>
        </is>
      </c>
      <c r="E950" t="inlineStr">
        <is>
          <t>VALLENTUNA</t>
        </is>
      </c>
      <c r="G950" t="n">
        <v>7</v>
      </c>
      <c r="H950" t="n">
        <v>0</v>
      </c>
      <c r="I950" t="n">
        <v>0</v>
      </c>
      <c r="J950" t="n">
        <v>0</v>
      </c>
      <c r="K950" t="n">
        <v>0</v>
      </c>
      <c r="L950" t="n">
        <v>0</v>
      </c>
      <c r="M950" t="n">
        <v>0</v>
      </c>
      <c r="N950" t="n">
        <v>0</v>
      </c>
      <c r="O950" t="n">
        <v>0</v>
      </c>
      <c r="P950" t="n">
        <v>0</v>
      </c>
      <c r="Q950" t="n">
        <v>0</v>
      </c>
      <c r="R950" s="2" t="inlineStr"/>
    </row>
    <row r="951" ht="15" customHeight="1">
      <c r="A951" t="inlineStr">
        <is>
          <t>A 33966-2019</t>
        </is>
      </c>
      <c r="B951" s="1" t="n">
        <v>43654</v>
      </c>
      <c r="C951" s="1" t="n">
        <v>45186</v>
      </c>
      <c r="D951" t="inlineStr">
        <is>
          <t>STOCKHOLMS LÄN</t>
        </is>
      </c>
      <c r="E951" t="inlineStr">
        <is>
          <t>NORRTÄLJE</t>
        </is>
      </c>
      <c r="G951" t="n">
        <v>3.2</v>
      </c>
      <c r="H951" t="n">
        <v>0</v>
      </c>
      <c r="I951" t="n">
        <v>0</v>
      </c>
      <c r="J951" t="n">
        <v>0</v>
      </c>
      <c r="K951" t="n">
        <v>0</v>
      </c>
      <c r="L951" t="n">
        <v>0</v>
      </c>
      <c r="M951" t="n">
        <v>0</v>
      </c>
      <c r="N951" t="n">
        <v>0</v>
      </c>
      <c r="O951" t="n">
        <v>0</v>
      </c>
      <c r="P951" t="n">
        <v>0</v>
      </c>
      <c r="Q951" t="n">
        <v>0</v>
      </c>
      <c r="R951" s="2" t="inlineStr"/>
    </row>
    <row r="952" ht="15" customHeight="1">
      <c r="A952" t="inlineStr">
        <is>
          <t>A 33955-2019</t>
        </is>
      </c>
      <c r="B952" s="1" t="n">
        <v>43654</v>
      </c>
      <c r="C952" s="1" t="n">
        <v>45186</v>
      </c>
      <c r="D952" t="inlineStr">
        <is>
          <t>STOCKHOLMS LÄN</t>
        </is>
      </c>
      <c r="E952" t="inlineStr">
        <is>
          <t>NORRTÄLJE</t>
        </is>
      </c>
      <c r="G952" t="n">
        <v>1.7</v>
      </c>
      <c r="H952" t="n">
        <v>0</v>
      </c>
      <c r="I952" t="n">
        <v>0</v>
      </c>
      <c r="J952" t="n">
        <v>0</v>
      </c>
      <c r="K952" t="n">
        <v>0</v>
      </c>
      <c r="L952" t="n">
        <v>0</v>
      </c>
      <c r="M952" t="n">
        <v>0</v>
      </c>
      <c r="N952" t="n">
        <v>0</v>
      </c>
      <c r="O952" t="n">
        <v>0</v>
      </c>
      <c r="P952" t="n">
        <v>0</v>
      </c>
      <c r="Q952" t="n">
        <v>0</v>
      </c>
      <c r="R952" s="2" t="inlineStr"/>
    </row>
    <row r="953" ht="15" customHeight="1">
      <c r="A953" t="inlineStr">
        <is>
          <t>A 35247-2019</t>
        </is>
      </c>
      <c r="B953" s="1" t="n">
        <v>43656</v>
      </c>
      <c r="C953" s="1" t="n">
        <v>45186</v>
      </c>
      <c r="D953" t="inlineStr">
        <is>
          <t>STOCKHOLMS LÄN</t>
        </is>
      </c>
      <c r="E953" t="inlineStr">
        <is>
          <t>NORRTÄLJE</t>
        </is>
      </c>
      <c r="G953" t="n">
        <v>1.8</v>
      </c>
      <c r="H953" t="n">
        <v>0</v>
      </c>
      <c r="I953" t="n">
        <v>0</v>
      </c>
      <c r="J953" t="n">
        <v>0</v>
      </c>
      <c r="K953" t="n">
        <v>0</v>
      </c>
      <c r="L953" t="n">
        <v>0</v>
      </c>
      <c r="M953" t="n">
        <v>0</v>
      </c>
      <c r="N953" t="n">
        <v>0</v>
      </c>
      <c r="O953" t="n">
        <v>0</v>
      </c>
      <c r="P953" t="n">
        <v>0</v>
      </c>
      <c r="Q953" t="n">
        <v>0</v>
      </c>
      <c r="R953" s="2" t="inlineStr"/>
    </row>
    <row r="954" ht="15" customHeight="1">
      <c r="A954" t="inlineStr">
        <is>
          <t>A 35244-2019</t>
        </is>
      </c>
      <c r="B954" s="1" t="n">
        <v>43656</v>
      </c>
      <c r="C954" s="1" t="n">
        <v>45186</v>
      </c>
      <c r="D954" t="inlineStr">
        <is>
          <t>STOCKHOLMS LÄN</t>
        </is>
      </c>
      <c r="E954" t="inlineStr">
        <is>
          <t>NORRTÄLJE</t>
        </is>
      </c>
      <c r="G954" t="n">
        <v>1.9</v>
      </c>
      <c r="H954" t="n">
        <v>0</v>
      </c>
      <c r="I954" t="n">
        <v>0</v>
      </c>
      <c r="J954" t="n">
        <v>0</v>
      </c>
      <c r="K954" t="n">
        <v>0</v>
      </c>
      <c r="L954" t="n">
        <v>0</v>
      </c>
      <c r="M954" t="n">
        <v>0</v>
      </c>
      <c r="N954" t="n">
        <v>0</v>
      </c>
      <c r="O954" t="n">
        <v>0</v>
      </c>
      <c r="P954" t="n">
        <v>0</v>
      </c>
      <c r="Q954" t="n">
        <v>0</v>
      </c>
      <c r="R954" s="2" t="inlineStr"/>
    </row>
    <row r="955" ht="15" customHeight="1">
      <c r="A955" t="inlineStr">
        <is>
          <t>A 35251-2019</t>
        </is>
      </c>
      <c r="B955" s="1" t="n">
        <v>43656</v>
      </c>
      <c r="C955" s="1" t="n">
        <v>45186</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35249-2019</t>
        </is>
      </c>
      <c r="B956" s="1" t="n">
        <v>43656</v>
      </c>
      <c r="C956" s="1" t="n">
        <v>45186</v>
      </c>
      <c r="D956" t="inlineStr">
        <is>
          <t>STOCKHOLMS LÄN</t>
        </is>
      </c>
      <c r="E956" t="inlineStr">
        <is>
          <t>NORRTÄLJE</t>
        </is>
      </c>
      <c r="G956" t="n">
        <v>0.8</v>
      </c>
      <c r="H956" t="n">
        <v>0</v>
      </c>
      <c r="I956" t="n">
        <v>0</v>
      </c>
      <c r="J956" t="n">
        <v>0</v>
      </c>
      <c r="K956" t="n">
        <v>0</v>
      </c>
      <c r="L956" t="n">
        <v>0</v>
      </c>
      <c r="M956" t="n">
        <v>0</v>
      </c>
      <c r="N956" t="n">
        <v>0</v>
      </c>
      <c r="O956" t="n">
        <v>0</v>
      </c>
      <c r="P956" t="n">
        <v>0</v>
      </c>
      <c r="Q956" t="n">
        <v>0</v>
      </c>
      <c r="R956" s="2" t="inlineStr"/>
    </row>
    <row r="957" ht="15" customHeight="1">
      <c r="A957" t="inlineStr">
        <is>
          <t>A 34656-2019</t>
        </is>
      </c>
      <c r="B957" s="1" t="n">
        <v>43657</v>
      </c>
      <c r="C957" s="1" t="n">
        <v>45186</v>
      </c>
      <c r="D957" t="inlineStr">
        <is>
          <t>STOCKHOLMS LÄN</t>
        </is>
      </c>
      <c r="E957" t="inlineStr">
        <is>
          <t>HANINGE</t>
        </is>
      </c>
      <c r="F957" t="inlineStr">
        <is>
          <t>Kommuner</t>
        </is>
      </c>
      <c r="G957" t="n">
        <v>5</v>
      </c>
      <c r="H957" t="n">
        <v>0</v>
      </c>
      <c r="I957" t="n">
        <v>0</v>
      </c>
      <c r="J957" t="n">
        <v>0</v>
      </c>
      <c r="K957" t="n">
        <v>0</v>
      </c>
      <c r="L957" t="n">
        <v>0</v>
      </c>
      <c r="M957" t="n">
        <v>0</v>
      </c>
      <c r="N957" t="n">
        <v>0</v>
      </c>
      <c r="O957" t="n">
        <v>0</v>
      </c>
      <c r="P957" t="n">
        <v>0</v>
      </c>
      <c r="Q957" t="n">
        <v>0</v>
      </c>
      <c r="R957" s="2" t="inlineStr"/>
    </row>
    <row r="958" ht="15" customHeight="1">
      <c r="A958" t="inlineStr">
        <is>
          <t>A 34756-2019</t>
        </is>
      </c>
      <c r="B958" s="1" t="n">
        <v>43658</v>
      </c>
      <c r="C958" s="1" t="n">
        <v>45186</v>
      </c>
      <c r="D958" t="inlineStr">
        <is>
          <t>STOCKHOLMS LÄN</t>
        </is>
      </c>
      <c r="E958" t="inlineStr">
        <is>
          <t>NYKVARN</t>
        </is>
      </c>
      <c r="G958" t="n">
        <v>11.5</v>
      </c>
      <c r="H958" t="n">
        <v>0</v>
      </c>
      <c r="I958" t="n">
        <v>0</v>
      </c>
      <c r="J958" t="n">
        <v>0</v>
      </c>
      <c r="K958" t="n">
        <v>0</v>
      </c>
      <c r="L958" t="n">
        <v>0</v>
      </c>
      <c r="M958" t="n">
        <v>0</v>
      </c>
      <c r="N958" t="n">
        <v>0</v>
      </c>
      <c r="O958" t="n">
        <v>0</v>
      </c>
      <c r="P958" t="n">
        <v>0</v>
      </c>
      <c r="Q958" t="n">
        <v>0</v>
      </c>
      <c r="R958" s="2" t="inlineStr"/>
    </row>
    <row r="959" ht="15" customHeight="1">
      <c r="A959" t="inlineStr">
        <is>
          <t>A 35187-2019</t>
        </is>
      </c>
      <c r="B959" s="1" t="n">
        <v>43661</v>
      </c>
      <c r="C959" s="1" t="n">
        <v>45186</v>
      </c>
      <c r="D959" t="inlineStr">
        <is>
          <t>STOCKHOLMS LÄN</t>
        </is>
      </c>
      <c r="E959" t="inlineStr">
        <is>
          <t>UPPLANDS-BRO</t>
        </is>
      </c>
      <c r="F959" t="inlineStr">
        <is>
          <t>Allmännings- och besparingsskogar</t>
        </is>
      </c>
      <c r="G959" t="n">
        <v>0.7</v>
      </c>
      <c r="H959" t="n">
        <v>0</v>
      </c>
      <c r="I959" t="n">
        <v>0</v>
      </c>
      <c r="J959" t="n">
        <v>0</v>
      </c>
      <c r="K959" t="n">
        <v>0</v>
      </c>
      <c r="L959" t="n">
        <v>0</v>
      </c>
      <c r="M959" t="n">
        <v>0</v>
      </c>
      <c r="N959" t="n">
        <v>0</v>
      </c>
      <c r="O959" t="n">
        <v>0</v>
      </c>
      <c r="P959" t="n">
        <v>0</v>
      </c>
      <c r="Q959" t="n">
        <v>0</v>
      </c>
      <c r="R959" s="2" t="inlineStr"/>
    </row>
    <row r="960" ht="15" customHeight="1">
      <c r="A960" t="inlineStr">
        <is>
          <t>A 35492-2019</t>
        </is>
      </c>
      <c r="B960" s="1" t="n">
        <v>43663</v>
      </c>
      <c r="C960" s="1" t="n">
        <v>45186</v>
      </c>
      <c r="D960" t="inlineStr">
        <is>
          <t>STOCKHOLMS LÄN</t>
        </is>
      </c>
      <c r="E960" t="inlineStr">
        <is>
          <t>NORRTÄLJE</t>
        </is>
      </c>
      <c r="G960" t="n">
        <v>14</v>
      </c>
      <c r="H960" t="n">
        <v>0</v>
      </c>
      <c r="I960" t="n">
        <v>0</v>
      </c>
      <c r="J960" t="n">
        <v>0</v>
      </c>
      <c r="K960" t="n">
        <v>0</v>
      </c>
      <c r="L960" t="n">
        <v>0</v>
      </c>
      <c r="M960" t="n">
        <v>0</v>
      </c>
      <c r="N960" t="n">
        <v>0</v>
      </c>
      <c r="O960" t="n">
        <v>0</v>
      </c>
      <c r="P960" t="n">
        <v>0</v>
      </c>
      <c r="Q960" t="n">
        <v>0</v>
      </c>
      <c r="R960" s="2" t="inlineStr"/>
    </row>
    <row r="961" ht="15" customHeight="1">
      <c r="A961" t="inlineStr">
        <is>
          <t>A 35766-2019</t>
        </is>
      </c>
      <c r="B961" s="1" t="n">
        <v>43665</v>
      </c>
      <c r="C961" s="1" t="n">
        <v>45186</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35770-2019</t>
        </is>
      </c>
      <c r="B962" s="1" t="n">
        <v>43665</v>
      </c>
      <c r="C962" s="1" t="n">
        <v>45186</v>
      </c>
      <c r="D962" t="inlineStr">
        <is>
          <t>STOCKHOLMS LÄN</t>
        </is>
      </c>
      <c r="E962" t="inlineStr">
        <is>
          <t>NORRTÄLJE</t>
        </is>
      </c>
      <c r="G962" t="n">
        <v>6.3</v>
      </c>
      <c r="H962" t="n">
        <v>0</v>
      </c>
      <c r="I962" t="n">
        <v>0</v>
      </c>
      <c r="J962" t="n">
        <v>0</v>
      </c>
      <c r="K962" t="n">
        <v>0</v>
      </c>
      <c r="L962" t="n">
        <v>0</v>
      </c>
      <c r="M962" t="n">
        <v>0</v>
      </c>
      <c r="N962" t="n">
        <v>0</v>
      </c>
      <c r="O962" t="n">
        <v>0</v>
      </c>
      <c r="P962" t="n">
        <v>0</v>
      </c>
      <c r="Q962" t="n">
        <v>0</v>
      </c>
      <c r="R962" s="2" t="inlineStr"/>
    </row>
    <row r="963" ht="15" customHeight="1">
      <c r="A963" t="inlineStr">
        <is>
          <t>A 36135-2019</t>
        </is>
      </c>
      <c r="B963" s="1" t="n">
        <v>43668</v>
      </c>
      <c r="C963" s="1" t="n">
        <v>45186</v>
      </c>
      <c r="D963" t="inlineStr">
        <is>
          <t>STOCKHOLMS LÄN</t>
        </is>
      </c>
      <c r="E963" t="inlineStr">
        <is>
          <t>NYNÄSHAMN</t>
        </is>
      </c>
      <c r="G963" t="n">
        <v>4.8</v>
      </c>
      <c r="H963" t="n">
        <v>0</v>
      </c>
      <c r="I963" t="n">
        <v>0</v>
      </c>
      <c r="J963" t="n">
        <v>0</v>
      </c>
      <c r="K963" t="n">
        <v>0</v>
      </c>
      <c r="L963" t="n">
        <v>0</v>
      </c>
      <c r="M963" t="n">
        <v>0</v>
      </c>
      <c r="N963" t="n">
        <v>0</v>
      </c>
      <c r="O963" t="n">
        <v>0</v>
      </c>
      <c r="P963" t="n">
        <v>0</v>
      </c>
      <c r="Q963" t="n">
        <v>0</v>
      </c>
      <c r="R963" s="2" t="inlineStr"/>
    </row>
    <row r="964" ht="15" customHeight="1">
      <c r="A964" t="inlineStr">
        <is>
          <t>A 36418-2019</t>
        </is>
      </c>
      <c r="B964" s="1" t="n">
        <v>43670</v>
      </c>
      <c r="C964" s="1" t="n">
        <v>45186</v>
      </c>
      <c r="D964" t="inlineStr">
        <is>
          <t>STOCKHOLMS LÄN</t>
        </is>
      </c>
      <c r="E964" t="inlineStr">
        <is>
          <t>NORRTÄLJE</t>
        </is>
      </c>
      <c r="G964" t="n">
        <v>16.8</v>
      </c>
      <c r="H964" t="n">
        <v>0</v>
      </c>
      <c r="I964" t="n">
        <v>0</v>
      </c>
      <c r="J964" t="n">
        <v>0</v>
      </c>
      <c r="K964" t="n">
        <v>0</v>
      </c>
      <c r="L964" t="n">
        <v>0</v>
      </c>
      <c r="M964" t="n">
        <v>0</v>
      </c>
      <c r="N964" t="n">
        <v>0</v>
      </c>
      <c r="O964" t="n">
        <v>0</v>
      </c>
      <c r="P964" t="n">
        <v>0</v>
      </c>
      <c r="Q964" t="n">
        <v>0</v>
      </c>
      <c r="R964" s="2" t="inlineStr"/>
    </row>
    <row r="965" ht="15" customHeight="1">
      <c r="A965" t="inlineStr">
        <is>
          <t>A 36725-2019</t>
        </is>
      </c>
      <c r="B965" s="1" t="n">
        <v>43671</v>
      </c>
      <c r="C965" s="1" t="n">
        <v>45186</v>
      </c>
      <c r="D965" t="inlineStr">
        <is>
          <t>STOCKHOLMS LÄN</t>
        </is>
      </c>
      <c r="E965" t="inlineStr">
        <is>
          <t>UPPLANDS-BRO</t>
        </is>
      </c>
      <c r="G965" t="n">
        <v>2.7</v>
      </c>
      <c r="H965" t="n">
        <v>0</v>
      </c>
      <c r="I965" t="n">
        <v>0</v>
      </c>
      <c r="J965" t="n">
        <v>0</v>
      </c>
      <c r="K965" t="n">
        <v>0</v>
      </c>
      <c r="L965" t="n">
        <v>0</v>
      </c>
      <c r="M965" t="n">
        <v>0</v>
      </c>
      <c r="N965" t="n">
        <v>0</v>
      </c>
      <c r="O965" t="n">
        <v>0</v>
      </c>
      <c r="P965" t="n">
        <v>0</v>
      </c>
      <c r="Q965" t="n">
        <v>0</v>
      </c>
      <c r="R965" s="2" t="inlineStr"/>
    </row>
    <row r="966" ht="15" customHeight="1">
      <c r="A966" t="inlineStr">
        <is>
          <t>A 36722-2019</t>
        </is>
      </c>
      <c r="B966" s="1" t="n">
        <v>43671</v>
      </c>
      <c r="C966" s="1" t="n">
        <v>45186</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36728-2019</t>
        </is>
      </c>
      <c r="B967" s="1" t="n">
        <v>43671</v>
      </c>
      <c r="C967" s="1" t="n">
        <v>45186</v>
      </c>
      <c r="D967" t="inlineStr">
        <is>
          <t>STOCKHOLMS LÄN</t>
        </is>
      </c>
      <c r="E967" t="inlineStr">
        <is>
          <t>UPPLANDS-BRO</t>
        </is>
      </c>
      <c r="G967" t="n">
        <v>1.6</v>
      </c>
      <c r="H967" t="n">
        <v>0</v>
      </c>
      <c r="I967" t="n">
        <v>0</v>
      </c>
      <c r="J967" t="n">
        <v>0</v>
      </c>
      <c r="K967" t="n">
        <v>0</v>
      </c>
      <c r="L967" t="n">
        <v>0</v>
      </c>
      <c r="M967" t="n">
        <v>0</v>
      </c>
      <c r="N967" t="n">
        <v>0</v>
      </c>
      <c r="O967" t="n">
        <v>0</v>
      </c>
      <c r="P967" t="n">
        <v>0</v>
      </c>
      <c r="Q967" t="n">
        <v>0</v>
      </c>
      <c r="R967" s="2" t="inlineStr"/>
    </row>
    <row r="968" ht="15" customHeight="1">
      <c r="A968" t="inlineStr">
        <is>
          <t>A 36882-2019</t>
        </is>
      </c>
      <c r="B968" s="1" t="n">
        <v>43675</v>
      </c>
      <c r="C968" s="1" t="n">
        <v>45186</v>
      </c>
      <c r="D968" t="inlineStr">
        <is>
          <t>STOCKHOLMS LÄN</t>
        </is>
      </c>
      <c r="E968" t="inlineStr">
        <is>
          <t>SÖDERTÄLJE</t>
        </is>
      </c>
      <c r="G968" t="n">
        <v>3.9</v>
      </c>
      <c r="H968" t="n">
        <v>0</v>
      </c>
      <c r="I968" t="n">
        <v>0</v>
      </c>
      <c r="J968" t="n">
        <v>0</v>
      </c>
      <c r="K968" t="n">
        <v>0</v>
      </c>
      <c r="L968" t="n">
        <v>0</v>
      </c>
      <c r="M968" t="n">
        <v>0</v>
      </c>
      <c r="N968" t="n">
        <v>0</v>
      </c>
      <c r="O968" t="n">
        <v>0</v>
      </c>
      <c r="P968" t="n">
        <v>0</v>
      </c>
      <c r="Q968" t="n">
        <v>0</v>
      </c>
      <c r="R968" s="2" t="inlineStr"/>
    </row>
    <row r="969" ht="15" customHeight="1">
      <c r="A969" t="inlineStr">
        <is>
          <t>A 37227-2019</t>
        </is>
      </c>
      <c r="B969" s="1" t="n">
        <v>43677</v>
      </c>
      <c r="C969" s="1" t="n">
        <v>45186</v>
      </c>
      <c r="D969" t="inlineStr">
        <is>
          <t>STOCKHOLMS LÄN</t>
        </is>
      </c>
      <c r="E969" t="inlineStr">
        <is>
          <t>SÖDERTÄLJE</t>
        </is>
      </c>
      <c r="G969" t="n">
        <v>1.1</v>
      </c>
      <c r="H969" t="n">
        <v>0</v>
      </c>
      <c r="I969" t="n">
        <v>0</v>
      </c>
      <c r="J969" t="n">
        <v>0</v>
      </c>
      <c r="K969" t="n">
        <v>0</v>
      </c>
      <c r="L969" t="n">
        <v>0</v>
      </c>
      <c r="M969" t="n">
        <v>0</v>
      </c>
      <c r="N969" t="n">
        <v>0</v>
      </c>
      <c r="O969" t="n">
        <v>0</v>
      </c>
      <c r="P969" t="n">
        <v>0</v>
      </c>
      <c r="Q969" t="n">
        <v>0</v>
      </c>
      <c r="R969" s="2" t="inlineStr"/>
    </row>
    <row r="970" ht="15" customHeight="1">
      <c r="A970" t="inlineStr">
        <is>
          <t>A 37365-2019</t>
        </is>
      </c>
      <c r="B970" s="1" t="n">
        <v>43678</v>
      </c>
      <c r="C970" s="1" t="n">
        <v>45186</v>
      </c>
      <c r="D970" t="inlineStr">
        <is>
          <t>STOCKHOLMS LÄN</t>
        </is>
      </c>
      <c r="E970" t="inlineStr">
        <is>
          <t>UPPLANDS VÄSBY</t>
        </is>
      </c>
      <c r="G970" t="n">
        <v>1.3</v>
      </c>
      <c r="H970" t="n">
        <v>0</v>
      </c>
      <c r="I970" t="n">
        <v>0</v>
      </c>
      <c r="J970" t="n">
        <v>0</v>
      </c>
      <c r="K970" t="n">
        <v>0</v>
      </c>
      <c r="L970" t="n">
        <v>0</v>
      </c>
      <c r="M970" t="n">
        <v>0</v>
      </c>
      <c r="N970" t="n">
        <v>0</v>
      </c>
      <c r="O970" t="n">
        <v>0</v>
      </c>
      <c r="P970" t="n">
        <v>0</v>
      </c>
      <c r="Q970" t="n">
        <v>0</v>
      </c>
      <c r="R970" s="2" t="inlineStr"/>
    </row>
    <row r="971" ht="15" customHeight="1">
      <c r="A971" t="inlineStr">
        <is>
          <t>A 37561-2019</t>
        </is>
      </c>
      <c r="B971" s="1" t="n">
        <v>43678</v>
      </c>
      <c r="C971" s="1" t="n">
        <v>45186</v>
      </c>
      <c r="D971" t="inlineStr">
        <is>
          <t>STOCKHOLMS LÄN</t>
        </is>
      </c>
      <c r="E971" t="inlineStr">
        <is>
          <t>VALLENTUNA</t>
        </is>
      </c>
      <c r="G971" t="n">
        <v>4</v>
      </c>
      <c r="H971" t="n">
        <v>0</v>
      </c>
      <c r="I971" t="n">
        <v>0</v>
      </c>
      <c r="J971" t="n">
        <v>0</v>
      </c>
      <c r="K971" t="n">
        <v>0</v>
      </c>
      <c r="L971" t="n">
        <v>0</v>
      </c>
      <c r="M971" t="n">
        <v>0</v>
      </c>
      <c r="N971" t="n">
        <v>0</v>
      </c>
      <c r="O971" t="n">
        <v>0</v>
      </c>
      <c r="P971" t="n">
        <v>0</v>
      </c>
      <c r="Q971" t="n">
        <v>0</v>
      </c>
      <c r="R971" s="2" t="inlineStr"/>
    </row>
    <row r="972" ht="15" customHeight="1">
      <c r="A972" t="inlineStr">
        <is>
          <t>A 37662-2019</t>
        </is>
      </c>
      <c r="B972" s="1" t="n">
        <v>43682</v>
      </c>
      <c r="C972" s="1" t="n">
        <v>45186</v>
      </c>
      <c r="D972" t="inlineStr">
        <is>
          <t>STOCKHOLMS LÄN</t>
        </is>
      </c>
      <c r="E972" t="inlineStr">
        <is>
          <t>NORRTÄLJE</t>
        </is>
      </c>
      <c r="G972" t="n">
        <v>1.5</v>
      </c>
      <c r="H972" t="n">
        <v>0</v>
      </c>
      <c r="I972" t="n">
        <v>0</v>
      </c>
      <c r="J972" t="n">
        <v>0</v>
      </c>
      <c r="K972" t="n">
        <v>0</v>
      </c>
      <c r="L972" t="n">
        <v>0</v>
      </c>
      <c r="M972" t="n">
        <v>0</v>
      </c>
      <c r="N972" t="n">
        <v>0</v>
      </c>
      <c r="O972" t="n">
        <v>0</v>
      </c>
      <c r="P972" t="n">
        <v>0</v>
      </c>
      <c r="Q972" t="n">
        <v>0</v>
      </c>
      <c r="R972" s="2" t="inlineStr"/>
    </row>
    <row r="973" ht="15" customHeight="1">
      <c r="A973" t="inlineStr">
        <is>
          <t>A 38143-2019</t>
        </is>
      </c>
      <c r="B973" s="1" t="n">
        <v>43684</v>
      </c>
      <c r="C973" s="1" t="n">
        <v>45186</v>
      </c>
      <c r="D973" t="inlineStr">
        <is>
          <t>STOCKHOLMS LÄN</t>
        </is>
      </c>
      <c r="E973" t="inlineStr">
        <is>
          <t>NORRTÄLJE</t>
        </is>
      </c>
      <c r="G973" t="n">
        <v>12.7</v>
      </c>
      <c r="H973" t="n">
        <v>0</v>
      </c>
      <c r="I973" t="n">
        <v>0</v>
      </c>
      <c r="J973" t="n">
        <v>0</v>
      </c>
      <c r="K973" t="n">
        <v>0</v>
      </c>
      <c r="L973" t="n">
        <v>0</v>
      </c>
      <c r="M973" t="n">
        <v>0</v>
      </c>
      <c r="N973" t="n">
        <v>0</v>
      </c>
      <c r="O973" t="n">
        <v>0</v>
      </c>
      <c r="P973" t="n">
        <v>0</v>
      </c>
      <c r="Q973" t="n">
        <v>0</v>
      </c>
      <c r="R973" s="2" t="inlineStr"/>
    </row>
    <row r="974" ht="15" customHeight="1">
      <c r="A974" t="inlineStr">
        <is>
          <t>A 38140-2019</t>
        </is>
      </c>
      <c r="B974" s="1" t="n">
        <v>43684</v>
      </c>
      <c r="C974" s="1" t="n">
        <v>45186</v>
      </c>
      <c r="D974" t="inlineStr">
        <is>
          <t>STOCKHOLMS LÄN</t>
        </is>
      </c>
      <c r="E974" t="inlineStr">
        <is>
          <t>NORRTÄLJE</t>
        </is>
      </c>
      <c r="G974" t="n">
        <v>3.4</v>
      </c>
      <c r="H974" t="n">
        <v>0</v>
      </c>
      <c r="I974" t="n">
        <v>0</v>
      </c>
      <c r="J974" t="n">
        <v>0</v>
      </c>
      <c r="K974" t="n">
        <v>0</v>
      </c>
      <c r="L974" t="n">
        <v>0</v>
      </c>
      <c r="M974" t="n">
        <v>0</v>
      </c>
      <c r="N974" t="n">
        <v>0</v>
      </c>
      <c r="O974" t="n">
        <v>0</v>
      </c>
      <c r="P974" t="n">
        <v>0</v>
      </c>
      <c r="Q974" t="n">
        <v>0</v>
      </c>
      <c r="R974" s="2" t="inlineStr"/>
    </row>
    <row r="975" ht="15" customHeight="1">
      <c r="A975" t="inlineStr">
        <is>
          <t>A 38216-2019</t>
        </is>
      </c>
      <c r="B975" s="1" t="n">
        <v>43684</v>
      </c>
      <c r="C975" s="1" t="n">
        <v>45186</v>
      </c>
      <c r="D975" t="inlineStr">
        <is>
          <t>STOCKHOLMS LÄN</t>
        </is>
      </c>
      <c r="E975" t="inlineStr">
        <is>
          <t>NYKVARN</t>
        </is>
      </c>
      <c r="G975" t="n">
        <v>2.7</v>
      </c>
      <c r="H975" t="n">
        <v>0</v>
      </c>
      <c r="I975" t="n">
        <v>0</v>
      </c>
      <c r="J975" t="n">
        <v>0</v>
      </c>
      <c r="K975" t="n">
        <v>0</v>
      </c>
      <c r="L975" t="n">
        <v>0</v>
      </c>
      <c r="M975" t="n">
        <v>0</v>
      </c>
      <c r="N975" t="n">
        <v>0</v>
      </c>
      <c r="O975" t="n">
        <v>0</v>
      </c>
      <c r="P975" t="n">
        <v>0</v>
      </c>
      <c r="Q975" t="n">
        <v>0</v>
      </c>
      <c r="R975" s="2" t="inlineStr"/>
    </row>
    <row r="976" ht="15" customHeight="1">
      <c r="A976" t="inlineStr">
        <is>
          <t>A 38139-2019</t>
        </is>
      </c>
      <c r="B976" s="1" t="n">
        <v>43684</v>
      </c>
      <c r="C976" s="1" t="n">
        <v>45186</v>
      </c>
      <c r="D976" t="inlineStr">
        <is>
          <t>STOCKHOLMS LÄN</t>
        </is>
      </c>
      <c r="E976" t="inlineStr">
        <is>
          <t>NORRTÄLJE</t>
        </is>
      </c>
      <c r="G976" t="n">
        <v>2</v>
      </c>
      <c r="H976" t="n">
        <v>0</v>
      </c>
      <c r="I976" t="n">
        <v>0</v>
      </c>
      <c r="J976" t="n">
        <v>0</v>
      </c>
      <c r="K976" t="n">
        <v>0</v>
      </c>
      <c r="L976" t="n">
        <v>0</v>
      </c>
      <c r="M976" t="n">
        <v>0</v>
      </c>
      <c r="N976" t="n">
        <v>0</v>
      </c>
      <c r="O976" t="n">
        <v>0</v>
      </c>
      <c r="P976" t="n">
        <v>0</v>
      </c>
      <c r="Q976" t="n">
        <v>0</v>
      </c>
      <c r="R976" s="2" t="inlineStr"/>
    </row>
    <row r="977" ht="15" customHeight="1">
      <c r="A977" t="inlineStr">
        <is>
          <t>A 38146-2019</t>
        </is>
      </c>
      <c r="B977" s="1" t="n">
        <v>43684</v>
      </c>
      <c r="C977" s="1" t="n">
        <v>45186</v>
      </c>
      <c r="D977" t="inlineStr">
        <is>
          <t>STOCKHOLMS LÄN</t>
        </is>
      </c>
      <c r="E977" t="inlineStr">
        <is>
          <t>NORRTÄLJE</t>
        </is>
      </c>
      <c r="G977" t="n">
        <v>5.9</v>
      </c>
      <c r="H977" t="n">
        <v>0</v>
      </c>
      <c r="I977" t="n">
        <v>0</v>
      </c>
      <c r="J977" t="n">
        <v>0</v>
      </c>
      <c r="K977" t="n">
        <v>0</v>
      </c>
      <c r="L977" t="n">
        <v>0</v>
      </c>
      <c r="M977" t="n">
        <v>0</v>
      </c>
      <c r="N977" t="n">
        <v>0</v>
      </c>
      <c r="O977" t="n">
        <v>0</v>
      </c>
      <c r="P977" t="n">
        <v>0</v>
      </c>
      <c r="Q977" t="n">
        <v>0</v>
      </c>
      <c r="R977" s="2" t="inlineStr"/>
    </row>
    <row r="978" ht="15" customHeight="1">
      <c r="A978" t="inlineStr">
        <is>
          <t>A 38145-2019</t>
        </is>
      </c>
      <c r="B978" s="1" t="n">
        <v>43684</v>
      </c>
      <c r="C978" s="1" t="n">
        <v>45186</v>
      </c>
      <c r="D978" t="inlineStr">
        <is>
          <t>STOCKHOLMS LÄN</t>
        </is>
      </c>
      <c r="E978" t="inlineStr">
        <is>
          <t>NORRTÄLJE</t>
        </is>
      </c>
      <c r="G978" t="n">
        <v>9.9</v>
      </c>
      <c r="H978" t="n">
        <v>0</v>
      </c>
      <c r="I978" t="n">
        <v>0</v>
      </c>
      <c r="J978" t="n">
        <v>0</v>
      </c>
      <c r="K978" t="n">
        <v>0</v>
      </c>
      <c r="L978" t="n">
        <v>0</v>
      </c>
      <c r="M978" t="n">
        <v>0</v>
      </c>
      <c r="N978" t="n">
        <v>0</v>
      </c>
      <c r="O978" t="n">
        <v>0</v>
      </c>
      <c r="P978" t="n">
        <v>0</v>
      </c>
      <c r="Q978" t="n">
        <v>0</v>
      </c>
      <c r="R978" s="2" t="inlineStr"/>
    </row>
    <row r="979" ht="15" customHeight="1">
      <c r="A979" t="inlineStr">
        <is>
          <t>A 38506-2019</t>
        </is>
      </c>
      <c r="B979" s="1" t="n">
        <v>43685</v>
      </c>
      <c r="C979" s="1" t="n">
        <v>45186</v>
      </c>
      <c r="D979" t="inlineStr">
        <is>
          <t>STOCKHOLMS LÄN</t>
        </is>
      </c>
      <c r="E979" t="inlineStr">
        <is>
          <t>NORRTÄLJE</t>
        </is>
      </c>
      <c r="G979" t="n">
        <v>0.8</v>
      </c>
      <c r="H979" t="n">
        <v>0</v>
      </c>
      <c r="I979" t="n">
        <v>0</v>
      </c>
      <c r="J979" t="n">
        <v>0</v>
      </c>
      <c r="K979" t="n">
        <v>0</v>
      </c>
      <c r="L979" t="n">
        <v>0</v>
      </c>
      <c r="M979" t="n">
        <v>0</v>
      </c>
      <c r="N979" t="n">
        <v>0</v>
      </c>
      <c r="O979" t="n">
        <v>0</v>
      </c>
      <c r="P979" t="n">
        <v>0</v>
      </c>
      <c r="Q979" t="n">
        <v>0</v>
      </c>
      <c r="R979" s="2" t="inlineStr"/>
    </row>
    <row r="980" ht="15" customHeight="1">
      <c r="A980" t="inlineStr">
        <is>
          <t>A 38605-2019</t>
        </is>
      </c>
      <c r="B980" s="1" t="n">
        <v>43686</v>
      </c>
      <c r="C980" s="1" t="n">
        <v>45186</v>
      </c>
      <c r="D980" t="inlineStr">
        <is>
          <t>STOCKHOLMS LÄN</t>
        </is>
      </c>
      <c r="E980" t="inlineStr">
        <is>
          <t>NORRTÄLJE</t>
        </is>
      </c>
      <c r="G980" t="n">
        <v>1.3</v>
      </c>
      <c r="H980" t="n">
        <v>0</v>
      </c>
      <c r="I980" t="n">
        <v>0</v>
      </c>
      <c r="J980" t="n">
        <v>0</v>
      </c>
      <c r="K980" t="n">
        <v>0</v>
      </c>
      <c r="L980" t="n">
        <v>0</v>
      </c>
      <c r="M980" t="n">
        <v>0</v>
      </c>
      <c r="N980" t="n">
        <v>0</v>
      </c>
      <c r="O980" t="n">
        <v>0</v>
      </c>
      <c r="P980" t="n">
        <v>0</v>
      </c>
      <c r="Q980" t="n">
        <v>0</v>
      </c>
      <c r="R980" s="2" t="inlineStr"/>
    </row>
    <row r="981" ht="15" customHeight="1">
      <c r="A981" t="inlineStr">
        <is>
          <t>A 38737-2019</t>
        </is>
      </c>
      <c r="B981" s="1" t="n">
        <v>43686</v>
      </c>
      <c r="C981" s="1" t="n">
        <v>45186</v>
      </c>
      <c r="D981" t="inlineStr">
        <is>
          <t>STOCKHOLMS LÄN</t>
        </is>
      </c>
      <c r="E981" t="inlineStr">
        <is>
          <t>NORRTÄLJE</t>
        </is>
      </c>
      <c r="G981" t="n">
        <v>4.7</v>
      </c>
      <c r="H981" t="n">
        <v>0</v>
      </c>
      <c r="I981" t="n">
        <v>0</v>
      </c>
      <c r="J981" t="n">
        <v>0</v>
      </c>
      <c r="K981" t="n">
        <v>0</v>
      </c>
      <c r="L981" t="n">
        <v>0</v>
      </c>
      <c r="M981" t="n">
        <v>0</v>
      </c>
      <c r="N981" t="n">
        <v>0</v>
      </c>
      <c r="O981" t="n">
        <v>0</v>
      </c>
      <c r="P981" t="n">
        <v>0</v>
      </c>
      <c r="Q981" t="n">
        <v>0</v>
      </c>
      <c r="R981" s="2" t="inlineStr"/>
    </row>
    <row r="982" ht="15" customHeight="1">
      <c r="A982" t="inlineStr">
        <is>
          <t>A 39083-2019</t>
        </is>
      </c>
      <c r="B982" s="1" t="n">
        <v>43689</v>
      </c>
      <c r="C982" s="1" t="n">
        <v>45186</v>
      </c>
      <c r="D982" t="inlineStr">
        <is>
          <t>STOCKHOLMS LÄN</t>
        </is>
      </c>
      <c r="E982" t="inlineStr">
        <is>
          <t>SÖDERTÄLJE</t>
        </is>
      </c>
      <c r="G982" t="n">
        <v>6.2</v>
      </c>
      <c r="H982" t="n">
        <v>0</v>
      </c>
      <c r="I982" t="n">
        <v>0</v>
      </c>
      <c r="J982" t="n">
        <v>0</v>
      </c>
      <c r="K982" t="n">
        <v>0</v>
      </c>
      <c r="L982" t="n">
        <v>0</v>
      </c>
      <c r="M982" t="n">
        <v>0</v>
      </c>
      <c r="N982" t="n">
        <v>0</v>
      </c>
      <c r="O982" t="n">
        <v>0</v>
      </c>
      <c r="P982" t="n">
        <v>0</v>
      </c>
      <c r="Q982" t="n">
        <v>0</v>
      </c>
      <c r="R982" s="2" t="inlineStr"/>
    </row>
    <row r="983" ht="15" customHeight="1">
      <c r="A983" t="inlineStr">
        <is>
          <t>A 39090-2019</t>
        </is>
      </c>
      <c r="B983" s="1" t="n">
        <v>43689</v>
      </c>
      <c r="C983" s="1" t="n">
        <v>45186</v>
      </c>
      <c r="D983" t="inlineStr">
        <is>
          <t>STOCKHOLMS LÄN</t>
        </is>
      </c>
      <c r="E983" t="inlineStr">
        <is>
          <t>SÖDERTÄLJE</t>
        </is>
      </c>
      <c r="G983" t="n">
        <v>1.4</v>
      </c>
      <c r="H983" t="n">
        <v>0</v>
      </c>
      <c r="I983" t="n">
        <v>0</v>
      </c>
      <c r="J983" t="n">
        <v>0</v>
      </c>
      <c r="K983" t="n">
        <v>0</v>
      </c>
      <c r="L983" t="n">
        <v>0</v>
      </c>
      <c r="M983" t="n">
        <v>0</v>
      </c>
      <c r="N983" t="n">
        <v>0</v>
      </c>
      <c r="O983" t="n">
        <v>0</v>
      </c>
      <c r="P983" t="n">
        <v>0</v>
      </c>
      <c r="Q983" t="n">
        <v>0</v>
      </c>
      <c r="R983" s="2" t="inlineStr"/>
    </row>
    <row r="984" ht="15" customHeight="1">
      <c r="A984" t="inlineStr">
        <is>
          <t>A 39472-2019</t>
        </is>
      </c>
      <c r="B984" s="1" t="n">
        <v>43691</v>
      </c>
      <c r="C984" s="1" t="n">
        <v>45186</v>
      </c>
      <c r="D984" t="inlineStr">
        <is>
          <t>STOCKHOLMS LÄN</t>
        </is>
      </c>
      <c r="E984" t="inlineStr">
        <is>
          <t>UPPLANDS-BRO</t>
        </is>
      </c>
      <c r="G984" t="n">
        <v>0.9</v>
      </c>
      <c r="H984" t="n">
        <v>0</v>
      </c>
      <c r="I984" t="n">
        <v>0</v>
      </c>
      <c r="J984" t="n">
        <v>0</v>
      </c>
      <c r="K984" t="n">
        <v>0</v>
      </c>
      <c r="L984" t="n">
        <v>0</v>
      </c>
      <c r="M984" t="n">
        <v>0</v>
      </c>
      <c r="N984" t="n">
        <v>0</v>
      </c>
      <c r="O984" t="n">
        <v>0</v>
      </c>
      <c r="P984" t="n">
        <v>0</v>
      </c>
      <c r="Q984" t="n">
        <v>0</v>
      </c>
      <c r="R984" s="2" t="inlineStr"/>
    </row>
    <row r="985" ht="15" customHeight="1">
      <c r="A985" t="inlineStr">
        <is>
          <t>A 39663-2019</t>
        </is>
      </c>
      <c r="B985" s="1" t="n">
        <v>43691</v>
      </c>
      <c r="C985" s="1" t="n">
        <v>45186</v>
      </c>
      <c r="D985" t="inlineStr">
        <is>
          <t>STOCKHOLMS LÄN</t>
        </is>
      </c>
      <c r="E985" t="inlineStr">
        <is>
          <t>NYNÄSHAMN</t>
        </is>
      </c>
      <c r="F985" t="inlineStr">
        <is>
          <t>Övriga statliga verk och myndigheter</t>
        </is>
      </c>
      <c r="G985" t="n">
        <v>1.4</v>
      </c>
      <c r="H985" t="n">
        <v>0</v>
      </c>
      <c r="I985" t="n">
        <v>0</v>
      </c>
      <c r="J985" t="n">
        <v>0</v>
      </c>
      <c r="K985" t="n">
        <v>0</v>
      </c>
      <c r="L985" t="n">
        <v>0</v>
      </c>
      <c r="M985" t="n">
        <v>0</v>
      </c>
      <c r="N985" t="n">
        <v>0</v>
      </c>
      <c r="O985" t="n">
        <v>0</v>
      </c>
      <c r="P985" t="n">
        <v>0</v>
      </c>
      <c r="Q985" t="n">
        <v>0</v>
      </c>
      <c r="R985" s="2" t="inlineStr"/>
    </row>
    <row r="986" ht="15" customHeight="1">
      <c r="A986" t="inlineStr">
        <is>
          <t>A 40571-2019</t>
        </is>
      </c>
      <c r="B986" s="1" t="n">
        <v>43696</v>
      </c>
      <c r="C986" s="1" t="n">
        <v>45186</v>
      </c>
      <c r="D986" t="inlineStr">
        <is>
          <t>STOCKHOLMS LÄN</t>
        </is>
      </c>
      <c r="E986" t="inlineStr">
        <is>
          <t>NORRTÄLJE</t>
        </is>
      </c>
      <c r="G986" t="n">
        <v>2.8</v>
      </c>
      <c r="H986" t="n">
        <v>0</v>
      </c>
      <c r="I986" t="n">
        <v>0</v>
      </c>
      <c r="J986" t="n">
        <v>0</v>
      </c>
      <c r="K986" t="n">
        <v>0</v>
      </c>
      <c r="L986" t="n">
        <v>0</v>
      </c>
      <c r="M986" t="n">
        <v>0</v>
      </c>
      <c r="N986" t="n">
        <v>0</v>
      </c>
      <c r="O986" t="n">
        <v>0</v>
      </c>
      <c r="P986" t="n">
        <v>0</v>
      </c>
      <c r="Q986" t="n">
        <v>0</v>
      </c>
      <c r="R986" s="2" t="inlineStr"/>
    </row>
    <row r="987" ht="15" customHeight="1">
      <c r="A987" t="inlineStr">
        <is>
          <t>A 40641-2019</t>
        </is>
      </c>
      <c r="B987" s="1" t="n">
        <v>43696</v>
      </c>
      <c r="C987" s="1" t="n">
        <v>45186</v>
      </c>
      <c r="D987" t="inlineStr">
        <is>
          <t>STOCKHOLMS LÄN</t>
        </is>
      </c>
      <c r="E987" t="inlineStr">
        <is>
          <t>BOTKYRKA</t>
        </is>
      </c>
      <c r="G987" t="n">
        <v>5.3</v>
      </c>
      <c r="H987" t="n">
        <v>0</v>
      </c>
      <c r="I987" t="n">
        <v>0</v>
      </c>
      <c r="J987" t="n">
        <v>0</v>
      </c>
      <c r="K987" t="n">
        <v>0</v>
      </c>
      <c r="L987" t="n">
        <v>0</v>
      </c>
      <c r="M987" t="n">
        <v>0</v>
      </c>
      <c r="N987" t="n">
        <v>0</v>
      </c>
      <c r="O987" t="n">
        <v>0</v>
      </c>
      <c r="P987" t="n">
        <v>0</v>
      </c>
      <c r="Q987" t="n">
        <v>0</v>
      </c>
      <c r="R987" s="2" t="inlineStr"/>
    </row>
    <row r="988" ht="15" customHeight="1">
      <c r="A988" t="inlineStr">
        <is>
          <t>A 40642-2019</t>
        </is>
      </c>
      <c r="B988" s="1" t="n">
        <v>43696</v>
      </c>
      <c r="C988" s="1" t="n">
        <v>45186</v>
      </c>
      <c r="D988" t="inlineStr">
        <is>
          <t>STOCKHOLMS LÄN</t>
        </is>
      </c>
      <c r="E988" t="inlineStr">
        <is>
          <t>BOTKYRKA</t>
        </is>
      </c>
      <c r="G988" t="n">
        <v>4.1</v>
      </c>
      <c r="H988" t="n">
        <v>0</v>
      </c>
      <c r="I988" t="n">
        <v>0</v>
      </c>
      <c r="J988" t="n">
        <v>0</v>
      </c>
      <c r="K988" t="n">
        <v>0</v>
      </c>
      <c r="L988" t="n">
        <v>0</v>
      </c>
      <c r="M988" t="n">
        <v>0</v>
      </c>
      <c r="N988" t="n">
        <v>0</v>
      </c>
      <c r="O988" t="n">
        <v>0</v>
      </c>
      <c r="P988" t="n">
        <v>0</v>
      </c>
      <c r="Q988" t="n">
        <v>0</v>
      </c>
      <c r="R988" s="2" t="inlineStr"/>
    </row>
    <row r="989" ht="15" customHeight="1">
      <c r="A989" t="inlineStr">
        <is>
          <t>A 41065-2019</t>
        </is>
      </c>
      <c r="B989" s="1" t="n">
        <v>43697</v>
      </c>
      <c r="C989" s="1" t="n">
        <v>45186</v>
      </c>
      <c r="D989" t="inlineStr">
        <is>
          <t>STOCKHOLMS LÄN</t>
        </is>
      </c>
      <c r="E989" t="inlineStr">
        <is>
          <t>SÖDERTÄLJE</t>
        </is>
      </c>
      <c r="F989" t="inlineStr">
        <is>
          <t>Övriga statliga verk och myndigheter</t>
        </is>
      </c>
      <c r="G989" t="n">
        <v>1</v>
      </c>
      <c r="H989" t="n">
        <v>0</v>
      </c>
      <c r="I989" t="n">
        <v>0</v>
      </c>
      <c r="J989" t="n">
        <v>0</v>
      </c>
      <c r="K989" t="n">
        <v>0</v>
      </c>
      <c r="L989" t="n">
        <v>0</v>
      </c>
      <c r="M989" t="n">
        <v>0</v>
      </c>
      <c r="N989" t="n">
        <v>0</v>
      </c>
      <c r="O989" t="n">
        <v>0</v>
      </c>
      <c r="P989" t="n">
        <v>0</v>
      </c>
      <c r="Q989" t="n">
        <v>0</v>
      </c>
      <c r="R989" s="2" t="inlineStr"/>
    </row>
    <row r="990" ht="15" customHeight="1">
      <c r="A990" t="inlineStr">
        <is>
          <t>A 42497-2019</t>
        </is>
      </c>
      <c r="B990" s="1" t="n">
        <v>43699</v>
      </c>
      <c r="C990" s="1" t="n">
        <v>45186</v>
      </c>
      <c r="D990" t="inlineStr">
        <is>
          <t>STOCKHOLMS LÄN</t>
        </is>
      </c>
      <c r="E990" t="inlineStr">
        <is>
          <t>SIGTUNA</t>
        </is>
      </c>
      <c r="G990" t="n">
        <v>3.6</v>
      </c>
      <c r="H990" t="n">
        <v>0</v>
      </c>
      <c r="I990" t="n">
        <v>0</v>
      </c>
      <c r="J990" t="n">
        <v>0</v>
      </c>
      <c r="K990" t="n">
        <v>0</v>
      </c>
      <c r="L990" t="n">
        <v>0</v>
      </c>
      <c r="M990" t="n">
        <v>0</v>
      </c>
      <c r="N990" t="n">
        <v>0</v>
      </c>
      <c r="O990" t="n">
        <v>0</v>
      </c>
      <c r="P990" t="n">
        <v>0</v>
      </c>
      <c r="Q990" t="n">
        <v>0</v>
      </c>
      <c r="R990" s="2" t="inlineStr"/>
    </row>
    <row r="991" ht="15" customHeight="1">
      <c r="A991" t="inlineStr">
        <is>
          <t>A 42330-2019</t>
        </is>
      </c>
      <c r="B991" s="1" t="n">
        <v>43703</v>
      </c>
      <c r="C991" s="1" t="n">
        <v>45186</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43379-2019</t>
        </is>
      </c>
      <c r="B992" s="1" t="n">
        <v>43703</v>
      </c>
      <c r="C992" s="1" t="n">
        <v>45186</v>
      </c>
      <c r="D992" t="inlineStr">
        <is>
          <t>STOCKHOLMS LÄN</t>
        </is>
      </c>
      <c r="E992" t="inlineStr">
        <is>
          <t>NORRTÄLJE</t>
        </is>
      </c>
      <c r="G992" t="n">
        <v>1.1</v>
      </c>
      <c r="H992" t="n">
        <v>0</v>
      </c>
      <c r="I992" t="n">
        <v>0</v>
      </c>
      <c r="J992" t="n">
        <v>0</v>
      </c>
      <c r="K992" t="n">
        <v>0</v>
      </c>
      <c r="L992" t="n">
        <v>0</v>
      </c>
      <c r="M992" t="n">
        <v>0</v>
      </c>
      <c r="N992" t="n">
        <v>0</v>
      </c>
      <c r="O992" t="n">
        <v>0</v>
      </c>
      <c r="P992" t="n">
        <v>0</v>
      </c>
      <c r="Q992" t="n">
        <v>0</v>
      </c>
      <c r="R992" s="2" t="inlineStr"/>
    </row>
    <row r="993" ht="15" customHeight="1">
      <c r="A993" t="inlineStr">
        <is>
          <t>A 42448-2019</t>
        </is>
      </c>
      <c r="B993" s="1" t="n">
        <v>43704</v>
      </c>
      <c r="C993" s="1" t="n">
        <v>45186</v>
      </c>
      <c r="D993" t="inlineStr">
        <is>
          <t>STOCKHOLMS LÄN</t>
        </is>
      </c>
      <c r="E993" t="inlineStr">
        <is>
          <t>BOTKYRKA</t>
        </is>
      </c>
      <c r="G993" t="n">
        <v>3.4</v>
      </c>
      <c r="H993" t="n">
        <v>0</v>
      </c>
      <c r="I993" t="n">
        <v>0</v>
      </c>
      <c r="J993" t="n">
        <v>0</v>
      </c>
      <c r="K993" t="n">
        <v>0</v>
      </c>
      <c r="L993" t="n">
        <v>0</v>
      </c>
      <c r="M993" t="n">
        <v>0</v>
      </c>
      <c r="N993" t="n">
        <v>0</v>
      </c>
      <c r="O993" t="n">
        <v>0</v>
      </c>
      <c r="P993" t="n">
        <v>0</v>
      </c>
      <c r="Q993" t="n">
        <v>0</v>
      </c>
      <c r="R993" s="2" t="inlineStr"/>
    </row>
    <row r="994" ht="15" customHeight="1">
      <c r="A994" t="inlineStr">
        <is>
          <t>A 42669-2019</t>
        </is>
      </c>
      <c r="B994" s="1" t="n">
        <v>43704</v>
      </c>
      <c r="C994" s="1" t="n">
        <v>45186</v>
      </c>
      <c r="D994" t="inlineStr">
        <is>
          <t>STOCKHOLMS LÄN</t>
        </is>
      </c>
      <c r="E994" t="inlineStr">
        <is>
          <t>SÖDERTÄLJE</t>
        </is>
      </c>
      <c r="G994" t="n">
        <v>1.9</v>
      </c>
      <c r="H994" t="n">
        <v>0</v>
      </c>
      <c r="I994" t="n">
        <v>0</v>
      </c>
      <c r="J994" t="n">
        <v>0</v>
      </c>
      <c r="K994" t="n">
        <v>0</v>
      </c>
      <c r="L994" t="n">
        <v>0</v>
      </c>
      <c r="M994" t="n">
        <v>0</v>
      </c>
      <c r="N994" t="n">
        <v>0</v>
      </c>
      <c r="O994" t="n">
        <v>0</v>
      </c>
      <c r="P994" t="n">
        <v>0</v>
      </c>
      <c r="Q994" t="n">
        <v>0</v>
      </c>
      <c r="R994" s="2" t="inlineStr"/>
    </row>
    <row r="995" ht="15" customHeight="1">
      <c r="A995" t="inlineStr">
        <is>
          <t>A 43573-2019</t>
        </is>
      </c>
      <c r="B995" s="1" t="n">
        <v>43706</v>
      </c>
      <c r="C995" s="1" t="n">
        <v>45186</v>
      </c>
      <c r="D995" t="inlineStr">
        <is>
          <t>STOCKHOLMS LÄN</t>
        </is>
      </c>
      <c r="E995" t="inlineStr">
        <is>
          <t>VALLENTUNA</t>
        </is>
      </c>
      <c r="G995" t="n">
        <v>0.8</v>
      </c>
      <c r="H995" t="n">
        <v>0</v>
      </c>
      <c r="I995" t="n">
        <v>0</v>
      </c>
      <c r="J995" t="n">
        <v>0</v>
      </c>
      <c r="K995" t="n">
        <v>0</v>
      </c>
      <c r="L995" t="n">
        <v>0</v>
      </c>
      <c r="M995" t="n">
        <v>0</v>
      </c>
      <c r="N995" t="n">
        <v>0</v>
      </c>
      <c r="O995" t="n">
        <v>0</v>
      </c>
      <c r="P995" t="n">
        <v>0</v>
      </c>
      <c r="Q995" t="n">
        <v>0</v>
      </c>
      <c r="R995" s="2" t="inlineStr"/>
    </row>
    <row r="996" ht="15" customHeight="1">
      <c r="A996" t="inlineStr">
        <is>
          <t>A 43296-2019</t>
        </is>
      </c>
      <c r="B996" s="1" t="n">
        <v>43706</v>
      </c>
      <c r="C996" s="1" t="n">
        <v>45186</v>
      </c>
      <c r="D996" t="inlineStr">
        <is>
          <t>STOCKHOLMS LÄN</t>
        </is>
      </c>
      <c r="E996" t="inlineStr">
        <is>
          <t>NORRTÄLJE</t>
        </is>
      </c>
      <c r="F996" t="inlineStr">
        <is>
          <t>Kommuner</t>
        </is>
      </c>
      <c r="G996" t="n">
        <v>1.7</v>
      </c>
      <c r="H996" t="n">
        <v>0</v>
      </c>
      <c r="I996" t="n">
        <v>0</v>
      </c>
      <c r="J996" t="n">
        <v>0</v>
      </c>
      <c r="K996" t="n">
        <v>0</v>
      </c>
      <c r="L996" t="n">
        <v>0</v>
      </c>
      <c r="M996" t="n">
        <v>0</v>
      </c>
      <c r="N996" t="n">
        <v>0</v>
      </c>
      <c r="O996" t="n">
        <v>0</v>
      </c>
      <c r="P996" t="n">
        <v>0</v>
      </c>
      <c r="Q996" t="n">
        <v>0</v>
      </c>
      <c r="R996" s="2" t="inlineStr"/>
    </row>
    <row r="997" ht="15" customHeight="1">
      <c r="A997" t="inlineStr">
        <is>
          <t>A 43574-2019</t>
        </is>
      </c>
      <c r="B997" s="1" t="n">
        <v>43706</v>
      </c>
      <c r="C997" s="1" t="n">
        <v>45186</v>
      </c>
      <c r="D997" t="inlineStr">
        <is>
          <t>STOCKHOLMS LÄN</t>
        </is>
      </c>
      <c r="E997" t="inlineStr">
        <is>
          <t>VALLENTUNA</t>
        </is>
      </c>
      <c r="G997" t="n">
        <v>1</v>
      </c>
      <c r="H997" t="n">
        <v>0</v>
      </c>
      <c r="I997" t="n">
        <v>0</v>
      </c>
      <c r="J997" t="n">
        <v>0</v>
      </c>
      <c r="K997" t="n">
        <v>0</v>
      </c>
      <c r="L997" t="n">
        <v>0</v>
      </c>
      <c r="M997" t="n">
        <v>0</v>
      </c>
      <c r="N997" t="n">
        <v>0</v>
      </c>
      <c r="O997" t="n">
        <v>0</v>
      </c>
      <c r="P997" t="n">
        <v>0</v>
      </c>
      <c r="Q997" t="n">
        <v>0</v>
      </c>
      <c r="R997" s="2" t="inlineStr"/>
    </row>
    <row r="998" ht="15" customHeight="1">
      <c r="A998" t="inlineStr">
        <is>
          <t>A 43809-2019</t>
        </is>
      </c>
      <c r="B998" s="1" t="n">
        <v>43707</v>
      </c>
      <c r="C998" s="1" t="n">
        <v>45186</v>
      </c>
      <c r="D998" t="inlineStr">
        <is>
          <t>STOCKHOLMS LÄN</t>
        </is>
      </c>
      <c r="E998" t="inlineStr">
        <is>
          <t>VALLENTUNA</t>
        </is>
      </c>
      <c r="G998" t="n">
        <v>3.6</v>
      </c>
      <c r="H998" t="n">
        <v>0</v>
      </c>
      <c r="I998" t="n">
        <v>0</v>
      </c>
      <c r="J998" t="n">
        <v>0</v>
      </c>
      <c r="K998" t="n">
        <v>0</v>
      </c>
      <c r="L998" t="n">
        <v>0</v>
      </c>
      <c r="M998" t="n">
        <v>0</v>
      </c>
      <c r="N998" t="n">
        <v>0</v>
      </c>
      <c r="O998" t="n">
        <v>0</v>
      </c>
      <c r="P998" t="n">
        <v>0</v>
      </c>
      <c r="Q998" t="n">
        <v>0</v>
      </c>
      <c r="R998" s="2" t="inlineStr"/>
    </row>
    <row r="999" ht="15" customHeight="1">
      <c r="A999" t="inlineStr">
        <is>
          <t>A 44453-2019</t>
        </is>
      </c>
      <c r="B999" s="1" t="n">
        <v>43711</v>
      </c>
      <c r="C999" s="1" t="n">
        <v>45186</v>
      </c>
      <c r="D999" t="inlineStr">
        <is>
          <t>STOCKHOLMS LÄN</t>
        </is>
      </c>
      <c r="E999" t="inlineStr">
        <is>
          <t>NYNÄSHAMN</t>
        </is>
      </c>
      <c r="G999" t="n">
        <v>8.9</v>
      </c>
      <c r="H999" t="n">
        <v>0</v>
      </c>
      <c r="I999" t="n">
        <v>0</v>
      </c>
      <c r="J999" t="n">
        <v>0</v>
      </c>
      <c r="K999" t="n">
        <v>0</v>
      </c>
      <c r="L999" t="n">
        <v>0</v>
      </c>
      <c r="M999" t="n">
        <v>0</v>
      </c>
      <c r="N999" t="n">
        <v>0</v>
      </c>
      <c r="O999" t="n">
        <v>0</v>
      </c>
      <c r="P999" t="n">
        <v>0</v>
      </c>
      <c r="Q999" t="n">
        <v>0</v>
      </c>
      <c r="R999" s="2" t="inlineStr"/>
    </row>
    <row r="1000" ht="15" customHeight="1">
      <c r="A1000" t="inlineStr">
        <is>
          <t>A 44643-2019</t>
        </is>
      </c>
      <c r="B1000" s="1" t="n">
        <v>43712</v>
      </c>
      <c r="C1000" s="1" t="n">
        <v>45186</v>
      </c>
      <c r="D1000" t="inlineStr">
        <is>
          <t>STOCKHOLMS LÄN</t>
        </is>
      </c>
      <c r="E1000" t="inlineStr">
        <is>
          <t>NORRTÄLJE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44921-2019</t>
        </is>
      </c>
      <c r="B1001" s="1" t="n">
        <v>43712</v>
      </c>
      <c r="C1001" s="1" t="n">
        <v>45186</v>
      </c>
      <c r="D1001" t="inlineStr">
        <is>
          <t>STOCKHOLMS LÄN</t>
        </is>
      </c>
      <c r="E1001" t="inlineStr">
        <is>
          <t>SÖDERTÄLJE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45306-2019</t>
        </is>
      </c>
      <c r="B1002" s="1" t="n">
        <v>43713</v>
      </c>
      <c r="C1002" s="1" t="n">
        <v>45186</v>
      </c>
      <c r="D1002" t="inlineStr">
        <is>
          <t>STOCKHOLMS LÄN</t>
        </is>
      </c>
      <c r="E1002" t="inlineStr">
        <is>
          <t>SÖDERTÄLJE</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45463-2019</t>
        </is>
      </c>
      <c r="B1003" s="1" t="n">
        <v>43714</v>
      </c>
      <c r="C1003" s="1" t="n">
        <v>45186</v>
      </c>
      <c r="D1003" t="inlineStr">
        <is>
          <t>STOCKHOLMS LÄN</t>
        </is>
      </c>
      <c r="E1003" t="inlineStr">
        <is>
          <t>NORRTÄLJE</t>
        </is>
      </c>
      <c r="F1003" t="inlineStr">
        <is>
          <t>Övriga statliga verk och myndigheter</t>
        </is>
      </c>
      <c r="G1003" t="n">
        <v>9.800000000000001</v>
      </c>
      <c r="H1003" t="n">
        <v>0</v>
      </c>
      <c r="I1003" t="n">
        <v>0</v>
      </c>
      <c r="J1003" t="n">
        <v>0</v>
      </c>
      <c r="K1003" t="n">
        <v>0</v>
      </c>
      <c r="L1003" t="n">
        <v>0</v>
      </c>
      <c r="M1003" t="n">
        <v>0</v>
      </c>
      <c r="N1003" t="n">
        <v>0</v>
      </c>
      <c r="O1003" t="n">
        <v>0</v>
      </c>
      <c r="P1003" t="n">
        <v>0</v>
      </c>
      <c r="Q1003" t="n">
        <v>0</v>
      </c>
      <c r="R1003" s="2" t="inlineStr"/>
    </row>
    <row r="1004" ht="15" customHeight="1">
      <c r="A1004" t="inlineStr">
        <is>
          <t>A 45477-2019</t>
        </is>
      </c>
      <c r="B1004" s="1" t="n">
        <v>43714</v>
      </c>
      <c r="C1004" s="1" t="n">
        <v>45186</v>
      </c>
      <c r="D1004" t="inlineStr">
        <is>
          <t>STOCKHOLMS LÄN</t>
        </is>
      </c>
      <c r="E1004" t="inlineStr">
        <is>
          <t>NORRTÄLJE</t>
        </is>
      </c>
      <c r="F1004" t="inlineStr">
        <is>
          <t>Övriga statliga verk och myndigheter</t>
        </is>
      </c>
      <c r="G1004" t="n">
        <v>8.9</v>
      </c>
      <c r="H1004" t="n">
        <v>0</v>
      </c>
      <c r="I1004" t="n">
        <v>0</v>
      </c>
      <c r="J1004" t="n">
        <v>0</v>
      </c>
      <c r="K1004" t="n">
        <v>0</v>
      </c>
      <c r="L1004" t="n">
        <v>0</v>
      </c>
      <c r="M1004" t="n">
        <v>0</v>
      </c>
      <c r="N1004" t="n">
        <v>0</v>
      </c>
      <c r="O1004" t="n">
        <v>0</v>
      </c>
      <c r="P1004" t="n">
        <v>0</v>
      </c>
      <c r="Q1004" t="n">
        <v>0</v>
      </c>
      <c r="R1004" s="2" t="inlineStr"/>
    </row>
    <row r="1005" ht="15" customHeight="1">
      <c r="A1005" t="inlineStr">
        <is>
          <t>A 46327-2019</t>
        </is>
      </c>
      <c r="B1005" s="1" t="n">
        <v>43718</v>
      </c>
      <c r="C1005" s="1" t="n">
        <v>45186</v>
      </c>
      <c r="D1005" t="inlineStr">
        <is>
          <t>STOCKHOLMS LÄN</t>
        </is>
      </c>
      <c r="E1005" t="inlineStr">
        <is>
          <t>NORRTÄLJE</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47242-2019</t>
        </is>
      </c>
      <c r="B1006" s="1" t="n">
        <v>43721</v>
      </c>
      <c r="C1006" s="1" t="n">
        <v>45186</v>
      </c>
      <c r="D1006" t="inlineStr">
        <is>
          <t>STOCKHOLMS LÄN</t>
        </is>
      </c>
      <c r="E1006" t="inlineStr">
        <is>
          <t>ÖSTERÅKER</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47583-2019</t>
        </is>
      </c>
      <c r="B1007" s="1" t="n">
        <v>43724</v>
      </c>
      <c r="C1007" s="1" t="n">
        <v>45186</v>
      </c>
      <c r="D1007" t="inlineStr">
        <is>
          <t>STOCKHOLMS LÄN</t>
        </is>
      </c>
      <c r="E1007" t="inlineStr">
        <is>
          <t>NYKVARN</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47903-2019</t>
        </is>
      </c>
      <c r="B1008" s="1" t="n">
        <v>43725</v>
      </c>
      <c r="C1008" s="1" t="n">
        <v>45186</v>
      </c>
      <c r="D1008" t="inlineStr">
        <is>
          <t>STOCKHOLMS LÄN</t>
        </is>
      </c>
      <c r="E1008" t="inlineStr">
        <is>
          <t>NORRTÄLJE</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47876-2019</t>
        </is>
      </c>
      <c r="B1009" s="1" t="n">
        <v>43725</v>
      </c>
      <c r="C1009" s="1" t="n">
        <v>45186</v>
      </c>
      <c r="D1009" t="inlineStr">
        <is>
          <t>STOCKHOLMS LÄN</t>
        </is>
      </c>
      <c r="E1009" t="inlineStr">
        <is>
          <t>NORRTÄLJE</t>
        </is>
      </c>
      <c r="G1009" t="n">
        <v>11.4</v>
      </c>
      <c r="H1009" t="n">
        <v>0</v>
      </c>
      <c r="I1009" t="n">
        <v>0</v>
      </c>
      <c r="J1009" t="n">
        <v>0</v>
      </c>
      <c r="K1009" t="n">
        <v>0</v>
      </c>
      <c r="L1009" t="n">
        <v>0</v>
      </c>
      <c r="M1009" t="n">
        <v>0</v>
      </c>
      <c r="N1009" t="n">
        <v>0</v>
      </c>
      <c r="O1009" t="n">
        <v>0</v>
      </c>
      <c r="P1009" t="n">
        <v>0</v>
      </c>
      <c r="Q1009" t="n">
        <v>0</v>
      </c>
      <c r="R1009" s="2" t="inlineStr"/>
    </row>
    <row r="1010" ht="15" customHeight="1">
      <c r="A1010" t="inlineStr">
        <is>
          <t>A 47941-2019</t>
        </is>
      </c>
      <c r="B1010" s="1" t="n">
        <v>43725</v>
      </c>
      <c r="C1010" s="1" t="n">
        <v>45186</v>
      </c>
      <c r="D1010" t="inlineStr">
        <is>
          <t>STOCKHOLMS LÄN</t>
        </is>
      </c>
      <c r="E1010" t="inlineStr">
        <is>
          <t>NORRTÄLJE</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48609-2019</t>
        </is>
      </c>
      <c r="B1011" s="1" t="n">
        <v>43727</v>
      </c>
      <c r="C1011" s="1" t="n">
        <v>45186</v>
      </c>
      <c r="D1011" t="inlineStr">
        <is>
          <t>STOCKHOLMS LÄN</t>
        </is>
      </c>
      <c r="E1011" t="inlineStr">
        <is>
          <t>HANINGE</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48932-2019</t>
        </is>
      </c>
      <c r="B1012" s="1" t="n">
        <v>43728</v>
      </c>
      <c r="C1012" s="1" t="n">
        <v>45186</v>
      </c>
      <c r="D1012" t="inlineStr">
        <is>
          <t>STOCKHOLMS LÄN</t>
        </is>
      </c>
      <c r="E1012" t="inlineStr">
        <is>
          <t>ÖSTERÅKER</t>
        </is>
      </c>
      <c r="G1012" t="n">
        <v>5.9</v>
      </c>
      <c r="H1012" t="n">
        <v>0</v>
      </c>
      <c r="I1012" t="n">
        <v>0</v>
      </c>
      <c r="J1012" t="n">
        <v>0</v>
      </c>
      <c r="K1012" t="n">
        <v>0</v>
      </c>
      <c r="L1012" t="n">
        <v>0</v>
      </c>
      <c r="M1012" t="n">
        <v>0</v>
      </c>
      <c r="N1012" t="n">
        <v>0</v>
      </c>
      <c r="O1012" t="n">
        <v>0</v>
      </c>
      <c r="P1012" t="n">
        <v>0</v>
      </c>
      <c r="Q1012" t="n">
        <v>0</v>
      </c>
      <c r="R1012" s="2" t="inlineStr"/>
    </row>
    <row r="1013" ht="15" customHeight="1">
      <c r="A1013" t="inlineStr">
        <is>
          <t>A 48906-2019</t>
        </is>
      </c>
      <c r="B1013" s="1" t="n">
        <v>43728</v>
      </c>
      <c r="C1013" s="1" t="n">
        <v>45186</v>
      </c>
      <c r="D1013" t="inlineStr">
        <is>
          <t>STOCKHOLMS LÄN</t>
        </is>
      </c>
      <c r="E1013" t="inlineStr">
        <is>
          <t>ÖSTERÅKER</t>
        </is>
      </c>
      <c r="G1013" t="n">
        <v>6</v>
      </c>
      <c r="H1013" t="n">
        <v>0</v>
      </c>
      <c r="I1013" t="n">
        <v>0</v>
      </c>
      <c r="J1013" t="n">
        <v>0</v>
      </c>
      <c r="K1013" t="n">
        <v>0</v>
      </c>
      <c r="L1013" t="n">
        <v>0</v>
      </c>
      <c r="M1013" t="n">
        <v>0</v>
      </c>
      <c r="N1013" t="n">
        <v>0</v>
      </c>
      <c r="O1013" t="n">
        <v>0</v>
      </c>
      <c r="P1013" t="n">
        <v>0</v>
      </c>
      <c r="Q1013" t="n">
        <v>0</v>
      </c>
      <c r="R1013" s="2" t="inlineStr"/>
    </row>
    <row r="1014" ht="15" customHeight="1">
      <c r="A1014" t="inlineStr">
        <is>
          <t>A 48730-2019</t>
        </is>
      </c>
      <c r="B1014" s="1" t="n">
        <v>43728</v>
      </c>
      <c r="C1014" s="1" t="n">
        <v>45186</v>
      </c>
      <c r="D1014" t="inlineStr">
        <is>
          <t>STOCKHOLMS LÄN</t>
        </is>
      </c>
      <c r="E1014" t="inlineStr">
        <is>
          <t>NORRTÄLJE</t>
        </is>
      </c>
      <c r="F1014" t="inlineStr">
        <is>
          <t>Övriga statliga verk och myndigheter</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49096-2019</t>
        </is>
      </c>
      <c r="B1015" s="1" t="n">
        <v>43731</v>
      </c>
      <c r="C1015" s="1" t="n">
        <v>45186</v>
      </c>
      <c r="D1015" t="inlineStr">
        <is>
          <t>STOCKHOLMS LÄN</t>
        </is>
      </c>
      <c r="E1015" t="inlineStr">
        <is>
          <t>NYKVARN</t>
        </is>
      </c>
      <c r="F1015" t="inlineStr">
        <is>
          <t>Sveaskog</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49118-2019</t>
        </is>
      </c>
      <c r="B1016" s="1" t="n">
        <v>43731</v>
      </c>
      <c r="C1016" s="1" t="n">
        <v>45186</v>
      </c>
      <c r="D1016" t="inlineStr">
        <is>
          <t>STOCKHOLMS LÄN</t>
        </is>
      </c>
      <c r="E1016" t="inlineStr">
        <is>
          <t>NYKVARN</t>
        </is>
      </c>
      <c r="F1016" t="inlineStr">
        <is>
          <t>Sveaskog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49121-2019</t>
        </is>
      </c>
      <c r="B1017" s="1" t="n">
        <v>43731</v>
      </c>
      <c r="C1017" s="1" t="n">
        <v>45186</v>
      </c>
      <c r="D1017" t="inlineStr">
        <is>
          <t>STOCKHOLMS LÄN</t>
        </is>
      </c>
      <c r="E1017" t="inlineStr">
        <is>
          <t>NYKVARN</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49130-2019</t>
        </is>
      </c>
      <c r="B1018" s="1" t="n">
        <v>43731</v>
      </c>
      <c r="C1018" s="1" t="n">
        <v>45186</v>
      </c>
      <c r="D1018" t="inlineStr">
        <is>
          <t>STOCKHOLMS LÄN</t>
        </is>
      </c>
      <c r="E1018" t="inlineStr">
        <is>
          <t>SÖDERTÄLJE</t>
        </is>
      </c>
      <c r="F1018" t="inlineStr">
        <is>
          <t>Sveaskog</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49131-2019</t>
        </is>
      </c>
      <c r="B1019" s="1" t="n">
        <v>43731</v>
      </c>
      <c r="C1019" s="1" t="n">
        <v>45186</v>
      </c>
      <c r="D1019" t="inlineStr">
        <is>
          <t>STOCKHOLMS LÄN</t>
        </is>
      </c>
      <c r="E1019" t="inlineStr">
        <is>
          <t>SÖDERTÄLJE</t>
        </is>
      </c>
      <c r="F1019" t="inlineStr">
        <is>
          <t>Sveaskog</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49252-2019</t>
        </is>
      </c>
      <c r="B1020" s="1" t="n">
        <v>43731</v>
      </c>
      <c r="C1020" s="1" t="n">
        <v>45186</v>
      </c>
      <c r="D1020" t="inlineStr">
        <is>
          <t>STOCKHOLMS LÄN</t>
        </is>
      </c>
      <c r="E1020" t="inlineStr">
        <is>
          <t>NORRTÄLJE</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49268-2019</t>
        </is>
      </c>
      <c r="B1021" s="1" t="n">
        <v>43731</v>
      </c>
      <c r="C1021" s="1" t="n">
        <v>45186</v>
      </c>
      <c r="D1021" t="inlineStr">
        <is>
          <t>STOCKHOLMS LÄN</t>
        </is>
      </c>
      <c r="E1021" t="inlineStr">
        <is>
          <t>SIGTUNA</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49349-2019</t>
        </is>
      </c>
      <c r="B1022" s="1" t="n">
        <v>43731</v>
      </c>
      <c r="C1022" s="1" t="n">
        <v>45186</v>
      </c>
      <c r="D1022" t="inlineStr">
        <is>
          <t>STOCKHOLMS LÄN</t>
        </is>
      </c>
      <c r="E1022" t="inlineStr">
        <is>
          <t>HANINGE</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49840-2019</t>
        </is>
      </c>
      <c r="B1023" s="1" t="n">
        <v>43733</v>
      </c>
      <c r="C1023" s="1" t="n">
        <v>45186</v>
      </c>
      <c r="D1023" t="inlineStr">
        <is>
          <t>STOCKHOLMS LÄN</t>
        </is>
      </c>
      <c r="E1023" t="inlineStr">
        <is>
          <t>NYNÄSHAMN</t>
        </is>
      </c>
      <c r="F1023" t="inlineStr">
        <is>
          <t>Kommuner</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50435-2019</t>
        </is>
      </c>
      <c r="B1024" s="1" t="n">
        <v>43735</v>
      </c>
      <c r="C1024" s="1" t="n">
        <v>45186</v>
      </c>
      <c r="D1024" t="inlineStr">
        <is>
          <t>STOCKHOLMS LÄN</t>
        </is>
      </c>
      <c r="E1024" t="inlineStr">
        <is>
          <t>SÖDERTÄLJE</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50443-2019</t>
        </is>
      </c>
      <c r="B1025" s="1" t="n">
        <v>43735</v>
      </c>
      <c r="C1025" s="1" t="n">
        <v>45186</v>
      </c>
      <c r="D1025" t="inlineStr">
        <is>
          <t>STOCKHOLMS LÄN</t>
        </is>
      </c>
      <c r="E1025" t="inlineStr">
        <is>
          <t>SÖDERTÄLJE</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50396-2019</t>
        </is>
      </c>
      <c r="B1026" s="1" t="n">
        <v>43735</v>
      </c>
      <c r="C1026" s="1" t="n">
        <v>45186</v>
      </c>
      <c r="D1026" t="inlineStr">
        <is>
          <t>STOCKHOLMS LÄN</t>
        </is>
      </c>
      <c r="E1026" t="inlineStr">
        <is>
          <t>SÖDERTÄLJE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50419-2019</t>
        </is>
      </c>
      <c r="B1027" s="1" t="n">
        <v>43735</v>
      </c>
      <c r="C1027" s="1" t="n">
        <v>45186</v>
      </c>
      <c r="D1027" t="inlineStr">
        <is>
          <t>STOCKHOLMS LÄN</t>
        </is>
      </c>
      <c r="E1027" t="inlineStr">
        <is>
          <t>SÖDERTÄLJE</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50425-2019</t>
        </is>
      </c>
      <c r="B1028" s="1" t="n">
        <v>43735</v>
      </c>
      <c r="C1028" s="1" t="n">
        <v>45186</v>
      </c>
      <c r="D1028" t="inlineStr">
        <is>
          <t>STOCKHOLMS LÄN</t>
        </is>
      </c>
      <c r="E1028" t="inlineStr">
        <is>
          <t>SÖDERTÄLJE</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50389-2019</t>
        </is>
      </c>
      <c r="B1029" s="1" t="n">
        <v>43735</v>
      </c>
      <c r="C1029" s="1" t="n">
        <v>45186</v>
      </c>
      <c r="D1029" t="inlineStr">
        <is>
          <t>STOCKHOLMS LÄN</t>
        </is>
      </c>
      <c r="E1029" t="inlineStr">
        <is>
          <t>SÖDERTÄLJE</t>
        </is>
      </c>
      <c r="G1029" t="n">
        <v>5.9</v>
      </c>
      <c r="H1029" t="n">
        <v>0</v>
      </c>
      <c r="I1029" t="n">
        <v>0</v>
      </c>
      <c r="J1029" t="n">
        <v>0</v>
      </c>
      <c r="K1029" t="n">
        <v>0</v>
      </c>
      <c r="L1029" t="n">
        <v>0</v>
      </c>
      <c r="M1029" t="n">
        <v>0</v>
      </c>
      <c r="N1029" t="n">
        <v>0</v>
      </c>
      <c r="O1029" t="n">
        <v>0</v>
      </c>
      <c r="P1029" t="n">
        <v>0</v>
      </c>
      <c r="Q1029" t="n">
        <v>0</v>
      </c>
      <c r="R1029" s="2" t="inlineStr"/>
    </row>
    <row r="1030" ht="15" customHeight="1">
      <c r="A1030" t="inlineStr">
        <is>
          <t>A 50441-2019</t>
        </is>
      </c>
      <c r="B1030" s="1" t="n">
        <v>43735</v>
      </c>
      <c r="C1030" s="1" t="n">
        <v>45186</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50446-2019</t>
        </is>
      </c>
      <c r="B1031" s="1" t="n">
        <v>43735</v>
      </c>
      <c r="C1031" s="1" t="n">
        <v>45186</v>
      </c>
      <c r="D1031" t="inlineStr">
        <is>
          <t>STOCKHOLMS LÄN</t>
        </is>
      </c>
      <c r="E1031" t="inlineStr">
        <is>
          <t>SÖDERTÄLJE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50737-2019</t>
        </is>
      </c>
      <c r="B1032" s="1" t="n">
        <v>43738</v>
      </c>
      <c r="C1032" s="1" t="n">
        <v>45186</v>
      </c>
      <c r="D1032" t="inlineStr">
        <is>
          <t>STOCKHOLMS LÄN</t>
        </is>
      </c>
      <c r="E1032" t="inlineStr">
        <is>
          <t>SIGTUNA</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50755-2019</t>
        </is>
      </c>
      <c r="B1033" s="1" t="n">
        <v>43738</v>
      </c>
      <c r="C1033" s="1" t="n">
        <v>45186</v>
      </c>
      <c r="D1033" t="inlineStr">
        <is>
          <t>STOCKHOLMS LÄN</t>
        </is>
      </c>
      <c r="E1033" t="inlineStr">
        <is>
          <t>SIGTUNA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51184-2019</t>
        </is>
      </c>
      <c r="B1034" s="1" t="n">
        <v>43739</v>
      </c>
      <c r="C1034" s="1" t="n">
        <v>45186</v>
      </c>
      <c r="D1034" t="inlineStr">
        <is>
          <t>STOCKHOLMS LÄN</t>
        </is>
      </c>
      <c r="E1034" t="inlineStr">
        <is>
          <t>VALLENTUNA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51571-2019</t>
        </is>
      </c>
      <c r="B1035" s="1" t="n">
        <v>43740</v>
      </c>
      <c r="C1035" s="1" t="n">
        <v>45186</v>
      </c>
      <c r="D1035" t="inlineStr">
        <is>
          <t>STOCKHOLMS LÄN</t>
        </is>
      </c>
      <c r="E1035" t="inlineStr">
        <is>
          <t>NYKVARN</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51387-2019</t>
        </is>
      </c>
      <c r="B1036" s="1" t="n">
        <v>43740</v>
      </c>
      <c r="C1036" s="1" t="n">
        <v>45186</v>
      </c>
      <c r="D1036" t="inlineStr">
        <is>
          <t>STOCKHOLMS LÄN</t>
        </is>
      </c>
      <c r="E1036" t="inlineStr">
        <is>
          <t>BOTKYRKA</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51940-2019</t>
        </is>
      </c>
      <c r="B1037" s="1" t="n">
        <v>43741</v>
      </c>
      <c r="C1037" s="1" t="n">
        <v>45186</v>
      </c>
      <c r="D1037" t="inlineStr">
        <is>
          <t>STOCKHOLMS LÄN</t>
        </is>
      </c>
      <c r="E1037" t="inlineStr">
        <is>
          <t>NORRTÄLJE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51942-2019</t>
        </is>
      </c>
      <c r="B1038" s="1" t="n">
        <v>43741</v>
      </c>
      <c r="C1038" s="1" t="n">
        <v>45186</v>
      </c>
      <c r="D1038" t="inlineStr">
        <is>
          <t>STOCKHOLMS LÄN</t>
        </is>
      </c>
      <c r="E1038" t="inlineStr">
        <is>
          <t>NORRTÄLJE</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51938-2019</t>
        </is>
      </c>
      <c r="B1039" s="1" t="n">
        <v>43741</v>
      </c>
      <c r="C1039" s="1" t="n">
        <v>45186</v>
      </c>
      <c r="D1039" t="inlineStr">
        <is>
          <t>STOCKHOLMS LÄN</t>
        </is>
      </c>
      <c r="E1039" t="inlineStr">
        <is>
          <t>VÄRMDÖ</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52139-2019</t>
        </is>
      </c>
      <c r="B1040" s="1" t="n">
        <v>43742</v>
      </c>
      <c r="C1040" s="1" t="n">
        <v>45186</v>
      </c>
      <c r="D1040" t="inlineStr">
        <is>
          <t>STOCKHOLMS LÄN</t>
        </is>
      </c>
      <c r="E1040" t="inlineStr">
        <is>
          <t>ÖSTERÅKER</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54466-2019</t>
        </is>
      </c>
      <c r="B1041" s="1" t="n">
        <v>43747</v>
      </c>
      <c r="C1041" s="1" t="n">
        <v>45186</v>
      </c>
      <c r="D1041" t="inlineStr">
        <is>
          <t>STOCKHOLMS LÄN</t>
        </is>
      </c>
      <c r="E1041" t="inlineStr">
        <is>
          <t>VAXHOLM</t>
        </is>
      </c>
      <c r="F1041" t="inlineStr">
        <is>
          <t>Övriga statliga verk och myndigheter</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54187-2019</t>
        </is>
      </c>
      <c r="B1042" s="1" t="n">
        <v>43753</v>
      </c>
      <c r="C1042" s="1" t="n">
        <v>45186</v>
      </c>
      <c r="D1042" t="inlineStr">
        <is>
          <t>STOCKHOLMS LÄN</t>
        </is>
      </c>
      <c r="E1042" t="inlineStr">
        <is>
          <t>EKERÖ</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54875-2019</t>
        </is>
      </c>
      <c r="B1043" s="1" t="n">
        <v>43755</v>
      </c>
      <c r="C1043" s="1" t="n">
        <v>45186</v>
      </c>
      <c r="D1043" t="inlineStr">
        <is>
          <t>STOCKHOLMS LÄN</t>
        </is>
      </c>
      <c r="E1043" t="inlineStr">
        <is>
          <t>SIGTUNA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55870-2019</t>
        </is>
      </c>
      <c r="B1044" s="1" t="n">
        <v>43759</v>
      </c>
      <c r="C1044" s="1" t="n">
        <v>45186</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55848-2019</t>
        </is>
      </c>
      <c r="B1045" s="1" t="n">
        <v>43759</v>
      </c>
      <c r="C1045" s="1" t="n">
        <v>45186</v>
      </c>
      <c r="D1045" t="inlineStr">
        <is>
          <t>STOCKHOLMS LÄN</t>
        </is>
      </c>
      <c r="E1045" t="inlineStr">
        <is>
          <t>SÖDERTÄLJE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55974-2019</t>
        </is>
      </c>
      <c r="B1046" s="1" t="n">
        <v>43759</v>
      </c>
      <c r="C1046" s="1" t="n">
        <v>45186</v>
      </c>
      <c r="D1046" t="inlineStr">
        <is>
          <t>STOCKHOLMS LÄN</t>
        </is>
      </c>
      <c r="E1046" t="inlineStr">
        <is>
          <t>SÖDERTÄLJE</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55481-2019</t>
        </is>
      </c>
      <c r="B1047" s="1" t="n">
        <v>43759</v>
      </c>
      <c r="C1047" s="1" t="n">
        <v>45186</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55965-2019</t>
        </is>
      </c>
      <c r="B1048" s="1" t="n">
        <v>43759</v>
      </c>
      <c r="C1048" s="1" t="n">
        <v>45186</v>
      </c>
      <c r="D1048" t="inlineStr">
        <is>
          <t>STOCKHOLMS LÄN</t>
        </is>
      </c>
      <c r="E1048" t="inlineStr">
        <is>
          <t>SÖDERTÄLJE</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55866-2019</t>
        </is>
      </c>
      <c r="B1049" s="1" t="n">
        <v>43759</v>
      </c>
      <c r="C1049" s="1" t="n">
        <v>45186</v>
      </c>
      <c r="D1049" t="inlineStr">
        <is>
          <t>STOCKHOLMS LÄN</t>
        </is>
      </c>
      <c r="E1049" t="inlineStr">
        <is>
          <t>SÖDERTÄLJE</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55980-2019</t>
        </is>
      </c>
      <c r="B1050" s="1" t="n">
        <v>43759</v>
      </c>
      <c r="C1050" s="1" t="n">
        <v>45186</v>
      </c>
      <c r="D1050" t="inlineStr">
        <is>
          <t>STOCKHOLMS LÄN</t>
        </is>
      </c>
      <c r="E1050" t="inlineStr">
        <is>
          <t>SÖDERTÄLJE</t>
        </is>
      </c>
      <c r="G1050" t="n">
        <v>6.4</v>
      </c>
      <c r="H1050" t="n">
        <v>0</v>
      </c>
      <c r="I1050" t="n">
        <v>0</v>
      </c>
      <c r="J1050" t="n">
        <v>0</v>
      </c>
      <c r="K1050" t="n">
        <v>0</v>
      </c>
      <c r="L1050" t="n">
        <v>0</v>
      </c>
      <c r="M1050" t="n">
        <v>0</v>
      </c>
      <c r="N1050" t="n">
        <v>0</v>
      </c>
      <c r="O1050" t="n">
        <v>0</v>
      </c>
      <c r="P1050" t="n">
        <v>0</v>
      </c>
      <c r="Q1050" t="n">
        <v>0</v>
      </c>
      <c r="R1050" s="2" t="inlineStr"/>
    </row>
    <row r="1051" ht="15" customHeight="1">
      <c r="A1051" t="inlineStr">
        <is>
          <t>A 55891-2019</t>
        </is>
      </c>
      <c r="B1051" s="1" t="n">
        <v>43761</v>
      </c>
      <c r="C1051" s="1" t="n">
        <v>45186</v>
      </c>
      <c r="D1051" t="inlineStr">
        <is>
          <t>STOCKHOLMS LÄN</t>
        </is>
      </c>
      <c r="E1051" t="inlineStr">
        <is>
          <t>NORRTÄLJE</t>
        </is>
      </c>
      <c r="G1051" t="n">
        <v>7.6</v>
      </c>
      <c r="H1051" t="n">
        <v>0</v>
      </c>
      <c r="I1051" t="n">
        <v>0</v>
      </c>
      <c r="J1051" t="n">
        <v>0</v>
      </c>
      <c r="K1051" t="n">
        <v>0</v>
      </c>
      <c r="L1051" t="n">
        <v>0</v>
      </c>
      <c r="M1051" t="n">
        <v>0</v>
      </c>
      <c r="N1051" t="n">
        <v>0</v>
      </c>
      <c r="O1051" t="n">
        <v>0</v>
      </c>
      <c r="P1051" t="n">
        <v>0</v>
      </c>
      <c r="Q1051" t="n">
        <v>0</v>
      </c>
      <c r="R1051" s="2" t="inlineStr"/>
    </row>
    <row r="1052" ht="15" customHeight="1">
      <c r="A1052" t="inlineStr">
        <is>
          <t>A 56349-2019</t>
        </is>
      </c>
      <c r="B1052" s="1" t="n">
        <v>43762</v>
      </c>
      <c r="C1052" s="1" t="n">
        <v>45186</v>
      </c>
      <c r="D1052" t="inlineStr">
        <is>
          <t>STOCKHOLMS LÄN</t>
        </is>
      </c>
      <c r="E1052" t="inlineStr">
        <is>
          <t>NORRTÄLJE</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57759-2019</t>
        </is>
      </c>
      <c r="B1053" s="1" t="n">
        <v>43763</v>
      </c>
      <c r="C1053" s="1" t="n">
        <v>45186</v>
      </c>
      <c r="D1053" t="inlineStr">
        <is>
          <t>STOCKHOLMS LÄN</t>
        </is>
      </c>
      <c r="E1053" t="inlineStr">
        <is>
          <t>NORRTÄLJE</t>
        </is>
      </c>
      <c r="F1053" t="inlineStr">
        <is>
          <t>Övriga Aktiebolag</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56950-2019</t>
        </is>
      </c>
      <c r="B1054" s="1" t="n">
        <v>43766</v>
      </c>
      <c r="C1054" s="1" t="n">
        <v>45186</v>
      </c>
      <c r="D1054" t="inlineStr">
        <is>
          <t>STOCKHOLMS LÄN</t>
        </is>
      </c>
      <c r="E1054" t="inlineStr">
        <is>
          <t>NORRTÄLJE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57063-2019</t>
        </is>
      </c>
      <c r="B1055" s="1" t="n">
        <v>43766</v>
      </c>
      <c r="C1055" s="1" t="n">
        <v>45186</v>
      </c>
      <c r="D1055" t="inlineStr">
        <is>
          <t>STOCKHOLMS LÄN</t>
        </is>
      </c>
      <c r="E1055" t="inlineStr">
        <is>
          <t>NORRTÄLJE</t>
        </is>
      </c>
      <c r="F1055" t="inlineStr">
        <is>
          <t>Kyrkan</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57461-2019</t>
        </is>
      </c>
      <c r="B1056" s="1" t="n">
        <v>43767</v>
      </c>
      <c r="C1056" s="1" t="n">
        <v>45186</v>
      </c>
      <c r="D1056" t="inlineStr">
        <is>
          <t>STOCKHOLMS LÄN</t>
        </is>
      </c>
      <c r="E1056" t="inlineStr">
        <is>
          <t>SIGTUNA</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58631-2019</t>
        </is>
      </c>
      <c r="B1057" s="1" t="n">
        <v>43773</v>
      </c>
      <c r="C1057" s="1" t="n">
        <v>45186</v>
      </c>
      <c r="D1057" t="inlineStr">
        <is>
          <t>STOCKHOLMS LÄN</t>
        </is>
      </c>
      <c r="E1057" t="inlineStr">
        <is>
          <t>NORRTÄLJE</t>
        </is>
      </c>
      <c r="G1057" t="n">
        <v>6</v>
      </c>
      <c r="H1057" t="n">
        <v>0</v>
      </c>
      <c r="I1057" t="n">
        <v>0</v>
      </c>
      <c r="J1057" t="n">
        <v>0</v>
      </c>
      <c r="K1057" t="n">
        <v>0</v>
      </c>
      <c r="L1057" t="n">
        <v>0</v>
      </c>
      <c r="M1057" t="n">
        <v>0</v>
      </c>
      <c r="N1057" t="n">
        <v>0</v>
      </c>
      <c r="O1057" t="n">
        <v>0</v>
      </c>
      <c r="P1057" t="n">
        <v>0</v>
      </c>
      <c r="Q1057" t="n">
        <v>0</v>
      </c>
      <c r="R1057" s="2" t="inlineStr"/>
    </row>
    <row r="1058" ht="15" customHeight="1">
      <c r="A1058" t="inlineStr">
        <is>
          <t>A 59155-2019</t>
        </is>
      </c>
      <c r="B1058" s="1" t="n">
        <v>43775</v>
      </c>
      <c r="C1058" s="1" t="n">
        <v>45186</v>
      </c>
      <c r="D1058" t="inlineStr">
        <is>
          <t>STOCKHOLMS LÄN</t>
        </is>
      </c>
      <c r="E1058" t="inlineStr">
        <is>
          <t>SÖDERTÄLJE</t>
        </is>
      </c>
      <c r="F1058" t="inlineStr">
        <is>
          <t>Kommuner</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59790-2019</t>
        </is>
      </c>
      <c r="B1059" s="1" t="n">
        <v>43776</v>
      </c>
      <c r="C1059" s="1" t="n">
        <v>45186</v>
      </c>
      <c r="D1059" t="inlineStr">
        <is>
          <t>STOCKHOLMS LÄN</t>
        </is>
      </c>
      <c r="E1059" t="inlineStr">
        <is>
          <t>SÖDERTÄLJE</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60208-2019</t>
        </is>
      </c>
      <c r="B1060" s="1" t="n">
        <v>43780</v>
      </c>
      <c r="C1060" s="1" t="n">
        <v>45186</v>
      </c>
      <c r="D1060" t="inlineStr">
        <is>
          <t>STOCKHOLMS LÄN</t>
        </is>
      </c>
      <c r="E1060" t="inlineStr">
        <is>
          <t>NORRTÄLJE</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60842-2019</t>
        </is>
      </c>
      <c r="B1061" s="1" t="n">
        <v>43781</v>
      </c>
      <c r="C1061" s="1" t="n">
        <v>45186</v>
      </c>
      <c r="D1061" t="inlineStr">
        <is>
          <t>STOCKHOLMS LÄN</t>
        </is>
      </c>
      <c r="E1061" t="inlineStr">
        <is>
          <t>NORRTÄLJE</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60844-2019</t>
        </is>
      </c>
      <c r="B1062" s="1" t="n">
        <v>43781</v>
      </c>
      <c r="C1062" s="1" t="n">
        <v>45186</v>
      </c>
      <c r="D1062" t="inlineStr">
        <is>
          <t>STOCKHOLMS LÄN</t>
        </is>
      </c>
      <c r="E1062" t="inlineStr">
        <is>
          <t>NORRTÄLJE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61657-2019</t>
        </is>
      </c>
      <c r="B1063" s="1" t="n">
        <v>43784</v>
      </c>
      <c r="C1063" s="1" t="n">
        <v>45186</v>
      </c>
      <c r="D1063" t="inlineStr">
        <is>
          <t>STOCKHOLMS LÄN</t>
        </is>
      </c>
      <c r="E1063" t="inlineStr">
        <is>
          <t>NORRTÄLJE</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62848-2019</t>
        </is>
      </c>
      <c r="B1064" s="1" t="n">
        <v>43790</v>
      </c>
      <c r="C1064" s="1" t="n">
        <v>45186</v>
      </c>
      <c r="D1064" t="inlineStr">
        <is>
          <t>STOCKHOLMS LÄN</t>
        </is>
      </c>
      <c r="E1064" t="inlineStr">
        <is>
          <t>NORRTÄLJE</t>
        </is>
      </c>
      <c r="F1064" t="inlineStr">
        <is>
          <t>Holmen skog AB</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62980-2019</t>
        </is>
      </c>
      <c r="B1065" s="1" t="n">
        <v>43790</v>
      </c>
      <c r="C1065" s="1" t="n">
        <v>45186</v>
      </c>
      <c r="D1065" t="inlineStr">
        <is>
          <t>STOCKHOLMS LÄN</t>
        </is>
      </c>
      <c r="E1065" t="inlineStr">
        <is>
          <t>NORRTÄLJE</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63495-2019</t>
        </is>
      </c>
      <c r="B1066" s="1" t="n">
        <v>43794</v>
      </c>
      <c r="C1066" s="1" t="n">
        <v>45186</v>
      </c>
      <c r="D1066" t="inlineStr">
        <is>
          <t>STOCKHOLMS LÄN</t>
        </is>
      </c>
      <c r="E1066" t="inlineStr">
        <is>
          <t>NORRTÄLJE</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63515-2019</t>
        </is>
      </c>
      <c r="B1067" s="1" t="n">
        <v>43794</v>
      </c>
      <c r="C1067" s="1" t="n">
        <v>45186</v>
      </c>
      <c r="D1067" t="inlineStr">
        <is>
          <t>STOCKHOLMS LÄN</t>
        </is>
      </c>
      <c r="E1067" t="inlineStr">
        <is>
          <t>NORRTÄLJE</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63504-2019</t>
        </is>
      </c>
      <c r="B1068" s="1" t="n">
        <v>43794</v>
      </c>
      <c r="C1068" s="1" t="n">
        <v>45186</v>
      </c>
      <c r="D1068" t="inlineStr">
        <is>
          <t>STOCKHOLMS LÄN</t>
        </is>
      </c>
      <c r="E1068" t="inlineStr">
        <is>
          <t>NORRTÄLJE</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63529-2019</t>
        </is>
      </c>
      <c r="B1069" s="1" t="n">
        <v>43794</v>
      </c>
      <c r="C1069" s="1" t="n">
        <v>45186</v>
      </c>
      <c r="D1069" t="inlineStr">
        <is>
          <t>STOCKHOLMS LÄN</t>
        </is>
      </c>
      <c r="E1069" t="inlineStr">
        <is>
          <t>NORRTÄLJE</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63528-2019</t>
        </is>
      </c>
      <c r="B1070" s="1" t="n">
        <v>43794</v>
      </c>
      <c r="C1070" s="1" t="n">
        <v>45186</v>
      </c>
      <c r="D1070" t="inlineStr">
        <is>
          <t>STOCKHOLMS LÄN</t>
        </is>
      </c>
      <c r="E1070" t="inlineStr">
        <is>
          <t>NORRTÄLJE</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63745-2019</t>
        </is>
      </c>
      <c r="B1071" s="1" t="n">
        <v>43795</v>
      </c>
      <c r="C1071" s="1" t="n">
        <v>45186</v>
      </c>
      <c r="D1071" t="inlineStr">
        <is>
          <t>STOCKHOLMS LÄN</t>
        </is>
      </c>
      <c r="E1071" t="inlineStr">
        <is>
          <t>UPPLANDS-BRO</t>
        </is>
      </c>
      <c r="F1071" t="inlineStr">
        <is>
          <t>Övriga statliga verk och myndigheter</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64293-2019</t>
        </is>
      </c>
      <c r="B1072" s="1" t="n">
        <v>43797</v>
      </c>
      <c r="C1072" s="1" t="n">
        <v>45186</v>
      </c>
      <c r="D1072" t="inlineStr">
        <is>
          <t>STOCKHOLMS LÄN</t>
        </is>
      </c>
      <c r="E1072" t="inlineStr">
        <is>
          <t>NORRTÄLJE</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64656-2019</t>
        </is>
      </c>
      <c r="B1073" s="1" t="n">
        <v>43798</v>
      </c>
      <c r="C1073" s="1" t="n">
        <v>45186</v>
      </c>
      <c r="D1073" t="inlineStr">
        <is>
          <t>STOCKHOLMS LÄN</t>
        </is>
      </c>
      <c r="E1073" t="inlineStr">
        <is>
          <t>EKERÖ</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64490-2019</t>
        </is>
      </c>
      <c r="B1074" s="1" t="n">
        <v>43798</v>
      </c>
      <c r="C1074" s="1" t="n">
        <v>45186</v>
      </c>
      <c r="D1074" t="inlineStr">
        <is>
          <t>STOCKHOLMS LÄN</t>
        </is>
      </c>
      <c r="E1074" t="inlineStr">
        <is>
          <t>NYKVARN</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65405-2019</t>
        </is>
      </c>
      <c r="B1075" s="1" t="n">
        <v>43798</v>
      </c>
      <c r="C1075" s="1" t="n">
        <v>45186</v>
      </c>
      <c r="D1075" t="inlineStr">
        <is>
          <t>STOCKHOLMS LÄN</t>
        </is>
      </c>
      <c r="E1075" t="inlineStr">
        <is>
          <t>UPPLANDS-BRO</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64898-2019</t>
        </is>
      </c>
      <c r="B1076" s="1" t="n">
        <v>43801</v>
      </c>
      <c r="C1076" s="1" t="n">
        <v>45186</v>
      </c>
      <c r="D1076" t="inlineStr">
        <is>
          <t>STOCKHOLMS LÄN</t>
        </is>
      </c>
      <c r="E1076" t="inlineStr">
        <is>
          <t>SIGTUNA</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64995-2019</t>
        </is>
      </c>
      <c r="B1077" s="1" t="n">
        <v>43801</v>
      </c>
      <c r="C1077" s="1" t="n">
        <v>45186</v>
      </c>
      <c r="D1077" t="inlineStr">
        <is>
          <t>STOCKHOLMS LÄN</t>
        </is>
      </c>
      <c r="E1077" t="inlineStr">
        <is>
          <t>SÖDERTÄLJE</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64938-2019</t>
        </is>
      </c>
      <c r="B1078" s="1" t="n">
        <v>43801</v>
      </c>
      <c r="C1078" s="1" t="n">
        <v>45186</v>
      </c>
      <c r="D1078" t="inlineStr">
        <is>
          <t>STOCKHOLMS LÄN</t>
        </is>
      </c>
      <c r="E1078" t="inlineStr">
        <is>
          <t>SÖDERTÄLJE</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64901-2019</t>
        </is>
      </c>
      <c r="B1079" s="1" t="n">
        <v>43801</v>
      </c>
      <c r="C1079" s="1" t="n">
        <v>45186</v>
      </c>
      <c r="D1079" t="inlineStr">
        <is>
          <t>STOCKHOLMS LÄN</t>
        </is>
      </c>
      <c r="E1079" t="inlineStr">
        <is>
          <t>SIGTUNA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65577-2019</t>
        </is>
      </c>
      <c r="B1080" s="1" t="n">
        <v>43803</v>
      </c>
      <c r="C1080" s="1" t="n">
        <v>45186</v>
      </c>
      <c r="D1080" t="inlineStr">
        <is>
          <t>STOCKHOLMS LÄN</t>
        </is>
      </c>
      <c r="E1080" t="inlineStr">
        <is>
          <t>NYKVARN</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65640-2019</t>
        </is>
      </c>
      <c r="B1081" s="1" t="n">
        <v>43804</v>
      </c>
      <c r="C1081" s="1" t="n">
        <v>45186</v>
      </c>
      <c r="D1081" t="inlineStr">
        <is>
          <t>STOCKHOLMS LÄN</t>
        </is>
      </c>
      <c r="E1081" t="inlineStr">
        <is>
          <t>NORRTÄLJE</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65998-2019</t>
        </is>
      </c>
      <c r="B1082" s="1" t="n">
        <v>43805</v>
      </c>
      <c r="C1082" s="1" t="n">
        <v>45186</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67111-2019</t>
        </is>
      </c>
      <c r="B1083" s="1" t="n">
        <v>43807</v>
      </c>
      <c r="C1083" s="1" t="n">
        <v>45186</v>
      </c>
      <c r="D1083" t="inlineStr">
        <is>
          <t>STOCKHOLMS LÄN</t>
        </is>
      </c>
      <c r="E1083" t="inlineStr">
        <is>
          <t>HANINGE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66599-2019</t>
        </is>
      </c>
      <c r="B1084" s="1" t="n">
        <v>43809</v>
      </c>
      <c r="C1084" s="1" t="n">
        <v>45186</v>
      </c>
      <c r="D1084" t="inlineStr">
        <is>
          <t>STOCKHOLMS LÄN</t>
        </is>
      </c>
      <c r="E1084" t="inlineStr">
        <is>
          <t>EKERÖ</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66589-2019</t>
        </is>
      </c>
      <c r="B1085" s="1" t="n">
        <v>43809</v>
      </c>
      <c r="C1085" s="1" t="n">
        <v>45186</v>
      </c>
      <c r="D1085" t="inlineStr">
        <is>
          <t>STOCKHOLMS LÄN</t>
        </is>
      </c>
      <c r="E1085" t="inlineStr">
        <is>
          <t>NYNÄSHAMN</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66603-2019</t>
        </is>
      </c>
      <c r="B1086" s="1" t="n">
        <v>43809</v>
      </c>
      <c r="C1086" s="1" t="n">
        <v>45186</v>
      </c>
      <c r="D1086" t="inlineStr">
        <is>
          <t>STOCKHOLMS LÄN</t>
        </is>
      </c>
      <c r="E1086" t="inlineStr">
        <is>
          <t>EKERÖ</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66604-2019</t>
        </is>
      </c>
      <c r="B1087" s="1" t="n">
        <v>43809</v>
      </c>
      <c r="C1087" s="1" t="n">
        <v>45186</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67158-2019</t>
        </is>
      </c>
      <c r="B1088" s="1" t="n">
        <v>43811</v>
      </c>
      <c r="C1088" s="1" t="n">
        <v>45186</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67324-2019</t>
        </is>
      </c>
      <c r="B1089" s="1" t="n">
        <v>43812</v>
      </c>
      <c r="C1089" s="1" t="n">
        <v>45186</v>
      </c>
      <c r="D1089" t="inlineStr">
        <is>
          <t>STOCKHOLMS LÄN</t>
        </is>
      </c>
      <c r="E1089" t="inlineStr">
        <is>
          <t>NORRTÄLJE</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68011-2019</t>
        </is>
      </c>
      <c r="B1090" s="1" t="n">
        <v>43816</v>
      </c>
      <c r="C1090" s="1" t="n">
        <v>45186</v>
      </c>
      <c r="D1090" t="inlineStr">
        <is>
          <t>STOCKHOLMS LÄN</t>
        </is>
      </c>
      <c r="E1090" t="inlineStr">
        <is>
          <t>HANINGE</t>
        </is>
      </c>
      <c r="G1090" t="n">
        <v>0.1</v>
      </c>
      <c r="H1090" t="n">
        <v>0</v>
      </c>
      <c r="I1090" t="n">
        <v>0</v>
      </c>
      <c r="J1090" t="n">
        <v>0</v>
      </c>
      <c r="K1090" t="n">
        <v>0</v>
      </c>
      <c r="L1090" t="n">
        <v>0</v>
      </c>
      <c r="M1090" t="n">
        <v>0</v>
      </c>
      <c r="N1090" t="n">
        <v>0</v>
      </c>
      <c r="O1090" t="n">
        <v>0</v>
      </c>
      <c r="P1090" t="n">
        <v>0</v>
      </c>
      <c r="Q1090" t="n">
        <v>0</v>
      </c>
      <c r="R1090" s="2" t="inlineStr"/>
    </row>
    <row r="1091" ht="15" customHeight="1">
      <c r="A1091" t="inlineStr">
        <is>
          <t>A 68121-2019</t>
        </is>
      </c>
      <c r="B1091" s="1" t="n">
        <v>43817</v>
      </c>
      <c r="C1091" s="1" t="n">
        <v>45186</v>
      </c>
      <c r="D1091" t="inlineStr">
        <is>
          <t>STOCKHOLMS LÄN</t>
        </is>
      </c>
      <c r="E1091" t="inlineStr">
        <is>
          <t>ÖSTERÅKER</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68129-2019</t>
        </is>
      </c>
      <c r="B1092" s="1" t="n">
        <v>43817</v>
      </c>
      <c r="C1092" s="1" t="n">
        <v>45186</v>
      </c>
      <c r="D1092" t="inlineStr">
        <is>
          <t>STOCKHOLMS LÄN</t>
        </is>
      </c>
      <c r="E1092" t="inlineStr">
        <is>
          <t>VALLENTUNA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68104-2019</t>
        </is>
      </c>
      <c r="B1093" s="1" t="n">
        <v>43817</v>
      </c>
      <c r="C1093" s="1" t="n">
        <v>45186</v>
      </c>
      <c r="D1093" t="inlineStr">
        <is>
          <t>STOCKHOLMS LÄN</t>
        </is>
      </c>
      <c r="E1093" t="inlineStr">
        <is>
          <t>ÖSTERÅKER</t>
        </is>
      </c>
      <c r="G1093" t="n">
        <v>8.4</v>
      </c>
      <c r="H1093" t="n">
        <v>0</v>
      </c>
      <c r="I1093" t="n">
        <v>0</v>
      </c>
      <c r="J1093" t="n">
        <v>0</v>
      </c>
      <c r="K1093" t="n">
        <v>0</v>
      </c>
      <c r="L1093" t="n">
        <v>0</v>
      </c>
      <c r="M1093" t="n">
        <v>0</v>
      </c>
      <c r="N1093" t="n">
        <v>0</v>
      </c>
      <c r="O1093" t="n">
        <v>0</v>
      </c>
      <c r="P1093" t="n">
        <v>0</v>
      </c>
      <c r="Q1093" t="n">
        <v>0</v>
      </c>
      <c r="R1093" s="2" t="inlineStr"/>
    </row>
    <row r="1094" ht="15" customHeight="1">
      <c r="A1094" t="inlineStr">
        <is>
          <t>A 68122-2019</t>
        </is>
      </c>
      <c r="B1094" s="1" t="n">
        <v>43817</v>
      </c>
      <c r="C1094" s="1" t="n">
        <v>45186</v>
      </c>
      <c r="D1094" t="inlineStr">
        <is>
          <t>STOCKHOLMS LÄN</t>
        </is>
      </c>
      <c r="E1094" t="inlineStr">
        <is>
          <t>ÖSTERÅKER</t>
        </is>
      </c>
      <c r="G1094" t="n">
        <v>4.5</v>
      </c>
      <c r="H1094" t="n">
        <v>0</v>
      </c>
      <c r="I1094" t="n">
        <v>0</v>
      </c>
      <c r="J1094" t="n">
        <v>0</v>
      </c>
      <c r="K1094" t="n">
        <v>0</v>
      </c>
      <c r="L1094" t="n">
        <v>0</v>
      </c>
      <c r="M1094" t="n">
        <v>0</v>
      </c>
      <c r="N1094" t="n">
        <v>0</v>
      </c>
      <c r="O1094" t="n">
        <v>0</v>
      </c>
      <c r="P1094" t="n">
        <v>0</v>
      </c>
      <c r="Q1094" t="n">
        <v>0</v>
      </c>
      <c r="R1094" s="2" t="inlineStr"/>
    </row>
    <row r="1095" ht="15" customHeight="1">
      <c r="A1095" t="inlineStr">
        <is>
          <t>A 68236-2019</t>
        </is>
      </c>
      <c r="B1095" s="1" t="n">
        <v>43817</v>
      </c>
      <c r="C1095" s="1" t="n">
        <v>45186</v>
      </c>
      <c r="D1095" t="inlineStr">
        <is>
          <t>STOCKHOLMS LÄN</t>
        </is>
      </c>
      <c r="E1095" t="inlineStr">
        <is>
          <t>UPPLANDS-BRO</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68105-2019</t>
        </is>
      </c>
      <c r="B1096" s="1" t="n">
        <v>43817</v>
      </c>
      <c r="C1096" s="1" t="n">
        <v>45186</v>
      </c>
      <c r="D1096" t="inlineStr">
        <is>
          <t>STOCKHOLMS LÄN</t>
        </is>
      </c>
      <c r="E1096" t="inlineStr">
        <is>
          <t>ÖSTERÅKER</t>
        </is>
      </c>
      <c r="G1096" t="n">
        <v>16.6</v>
      </c>
      <c r="H1096" t="n">
        <v>0</v>
      </c>
      <c r="I1096" t="n">
        <v>0</v>
      </c>
      <c r="J1096" t="n">
        <v>0</v>
      </c>
      <c r="K1096" t="n">
        <v>0</v>
      </c>
      <c r="L1096" t="n">
        <v>0</v>
      </c>
      <c r="M1096" t="n">
        <v>0</v>
      </c>
      <c r="N1096" t="n">
        <v>0</v>
      </c>
      <c r="O1096" t="n">
        <v>0</v>
      </c>
      <c r="P1096" t="n">
        <v>0</v>
      </c>
      <c r="Q1096" t="n">
        <v>0</v>
      </c>
      <c r="R1096" s="2" t="inlineStr"/>
    </row>
    <row r="1097" ht="15" customHeight="1">
      <c r="A1097" t="inlineStr">
        <is>
          <t>A 68109-2019</t>
        </is>
      </c>
      <c r="B1097" s="1" t="n">
        <v>43817</v>
      </c>
      <c r="C1097" s="1" t="n">
        <v>45186</v>
      </c>
      <c r="D1097" t="inlineStr">
        <is>
          <t>STOCKHOLMS LÄN</t>
        </is>
      </c>
      <c r="E1097" t="inlineStr">
        <is>
          <t>ÖSTERÅKER</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68123-2019</t>
        </is>
      </c>
      <c r="B1098" s="1" t="n">
        <v>43817</v>
      </c>
      <c r="C1098" s="1" t="n">
        <v>45186</v>
      </c>
      <c r="D1098" t="inlineStr">
        <is>
          <t>STOCKHOLMS LÄN</t>
        </is>
      </c>
      <c r="E1098" t="inlineStr">
        <is>
          <t>ÖSTERÅKER</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68826-2019</t>
        </is>
      </c>
      <c r="B1099" s="1" t="n">
        <v>43819</v>
      </c>
      <c r="C1099" s="1" t="n">
        <v>45186</v>
      </c>
      <c r="D1099" t="inlineStr">
        <is>
          <t>STOCKHOLMS LÄN</t>
        </is>
      </c>
      <c r="E1099" t="inlineStr">
        <is>
          <t>SIGTUNA</t>
        </is>
      </c>
      <c r="F1099" t="inlineStr">
        <is>
          <t>Kyrkan</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68829-2019</t>
        </is>
      </c>
      <c r="B1100" s="1" t="n">
        <v>43819</v>
      </c>
      <c r="C1100" s="1" t="n">
        <v>45186</v>
      </c>
      <c r="D1100" t="inlineStr">
        <is>
          <t>STOCKHOLMS LÄN</t>
        </is>
      </c>
      <c r="E1100" t="inlineStr">
        <is>
          <t>SIGTUNA</t>
        </is>
      </c>
      <c r="F1100" t="inlineStr">
        <is>
          <t>Kyrkan</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68825-2019</t>
        </is>
      </c>
      <c r="B1101" s="1" t="n">
        <v>43819</v>
      </c>
      <c r="C1101" s="1" t="n">
        <v>45186</v>
      </c>
      <c r="D1101" t="inlineStr">
        <is>
          <t>STOCKHOLMS LÄN</t>
        </is>
      </c>
      <c r="E1101" t="inlineStr">
        <is>
          <t>SIGTUNA</t>
        </is>
      </c>
      <c r="F1101" t="inlineStr">
        <is>
          <t>Kyrkan</t>
        </is>
      </c>
      <c r="G1101" t="n">
        <v>7.6</v>
      </c>
      <c r="H1101" t="n">
        <v>0</v>
      </c>
      <c r="I1101" t="n">
        <v>0</v>
      </c>
      <c r="J1101" t="n">
        <v>0</v>
      </c>
      <c r="K1101" t="n">
        <v>0</v>
      </c>
      <c r="L1101" t="n">
        <v>0</v>
      </c>
      <c r="M1101" t="n">
        <v>0</v>
      </c>
      <c r="N1101" t="n">
        <v>0</v>
      </c>
      <c r="O1101" t="n">
        <v>0</v>
      </c>
      <c r="P1101" t="n">
        <v>0</v>
      </c>
      <c r="Q1101" t="n">
        <v>0</v>
      </c>
      <c r="R1101" s="2" t="inlineStr"/>
    </row>
    <row r="1102" ht="15" customHeight="1">
      <c r="A1102" t="inlineStr">
        <is>
          <t>A 68865-2019</t>
        </is>
      </c>
      <c r="B1102" s="1" t="n">
        <v>43821</v>
      </c>
      <c r="C1102" s="1" t="n">
        <v>45186</v>
      </c>
      <c r="D1102" t="inlineStr">
        <is>
          <t>STOCKHOLMS LÄN</t>
        </is>
      </c>
      <c r="E1102" t="inlineStr">
        <is>
          <t>NORRTÄLJE</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1099-2020</t>
        </is>
      </c>
      <c r="B1103" s="1" t="n">
        <v>43822</v>
      </c>
      <c r="C1103" s="1" t="n">
        <v>45186</v>
      </c>
      <c r="D1103" t="inlineStr">
        <is>
          <t>STOCKHOLMS LÄN</t>
        </is>
      </c>
      <c r="E1103" t="inlineStr">
        <is>
          <t>NORRTÄLJE</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292-2020</t>
        </is>
      </c>
      <c r="B1104" s="1" t="n">
        <v>43837</v>
      </c>
      <c r="C1104" s="1" t="n">
        <v>45186</v>
      </c>
      <c r="D1104" t="inlineStr">
        <is>
          <t>STOCKHOLMS LÄN</t>
        </is>
      </c>
      <c r="E1104" t="inlineStr">
        <is>
          <t>EKERÖ</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461-2020</t>
        </is>
      </c>
      <c r="B1105" s="1" t="n">
        <v>43837</v>
      </c>
      <c r="C1105" s="1" t="n">
        <v>45186</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464-2020</t>
        </is>
      </c>
      <c r="B1106" s="1" t="n">
        <v>43837</v>
      </c>
      <c r="C1106" s="1" t="n">
        <v>45186</v>
      </c>
      <c r="D1106" t="inlineStr">
        <is>
          <t>STOCKHOLMS LÄN</t>
        </is>
      </c>
      <c r="E1106" t="inlineStr">
        <is>
          <t>NYNÄSHAMN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630-2020</t>
        </is>
      </c>
      <c r="B1107" s="1" t="n">
        <v>43838</v>
      </c>
      <c r="C1107" s="1" t="n">
        <v>45186</v>
      </c>
      <c r="D1107" t="inlineStr">
        <is>
          <t>STOCKHOLMS LÄN</t>
        </is>
      </c>
      <c r="E1107" t="inlineStr">
        <is>
          <t>SÖDERTÄLJE</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2559-2020</t>
        </is>
      </c>
      <c r="B1108" s="1" t="n">
        <v>43843</v>
      </c>
      <c r="C1108" s="1" t="n">
        <v>45186</v>
      </c>
      <c r="D1108" t="inlineStr">
        <is>
          <t>STOCKHOLMS LÄN</t>
        </is>
      </c>
      <c r="E1108" t="inlineStr">
        <is>
          <t>SÖDERTÄLJE</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1388-2020</t>
        </is>
      </c>
      <c r="B1109" s="1" t="n">
        <v>43843</v>
      </c>
      <c r="C1109" s="1" t="n">
        <v>45186</v>
      </c>
      <c r="D1109" t="inlineStr">
        <is>
          <t>STOCKHOLMS LÄN</t>
        </is>
      </c>
      <c r="E1109" t="inlineStr">
        <is>
          <t>VÄRMDÖ</t>
        </is>
      </c>
      <c r="F1109" t="inlineStr">
        <is>
          <t>Övriga statliga verk och myndigheter</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1669-2020</t>
        </is>
      </c>
      <c r="B1110" s="1" t="n">
        <v>43844</v>
      </c>
      <c r="C1110" s="1" t="n">
        <v>45186</v>
      </c>
      <c r="D1110" t="inlineStr">
        <is>
          <t>STOCKHOLMS LÄN</t>
        </is>
      </c>
      <c r="E1110" t="inlineStr">
        <is>
          <t>NYNÄSHAMN</t>
        </is>
      </c>
      <c r="F1110" t="inlineStr">
        <is>
          <t>Övriga statliga verk och myndigheter</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1811-2020</t>
        </is>
      </c>
      <c r="B1111" s="1" t="n">
        <v>43844</v>
      </c>
      <c r="C1111" s="1" t="n">
        <v>45186</v>
      </c>
      <c r="D1111" t="inlineStr">
        <is>
          <t>STOCKHOLMS LÄN</t>
        </is>
      </c>
      <c r="E1111" t="inlineStr">
        <is>
          <t>SÖDERTÄLJE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1789-2020</t>
        </is>
      </c>
      <c r="B1112" s="1" t="n">
        <v>43844</v>
      </c>
      <c r="C1112" s="1" t="n">
        <v>45186</v>
      </c>
      <c r="D1112" t="inlineStr">
        <is>
          <t>STOCKHOLMS LÄN</t>
        </is>
      </c>
      <c r="E1112" t="inlineStr">
        <is>
          <t>NYNÄSHAMN</t>
        </is>
      </c>
      <c r="F1112" t="inlineStr">
        <is>
          <t>Övriga statliga verk och myndigheter</t>
        </is>
      </c>
      <c r="G1112" t="n">
        <v>6.4</v>
      </c>
      <c r="H1112" t="n">
        <v>0</v>
      </c>
      <c r="I1112" t="n">
        <v>0</v>
      </c>
      <c r="J1112" t="n">
        <v>0</v>
      </c>
      <c r="K1112" t="n">
        <v>0</v>
      </c>
      <c r="L1112" t="n">
        <v>0</v>
      </c>
      <c r="M1112" t="n">
        <v>0</v>
      </c>
      <c r="N1112" t="n">
        <v>0</v>
      </c>
      <c r="O1112" t="n">
        <v>0</v>
      </c>
      <c r="P1112" t="n">
        <v>0</v>
      </c>
      <c r="Q1112" t="n">
        <v>0</v>
      </c>
      <c r="R1112" s="2" t="inlineStr"/>
    </row>
    <row r="1113" ht="15" customHeight="1">
      <c r="A1113" t="inlineStr">
        <is>
          <t>A 2554-2020</t>
        </is>
      </c>
      <c r="B1113" s="1" t="n">
        <v>43847</v>
      </c>
      <c r="C1113" s="1" t="n">
        <v>45186</v>
      </c>
      <c r="D1113" t="inlineStr">
        <is>
          <t>STOCKHOLMS LÄN</t>
        </is>
      </c>
      <c r="E1113" t="inlineStr">
        <is>
          <t>BOTKYRKA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2671-2020</t>
        </is>
      </c>
      <c r="B1114" s="1" t="n">
        <v>43849</v>
      </c>
      <c r="C1114" s="1" t="n">
        <v>45186</v>
      </c>
      <c r="D1114" t="inlineStr">
        <is>
          <t>STOCKHOLMS LÄN</t>
        </is>
      </c>
      <c r="E1114" t="inlineStr">
        <is>
          <t>NYNÄSHAMN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4475-2020</t>
        </is>
      </c>
      <c r="B1115" s="1" t="n">
        <v>43849</v>
      </c>
      <c r="C1115" s="1" t="n">
        <v>45186</v>
      </c>
      <c r="D1115" t="inlineStr">
        <is>
          <t>STOCKHOLMS LÄN</t>
        </is>
      </c>
      <c r="E1115" t="inlineStr">
        <is>
          <t>NORRTÄLJE</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2803-2020</t>
        </is>
      </c>
      <c r="B1116" s="1" t="n">
        <v>43850</v>
      </c>
      <c r="C1116" s="1" t="n">
        <v>45186</v>
      </c>
      <c r="D1116" t="inlineStr">
        <is>
          <t>STOCKHOLMS LÄN</t>
        </is>
      </c>
      <c r="E1116" t="inlineStr">
        <is>
          <t>NORRTÄLJE</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2810-2020</t>
        </is>
      </c>
      <c r="B1117" s="1" t="n">
        <v>43850</v>
      </c>
      <c r="C1117" s="1" t="n">
        <v>45186</v>
      </c>
      <c r="D1117" t="inlineStr">
        <is>
          <t>STOCKHOLMS LÄN</t>
        </is>
      </c>
      <c r="E1117" t="inlineStr">
        <is>
          <t>NORRTÄLJE</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2808-2020</t>
        </is>
      </c>
      <c r="B1118" s="1" t="n">
        <v>43850</v>
      </c>
      <c r="C1118" s="1" t="n">
        <v>45186</v>
      </c>
      <c r="D1118" t="inlineStr">
        <is>
          <t>STOCKHOLMS LÄN</t>
        </is>
      </c>
      <c r="E1118" t="inlineStr">
        <is>
          <t>NORRTÄLJE</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3144-2020</t>
        </is>
      </c>
      <c r="B1119" s="1" t="n">
        <v>43851</v>
      </c>
      <c r="C1119" s="1" t="n">
        <v>45186</v>
      </c>
      <c r="D1119" t="inlineStr">
        <is>
          <t>STOCKHOLMS LÄN</t>
        </is>
      </c>
      <c r="E1119" t="inlineStr">
        <is>
          <t>NYNÄSHAMN</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3882-2020</t>
        </is>
      </c>
      <c r="B1120" s="1" t="n">
        <v>43854</v>
      </c>
      <c r="C1120" s="1" t="n">
        <v>45186</v>
      </c>
      <c r="D1120" t="inlineStr">
        <is>
          <t>STOCKHOLMS LÄN</t>
        </is>
      </c>
      <c r="E1120" t="inlineStr">
        <is>
          <t>NORRTÄLJE</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3952-2020</t>
        </is>
      </c>
      <c r="B1121" s="1" t="n">
        <v>43854</v>
      </c>
      <c r="C1121" s="1" t="n">
        <v>45186</v>
      </c>
      <c r="D1121" t="inlineStr">
        <is>
          <t>STOCKHOLMS LÄN</t>
        </is>
      </c>
      <c r="E1121" t="inlineStr">
        <is>
          <t>NYNÄSHAMN</t>
        </is>
      </c>
      <c r="F1121" t="inlineStr">
        <is>
          <t>Övriga statliga verk och myndigheter</t>
        </is>
      </c>
      <c r="G1121" t="n">
        <v>10.1</v>
      </c>
      <c r="H1121" t="n">
        <v>0</v>
      </c>
      <c r="I1121" t="n">
        <v>0</v>
      </c>
      <c r="J1121" t="n">
        <v>0</v>
      </c>
      <c r="K1121" t="n">
        <v>0</v>
      </c>
      <c r="L1121" t="n">
        <v>0</v>
      </c>
      <c r="M1121" t="n">
        <v>0</v>
      </c>
      <c r="N1121" t="n">
        <v>0</v>
      </c>
      <c r="O1121" t="n">
        <v>0</v>
      </c>
      <c r="P1121" t="n">
        <v>0</v>
      </c>
      <c r="Q1121" t="n">
        <v>0</v>
      </c>
      <c r="R1121" s="2" t="inlineStr"/>
    </row>
    <row r="1122" ht="15" customHeight="1">
      <c r="A1122" t="inlineStr">
        <is>
          <t>A 4094-2020</t>
        </is>
      </c>
      <c r="B1122" s="1" t="n">
        <v>43857</v>
      </c>
      <c r="C1122" s="1" t="n">
        <v>45186</v>
      </c>
      <c r="D1122" t="inlineStr">
        <is>
          <t>STOCKHOLMS LÄN</t>
        </is>
      </c>
      <c r="E1122" t="inlineStr">
        <is>
          <t>NORRTÄLJE</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4300-2020</t>
        </is>
      </c>
      <c r="B1123" s="1" t="n">
        <v>43857</v>
      </c>
      <c r="C1123" s="1" t="n">
        <v>45186</v>
      </c>
      <c r="D1123" t="inlineStr">
        <is>
          <t>STOCKHOLMS LÄN</t>
        </is>
      </c>
      <c r="E1123" t="inlineStr">
        <is>
          <t>HANINGE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4353-2020</t>
        </is>
      </c>
      <c r="B1124" s="1" t="n">
        <v>43857</v>
      </c>
      <c r="C1124" s="1" t="n">
        <v>45186</v>
      </c>
      <c r="D1124" t="inlineStr">
        <is>
          <t>STOCKHOLMS LÄN</t>
        </is>
      </c>
      <c r="E1124" t="inlineStr">
        <is>
          <t>EKERÖ</t>
        </is>
      </c>
      <c r="G1124" t="n">
        <v>6.3</v>
      </c>
      <c r="H1124" t="n">
        <v>0</v>
      </c>
      <c r="I1124" t="n">
        <v>0</v>
      </c>
      <c r="J1124" t="n">
        <v>0</v>
      </c>
      <c r="K1124" t="n">
        <v>0</v>
      </c>
      <c r="L1124" t="n">
        <v>0</v>
      </c>
      <c r="M1124" t="n">
        <v>0</v>
      </c>
      <c r="N1124" t="n">
        <v>0</v>
      </c>
      <c r="O1124" t="n">
        <v>0</v>
      </c>
      <c r="P1124" t="n">
        <v>0</v>
      </c>
      <c r="Q1124" t="n">
        <v>0</v>
      </c>
      <c r="R1124" s="2" t="inlineStr"/>
    </row>
    <row r="1125" ht="15" customHeight="1">
      <c r="A1125" t="inlineStr">
        <is>
          <t>A 4115-2020</t>
        </is>
      </c>
      <c r="B1125" s="1" t="n">
        <v>43857</v>
      </c>
      <c r="C1125" s="1" t="n">
        <v>45186</v>
      </c>
      <c r="D1125" t="inlineStr">
        <is>
          <t>STOCKHOLMS LÄN</t>
        </is>
      </c>
      <c r="E1125" t="inlineStr">
        <is>
          <t>VALLENTUNA</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4431-2020</t>
        </is>
      </c>
      <c r="B1126" s="1" t="n">
        <v>43858</v>
      </c>
      <c r="C1126" s="1" t="n">
        <v>45186</v>
      </c>
      <c r="D1126" t="inlineStr">
        <is>
          <t>STOCKHOLMS LÄN</t>
        </is>
      </c>
      <c r="E1126" t="inlineStr">
        <is>
          <t>HANINGE</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4444-2020</t>
        </is>
      </c>
      <c r="B1127" s="1" t="n">
        <v>43858</v>
      </c>
      <c r="C1127" s="1" t="n">
        <v>45186</v>
      </c>
      <c r="D1127" t="inlineStr">
        <is>
          <t>STOCKHOLMS LÄN</t>
        </is>
      </c>
      <c r="E1127" t="inlineStr">
        <is>
          <t>HANINGE</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4950-2020</t>
        </is>
      </c>
      <c r="B1128" s="1" t="n">
        <v>43859</v>
      </c>
      <c r="C1128" s="1" t="n">
        <v>45186</v>
      </c>
      <c r="D1128" t="inlineStr">
        <is>
          <t>STOCKHOLMS LÄN</t>
        </is>
      </c>
      <c r="E1128" t="inlineStr">
        <is>
          <t>NORRTÄLJE</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4952-2020</t>
        </is>
      </c>
      <c r="B1129" s="1" t="n">
        <v>43859</v>
      </c>
      <c r="C1129" s="1" t="n">
        <v>45186</v>
      </c>
      <c r="D1129" t="inlineStr">
        <is>
          <t>STOCKHOLMS LÄN</t>
        </is>
      </c>
      <c r="E1129" t="inlineStr">
        <is>
          <t>NORRTÄLJE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5084-2020</t>
        </is>
      </c>
      <c r="B1130" s="1" t="n">
        <v>43859</v>
      </c>
      <c r="C1130" s="1" t="n">
        <v>45186</v>
      </c>
      <c r="D1130" t="inlineStr">
        <is>
          <t>STOCKHOLMS LÄN</t>
        </is>
      </c>
      <c r="E1130" t="inlineStr">
        <is>
          <t>NORRTÄLJE</t>
        </is>
      </c>
      <c r="G1130" t="n">
        <v>8.199999999999999</v>
      </c>
      <c r="H1130" t="n">
        <v>0</v>
      </c>
      <c r="I1130" t="n">
        <v>0</v>
      </c>
      <c r="J1130" t="n">
        <v>0</v>
      </c>
      <c r="K1130" t="n">
        <v>0</v>
      </c>
      <c r="L1130" t="n">
        <v>0</v>
      </c>
      <c r="M1130" t="n">
        <v>0</v>
      </c>
      <c r="N1130" t="n">
        <v>0</v>
      </c>
      <c r="O1130" t="n">
        <v>0</v>
      </c>
      <c r="P1130" t="n">
        <v>0</v>
      </c>
      <c r="Q1130" t="n">
        <v>0</v>
      </c>
      <c r="R1130" s="2" t="inlineStr"/>
    </row>
    <row r="1131" ht="15" customHeight="1">
      <c r="A1131" t="inlineStr">
        <is>
          <t>A 5406-2020</t>
        </is>
      </c>
      <c r="B1131" s="1" t="n">
        <v>43860</v>
      </c>
      <c r="C1131" s="1" t="n">
        <v>45186</v>
      </c>
      <c r="D1131" t="inlineStr">
        <is>
          <t>STOCKHOLMS LÄN</t>
        </is>
      </c>
      <c r="E1131" t="inlineStr">
        <is>
          <t>NYNÄSHAMN</t>
        </is>
      </c>
      <c r="F1131" t="inlineStr">
        <is>
          <t>Kommuner</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5735-2020</t>
        </is>
      </c>
      <c r="B1132" s="1" t="n">
        <v>43863</v>
      </c>
      <c r="C1132" s="1" t="n">
        <v>45186</v>
      </c>
      <c r="D1132" t="inlineStr">
        <is>
          <t>STOCKHOLMS LÄN</t>
        </is>
      </c>
      <c r="E1132" t="inlineStr">
        <is>
          <t>NORRTÄLJE</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5733-2020</t>
        </is>
      </c>
      <c r="B1133" s="1" t="n">
        <v>43863</v>
      </c>
      <c r="C1133" s="1" t="n">
        <v>45186</v>
      </c>
      <c r="D1133" t="inlineStr">
        <is>
          <t>STOCKHOLMS LÄN</t>
        </is>
      </c>
      <c r="E1133" t="inlineStr">
        <is>
          <t>NORRTÄLJE</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5739-2020</t>
        </is>
      </c>
      <c r="B1134" s="1" t="n">
        <v>43863</v>
      </c>
      <c r="C1134" s="1" t="n">
        <v>45186</v>
      </c>
      <c r="D1134" t="inlineStr">
        <is>
          <t>STOCKHOLMS LÄN</t>
        </is>
      </c>
      <c r="E1134" t="inlineStr">
        <is>
          <t>NORRTÄLJE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5953-2020</t>
        </is>
      </c>
      <c r="B1135" s="1" t="n">
        <v>43864</v>
      </c>
      <c r="C1135" s="1" t="n">
        <v>45186</v>
      </c>
      <c r="D1135" t="inlineStr">
        <is>
          <t>STOCKHOLMS LÄN</t>
        </is>
      </c>
      <c r="E1135" t="inlineStr">
        <is>
          <t>BOTKYRKA</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5929-2020</t>
        </is>
      </c>
      <c r="B1136" s="1" t="n">
        <v>43864</v>
      </c>
      <c r="C1136" s="1" t="n">
        <v>45186</v>
      </c>
      <c r="D1136" t="inlineStr">
        <is>
          <t>STOCKHOLMS LÄN</t>
        </is>
      </c>
      <c r="E1136" t="inlineStr">
        <is>
          <t>ÖSTERÅKER</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6219-2020</t>
        </is>
      </c>
      <c r="B1137" s="1" t="n">
        <v>43865</v>
      </c>
      <c r="C1137" s="1" t="n">
        <v>45186</v>
      </c>
      <c r="D1137" t="inlineStr">
        <is>
          <t>STOCKHOLMS LÄN</t>
        </is>
      </c>
      <c r="E1137" t="inlineStr">
        <is>
          <t>NYNÄSHAMN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6357-2020</t>
        </is>
      </c>
      <c r="B1138" s="1" t="n">
        <v>43866</v>
      </c>
      <c r="C1138" s="1" t="n">
        <v>45186</v>
      </c>
      <c r="D1138" t="inlineStr">
        <is>
          <t>STOCKHOLMS LÄN</t>
        </is>
      </c>
      <c r="E1138" t="inlineStr">
        <is>
          <t>UPPLANDS-BRO</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6370-2020</t>
        </is>
      </c>
      <c r="B1139" s="1" t="n">
        <v>43866</v>
      </c>
      <c r="C1139" s="1" t="n">
        <v>45186</v>
      </c>
      <c r="D1139" t="inlineStr">
        <is>
          <t>STOCKHOLMS LÄN</t>
        </is>
      </c>
      <c r="E1139" t="inlineStr">
        <is>
          <t>UPPLANDS-BRO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6707-2020</t>
        </is>
      </c>
      <c r="B1140" s="1" t="n">
        <v>43867</v>
      </c>
      <c r="C1140" s="1" t="n">
        <v>45186</v>
      </c>
      <c r="D1140" t="inlineStr">
        <is>
          <t>STOCKHOLMS LÄN</t>
        </is>
      </c>
      <c r="E1140" t="inlineStr">
        <is>
          <t>SÖDERTÄLJE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7151-2020</t>
        </is>
      </c>
      <c r="B1141" s="1" t="n">
        <v>43869</v>
      </c>
      <c r="C1141" s="1" t="n">
        <v>45186</v>
      </c>
      <c r="D1141" t="inlineStr">
        <is>
          <t>STOCKHOLMS LÄN</t>
        </is>
      </c>
      <c r="E1141" t="inlineStr">
        <is>
          <t>NYNÄSHAMN</t>
        </is>
      </c>
      <c r="F1141" t="inlineStr">
        <is>
          <t>Kommuner</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7150-2020</t>
        </is>
      </c>
      <c r="B1142" s="1" t="n">
        <v>43869</v>
      </c>
      <c r="C1142" s="1" t="n">
        <v>45186</v>
      </c>
      <c r="D1142" t="inlineStr">
        <is>
          <t>STOCKHOLMS LÄN</t>
        </is>
      </c>
      <c r="E1142" t="inlineStr">
        <is>
          <t>NYNÄSHAMN</t>
        </is>
      </c>
      <c r="F1142" t="inlineStr">
        <is>
          <t>Kommuner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7484-2020</t>
        </is>
      </c>
      <c r="B1143" s="1" t="n">
        <v>43871</v>
      </c>
      <c r="C1143" s="1" t="n">
        <v>45186</v>
      </c>
      <c r="D1143" t="inlineStr">
        <is>
          <t>STOCKHOLMS LÄN</t>
        </is>
      </c>
      <c r="E1143" t="inlineStr">
        <is>
          <t>VALLENTUNA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7471-2020</t>
        </is>
      </c>
      <c r="B1144" s="1" t="n">
        <v>43871</v>
      </c>
      <c r="C1144" s="1" t="n">
        <v>45186</v>
      </c>
      <c r="D1144" t="inlineStr">
        <is>
          <t>STOCKHOLMS LÄN</t>
        </is>
      </c>
      <c r="E1144" t="inlineStr">
        <is>
          <t>NORRTÄLJE</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7354-2020</t>
        </is>
      </c>
      <c r="B1145" s="1" t="n">
        <v>43871</v>
      </c>
      <c r="C1145" s="1" t="n">
        <v>45186</v>
      </c>
      <c r="D1145" t="inlineStr">
        <is>
          <t>STOCKHOLMS LÄN</t>
        </is>
      </c>
      <c r="E1145" t="inlineStr">
        <is>
          <t>VALLENTUNA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7479-2020</t>
        </is>
      </c>
      <c r="B1146" s="1" t="n">
        <v>43871</v>
      </c>
      <c r="C1146" s="1" t="n">
        <v>45186</v>
      </c>
      <c r="D1146" t="inlineStr">
        <is>
          <t>STOCKHOLMS LÄN</t>
        </is>
      </c>
      <c r="E1146" t="inlineStr">
        <is>
          <t>VALLENTUNA</t>
        </is>
      </c>
      <c r="G1146" t="n">
        <v>7.4</v>
      </c>
      <c r="H1146" t="n">
        <v>0</v>
      </c>
      <c r="I1146" t="n">
        <v>0</v>
      </c>
      <c r="J1146" t="n">
        <v>0</v>
      </c>
      <c r="K1146" t="n">
        <v>0</v>
      </c>
      <c r="L1146" t="n">
        <v>0</v>
      </c>
      <c r="M1146" t="n">
        <v>0</v>
      </c>
      <c r="N1146" t="n">
        <v>0</v>
      </c>
      <c r="O1146" t="n">
        <v>0</v>
      </c>
      <c r="P1146" t="n">
        <v>0</v>
      </c>
      <c r="Q1146" t="n">
        <v>0</v>
      </c>
      <c r="R1146" s="2" t="inlineStr"/>
    </row>
    <row r="1147" ht="15" customHeight="1">
      <c r="A1147" t="inlineStr">
        <is>
          <t>A 7486-2020</t>
        </is>
      </c>
      <c r="B1147" s="1" t="n">
        <v>43871</v>
      </c>
      <c r="C1147" s="1" t="n">
        <v>45186</v>
      </c>
      <c r="D1147" t="inlineStr">
        <is>
          <t>STOCKHOLMS LÄN</t>
        </is>
      </c>
      <c r="E1147" t="inlineStr">
        <is>
          <t>VALLENTUNA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7820-2020</t>
        </is>
      </c>
      <c r="B1148" s="1" t="n">
        <v>43873</v>
      </c>
      <c r="C1148" s="1" t="n">
        <v>45186</v>
      </c>
      <c r="D1148" t="inlineStr">
        <is>
          <t>STOCKHOLMS LÄN</t>
        </is>
      </c>
      <c r="E1148" t="inlineStr">
        <is>
          <t>SALEM</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7812-2020</t>
        </is>
      </c>
      <c r="B1149" s="1" t="n">
        <v>43873</v>
      </c>
      <c r="C1149" s="1" t="n">
        <v>45186</v>
      </c>
      <c r="D1149" t="inlineStr">
        <is>
          <t>STOCKHOLMS LÄN</t>
        </is>
      </c>
      <c r="E1149" t="inlineStr">
        <is>
          <t>SALEM</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7923-2020</t>
        </is>
      </c>
      <c r="B1150" s="1" t="n">
        <v>43873</v>
      </c>
      <c r="C1150" s="1" t="n">
        <v>45186</v>
      </c>
      <c r="D1150" t="inlineStr">
        <is>
          <t>STOCKHOLMS LÄN</t>
        </is>
      </c>
      <c r="E1150" t="inlineStr">
        <is>
          <t>NYNÄSHAMN</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8366-2020</t>
        </is>
      </c>
      <c r="B1151" s="1" t="n">
        <v>43875</v>
      </c>
      <c r="C1151" s="1" t="n">
        <v>45186</v>
      </c>
      <c r="D1151" t="inlineStr">
        <is>
          <t>STOCKHOLMS LÄN</t>
        </is>
      </c>
      <c r="E1151" t="inlineStr">
        <is>
          <t>SÖDERTÄLJE</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9109-2020</t>
        </is>
      </c>
      <c r="B1152" s="1" t="n">
        <v>43879</v>
      </c>
      <c r="C1152" s="1" t="n">
        <v>45186</v>
      </c>
      <c r="D1152" t="inlineStr">
        <is>
          <t>STOCKHOLMS LÄN</t>
        </is>
      </c>
      <c r="E1152" t="inlineStr">
        <is>
          <t>SALEM</t>
        </is>
      </c>
      <c r="F1152" t="inlineStr">
        <is>
          <t>Kommuner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9116-2020</t>
        </is>
      </c>
      <c r="B1153" s="1" t="n">
        <v>43879</v>
      </c>
      <c r="C1153" s="1" t="n">
        <v>45186</v>
      </c>
      <c r="D1153" t="inlineStr">
        <is>
          <t>STOCKHOLMS LÄN</t>
        </is>
      </c>
      <c r="E1153" t="inlineStr">
        <is>
          <t>SALEM</t>
        </is>
      </c>
      <c r="F1153" t="inlineStr">
        <is>
          <t>Kommuner</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9845-2020</t>
        </is>
      </c>
      <c r="B1154" s="1" t="n">
        <v>43881</v>
      </c>
      <c r="C1154" s="1" t="n">
        <v>45186</v>
      </c>
      <c r="D1154" t="inlineStr">
        <is>
          <t>STOCKHOLMS LÄN</t>
        </is>
      </c>
      <c r="E1154" t="inlineStr">
        <is>
          <t>NORRTÄLJE</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10007-2020</t>
        </is>
      </c>
      <c r="B1155" s="1" t="n">
        <v>43882</v>
      </c>
      <c r="C1155" s="1" t="n">
        <v>45186</v>
      </c>
      <c r="D1155" t="inlineStr">
        <is>
          <t>STOCKHOLMS LÄN</t>
        </is>
      </c>
      <c r="E1155" t="inlineStr">
        <is>
          <t>NYNÄSHAMN</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10395-2020</t>
        </is>
      </c>
      <c r="B1156" s="1" t="n">
        <v>43885</v>
      </c>
      <c r="C1156" s="1" t="n">
        <v>45186</v>
      </c>
      <c r="D1156" t="inlineStr">
        <is>
          <t>STOCKHOLMS LÄN</t>
        </is>
      </c>
      <c r="E1156" t="inlineStr">
        <is>
          <t>EKERÖ</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10244-2020</t>
        </is>
      </c>
      <c r="B1157" s="1" t="n">
        <v>43885</v>
      </c>
      <c r="C1157" s="1" t="n">
        <v>45186</v>
      </c>
      <c r="D1157" t="inlineStr">
        <is>
          <t>STOCKHOLMS LÄN</t>
        </is>
      </c>
      <c r="E1157" t="inlineStr">
        <is>
          <t>SIGTUNA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10396-2020</t>
        </is>
      </c>
      <c r="B1158" s="1" t="n">
        <v>43885</v>
      </c>
      <c r="C1158" s="1" t="n">
        <v>45186</v>
      </c>
      <c r="D1158" t="inlineStr">
        <is>
          <t>STOCKHOLMS LÄN</t>
        </is>
      </c>
      <c r="E1158" t="inlineStr">
        <is>
          <t>NYNÄSHAMN</t>
        </is>
      </c>
      <c r="G1158" t="n">
        <v>5.2</v>
      </c>
      <c r="H1158" t="n">
        <v>0</v>
      </c>
      <c r="I1158" t="n">
        <v>0</v>
      </c>
      <c r="J1158" t="n">
        <v>0</v>
      </c>
      <c r="K1158" t="n">
        <v>0</v>
      </c>
      <c r="L1158" t="n">
        <v>0</v>
      </c>
      <c r="M1158" t="n">
        <v>0</v>
      </c>
      <c r="N1158" t="n">
        <v>0</v>
      </c>
      <c r="O1158" t="n">
        <v>0</v>
      </c>
      <c r="P1158" t="n">
        <v>0</v>
      </c>
      <c r="Q1158" t="n">
        <v>0</v>
      </c>
      <c r="R1158" s="2" t="inlineStr"/>
    </row>
    <row r="1159" ht="15" customHeight="1">
      <c r="A1159" t="inlineStr">
        <is>
          <t>A 10551-2020</t>
        </is>
      </c>
      <c r="B1159" s="1" t="n">
        <v>43887</v>
      </c>
      <c r="C1159" s="1" t="n">
        <v>45186</v>
      </c>
      <c r="D1159" t="inlineStr">
        <is>
          <t>STOCKHOLMS LÄN</t>
        </is>
      </c>
      <c r="E1159" t="inlineStr">
        <is>
          <t>SÖDERTÄLJE</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10618-2020</t>
        </is>
      </c>
      <c r="B1160" s="1" t="n">
        <v>43887</v>
      </c>
      <c r="C1160" s="1" t="n">
        <v>45186</v>
      </c>
      <c r="D1160" t="inlineStr">
        <is>
          <t>STOCKHOLMS LÄN</t>
        </is>
      </c>
      <c r="E1160" t="inlineStr">
        <is>
          <t>NORRTÄLJE</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10744-2020</t>
        </is>
      </c>
      <c r="B1161" s="1" t="n">
        <v>43888</v>
      </c>
      <c r="C1161" s="1" t="n">
        <v>45186</v>
      </c>
      <c r="D1161" t="inlineStr">
        <is>
          <t>STOCKHOLMS LÄN</t>
        </is>
      </c>
      <c r="E1161" t="inlineStr">
        <is>
          <t>SIGTUNA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10764-2020</t>
        </is>
      </c>
      <c r="B1162" s="1" t="n">
        <v>43888</v>
      </c>
      <c r="C1162" s="1" t="n">
        <v>45186</v>
      </c>
      <c r="D1162" t="inlineStr">
        <is>
          <t>STOCKHOLMS LÄN</t>
        </is>
      </c>
      <c r="E1162" t="inlineStr">
        <is>
          <t>ÖSTERÅKER</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10790-2020</t>
        </is>
      </c>
      <c r="B1163" s="1" t="n">
        <v>43888</v>
      </c>
      <c r="C1163" s="1" t="n">
        <v>45186</v>
      </c>
      <c r="D1163" t="inlineStr">
        <is>
          <t>STOCKHOLMS LÄN</t>
        </is>
      </c>
      <c r="E1163" t="inlineStr">
        <is>
          <t>BOTKYRKA</t>
        </is>
      </c>
      <c r="G1163" t="n">
        <v>4.3</v>
      </c>
      <c r="H1163" t="n">
        <v>0</v>
      </c>
      <c r="I1163" t="n">
        <v>0</v>
      </c>
      <c r="J1163" t="n">
        <v>0</v>
      </c>
      <c r="K1163" t="n">
        <v>0</v>
      </c>
      <c r="L1163" t="n">
        <v>0</v>
      </c>
      <c r="M1163" t="n">
        <v>0</v>
      </c>
      <c r="N1163" t="n">
        <v>0</v>
      </c>
      <c r="O1163" t="n">
        <v>0</v>
      </c>
      <c r="P1163" t="n">
        <v>0</v>
      </c>
      <c r="Q1163" t="n">
        <v>0</v>
      </c>
      <c r="R1163" s="2" t="inlineStr"/>
    </row>
    <row r="1164" ht="15" customHeight="1">
      <c r="A1164" t="inlineStr">
        <is>
          <t>A 10738-2020</t>
        </is>
      </c>
      <c r="B1164" s="1" t="n">
        <v>43888</v>
      </c>
      <c r="C1164" s="1" t="n">
        <v>45186</v>
      </c>
      <c r="D1164" t="inlineStr">
        <is>
          <t>STOCKHOLMS LÄN</t>
        </is>
      </c>
      <c r="E1164" t="inlineStr">
        <is>
          <t>SIGTUNA</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10807-2020</t>
        </is>
      </c>
      <c r="B1165" s="1" t="n">
        <v>43888</v>
      </c>
      <c r="C1165" s="1" t="n">
        <v>45186</v>
      </c>
      <c r="D1165" t="inlineStr">
        <is>
          <t>STOCKHOLMS LÄN</t>
        </is>
      </c>
      <c r="E1165" t="inlineStr">
        <is>
          <t>BOTKYRKA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17546-2020</t>
        </is>
      </c>
      <c r="B1166" s="1" t="n">
        <v>43892</v>
      </c>
      <c r="C1166" s="1" t="n">
        <v>45186</v>
      </c>
      <c r="D1166" t="inlineStr">
        <is>
          <t>STOCKHOLMS LÄN</t>
        </is>
      </c>
      <c r="E1166" t="inlineStr">
        <is>
          <t>EKERÖ</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17552-2020</t>
        </is>
      </c>
      <c r="B1167" s="1" t="n">
        <v>43892</v>
      </c>
      <c r="C1167" s="1" t="n">
        <v>45186</v>
      </c>
      <c r="D1167" t="inlineStr">
        <is>
          <t>STOCKHOLMS LÄN</t>
        </is>
      </c>
      <c r="E1167" t="inlineStr">
        <is>
          <t>EKERÖ</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11184-2020</t>
        </is>
      </c>
      <c r="B1168" s="1" t="n">
        <v>43892</v>
      </c>
      <c r="C1168" s="1" t="n">
        <v>45186</v>
      </c>
      <c r="D1168" t="inlineStr">
        <is>
          <t>STOCKHOLMS LÄN</t>
        </is>
      </c>
      <c r="E1168" t="inlineStr">
        <is>
          <t>NORRTÄLJE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11576-2020</t>
        </is>
      </c>
      <c r="B1169" s="1" t="n">
        <v>43893</v>
      </c>
      <c r="C1169" s="1" t="n">
        <v>45186</v>
      </c>
      <c r="D1169" t="inlineStr">
        <is>
          <t>STOCKHOLMS LÄN</t>
        </is>
      </c>
      <c r="E1169" t="inlineStr">
        <is>
          <t>NORRTÄLJE</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12113-2020</t>
        </is>
      </c>
      <c r="B1170" s="1" t="n">
        <v>43895</v>
      </c>
      <c r="C1170" s="1" t="n">
        <v>45186</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12321-2020</t>
        </is>
      </c>
      <c r="B1171" s="1" t="n">
        <v>43895</v>
      </c>
      <c r="C1171" s="1" t="n">
        <v>45186</v>
      </c>
      <c r="D1171" t="inlineStr">
        <is>
          <t>STOCKHOLMS LÄN</t>
        </is>
      </c>
      <c r="E1171" t="inlineStr">
        <is>
          <t>BOTKYRKA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12320-2020</t>
        </is>
      </c>
      <c r="B1172" s="1" t="n">
        <v>43895</v>
      </c>
      <c r="C1172" s="1" t="n">
        <v>45186</v>
      </c>
      <c r="D1172" t="inlineStr">
        <is>
          <t>STOCKHOLMS LÄN</t>
        </is>
      </c>
      <c r="E1172" t="inlineStr">
        <is>
          <t>BOTKYRKA</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12355-2020</t>
        </is>
      </c>
      <c r="B1173" s="1" t="n">
        <v>43896</v>
      </c>
      <c r="C1173" s="1" t="n">
        <v>45186</v>
      </c>
      <c r="D1173" t="inlineStr">
        <is>
          <t>STOCKHOLMS LÄN</t>
        </is>
      </c>
      <c r="E1173" t="inlineStr">
        <is>
          <t>HANINGE</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12620-2020</t>
        </is>
      </c>
      <c r="B1174" s="1" t="n">
        <v>43899</v>
      </c>
      <c r="C1174" s="1" t="n">
        <v>45186</v>
      </c>
      <c r="D1174" t="inlineStr">
        <is>
          <t>STOCKHOLMS LÄN</t>
        </is>
      </c>
      <c r="E1174" t="inlineStr">
        <is>
          <t>HANINGE</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12571-2020</t>
        </is>
      </c>
      <c r="B1175" s="1" t="n">
        <v>43899</v>
      </c>
      <c r="C1175" s="1" t="n">
        <v>45186</v>
      </c>
      <c r="D1175" t="inlineStr">
        <is>
          <t>STOCKHOLMS LÄN</t>
        </is>
      </c>
      <c r="E1175" t="inlineStr">
        <is>
          <t>NYNÄSHAMN</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12843-2020</t>
        </is>
      </c>
      <c r="B1176" s="1" t="n">
        <v>43899</v>
      </c>
      <c r="C1176" s="1" t="n">
        <v>45186</v>
      </c>
      <c r="D1176" t="inlineStr">
        <is>
          <t>STOCKHOLMS LÄN</t>
        </is>
      </c>
      <c r="E1176" t="inlineStr">
        <is>
          <t>NORRTÄLJE</t>
        </is>
      </c>
      <c r="G1176" t="n">
        <v>7.5</v>
      </c>
      <c r="H1176" t="n">
        <v>0</v>
      </c>
      <c r="I1176" t="n">
        <v>0</v>
      </c>
      <c r="J1176" t="n">
        <v>0</v>
      </c>
      <c r="K1176" t="n">
        <v>0</v>
      </c>
      <c r="L1176" t="n">
        <v>0</v>
      </c>
      <c r="M1176" t="n">
        <v>0</v>
      </c>
      <c r="N1176" t="n">
        <v>0</v>
      </c>
      <c r="O1176" t="n">
        <v>0</v>
      </c>
      <c r="P1176" t="n">
        <v>0</v>
      </c>
      <c r="Q1176" t="n">
        <v>0</v>
      </c>
      <c r="R1176" s="2" t="inlineStr"/>
    </row>
    <row r="1177" ht="15" customHeight="1">
      <c r="A1177" t="inlineStr">
        <is>
          <t>A 12984-2020</t>
        </is>
      </c>
      <c r="B1177" s="1" t="n">
        <v>43900</v>
      </c>
      <c r="C1177" s="1" t="n">
        <v>45186</v>
      </c>
      <c r="D1177" t="inlineStr">
        <is>
          <t>STOCKHOLMS LÄN</t>
        </is>
      </c>
      <c r="E1177" t="inlineStr">
        <is>
          <t>UPPLANDS VÄSBY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12970-2020</t>
        </is>
      </c>
      <c r="B1178" s="1" t="n">
        <v>43900</v>
      </c>
      <c r="C1178" s="1" t="n">
        <v>45186</v>
      </c>
      <c r="D1178" t="inlineStr">
        <is>
          <t>STOCKHOLMS LÄN</t>
        </is>
      </c>
      <c r="E1178" t="inlineStr">
        <is>
          <t>NORRTÄLJE</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12988-2020</t>
        </is>
      </c>
      <c r="B1179" s="1" t="n">
        <v>43900</v>
      </c>
      <c r="C1179" s="1" t="n">
        <v>45186</v>
      </c>
      <c r="D1179" t="inlineStr">
        <is>
          <t>STOCKHOLMS LÄN</t>
        </is>
      </c>
      <c r="E1179" t="inlineStr">
        <is>
          <t>BOTKYRKA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12987-2020</t>
        </is>
      </c>
      <c r="B1180" s="1" t="n">
        <v>43900</v>
      </c>
      <c r="C1180" s="1" t="n">
        <v>45186</v>
      </c>
      <c r="D1180" t="inlineStr">
        <is>
          <t>STOCKHOLMS LÄN</t>
        </is>
      </c>
      <c r="E1180" t="inlineStr">
        <is>
          <t>UPPLANDS VÄSBY</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13230-2020</t>
        </is>
      </c>
      <c r="B1181" s="1" t="n">
        <v>43901</v>
      </c>
      <c r="C1181" s="1" t="n">
        <v>45186</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13281-2020</t>
        </is>
      </c>
      <c r="B1182" s="1" t="n">
        <v>43901</v>
      </c>
      <c r="C1182" s="1" t="n">
        <v>45186</v>
      </c>
      <c r="D1182" t="inlineStr">
        <is>
          <t>STOCKHOLMS LÄN</t>
        </is>
      </c>
      <c r="E1182" t="inlineStr">
        <is>
          <t>NORRTÄLJE</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13287-2020</t>
        </is>
      </c>
      <c r="B1183" s="1" t="n">
        <v>43901</v>
      </c>
      <c r="C1183" s="1" t="n">
        <v>45186</v>
      </c>
      <c r="D1183" t="inlineStr">
        <is>
          <t>STOCKHOLMS LÄN</t>
        </is>
      </c>
      <c r="E1183" t="inlineStr">
        <is>
          <t>NORRTÄLJE</t>
        </is>
      </c>
      <c r="F1183" t="inlineStr">
        <is>
          <t>Kommuner</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13501-2020</t>
        </is>
      </c>
      <c r="B1184" s="1" t="n">
        <v>43902</v>
      </c>
      <c r="C1184" s="1" t="n">
        <v>45186</v>
      </c>
      <c r="D1184" t="inlineStr">
        <is>
          <t>STOCKHOLMS LÄN</t>
        </is>
      </c>
      <c r="E1184" t="inlineStr">
        <is>
          <t>NORRTÄLJE</t>
        </is>
      </c>
      <c r="G1184" t="n">
        <v>8.800000000000001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13506-2020</t>
        </is>
      </c>
      <c r="B1185" s="1" t="n">
        <v>43902</v>
      </c>
      <c r="C1185" s="1" t="n">
        <v>45186</v>
      </c>
      <c r="D1185" t="inlineStr">
        <is>
          <t>STOCKHOLMS LÄN</t>
        </is>
      </c>
      <c r="E1185" t="inlineStr">
        <is>
          <t>NORRTÄLJE</t>
        </is>
      </c>
      <c r="G1185" t="n">
        <v>5.7</v>
      </c>
      <c r="H1185" t="n">
        <v>0</v>
      </c>
      <c r="I1185" t="n">
        <v>0</v>
      </c>
      <c r="J1185" t="n">
        <v>0</v>
      </c>
      <c r="K1185" t="n">
        <v>0</v>
      </c>
      <c r="L1185" t="n">
        <v>0</v>
      </c>
      <c r="M1185" t="n">
        <v>0</v>
      </c>
      <c r="N1185" t="n">
        <v>0</v>
      </c>
      <c r="O1185" t="n">
        <v>0</v>
      </c>
      <c r="P1185" t="n">
        <v>0</v>
      </c>
      <c r="Q1185" t="n">
        <v>0</v>
      </c>
      <c r="R1185" s="2" t="inlineStr"/>
    </row>
    <row r="1186" ht="15" customHeight="1">
      <c r="A1186" t="inlineStr">
        <is>
          <t>A 14637-2020</t>
        </is>
      </c>
      <c r="B1186" s="1" t="n">
        <v>43902</v>
      </c>
      <c r="C1186" s="1" t="n">
        <v>45186</v>
      </c>
      <c r="D1186" t="inlineStr">
        <is>
          <t>STOCKHOLMS LÄN</t>
        </is>
      </c>
      <c r="E1186" t="inlineStr">
        <is>
          <t>VALLENTUNA</t>
        </is>
      </c>
      <c r="G1186" t="n">
        <v>5.4</v>
      </c>
      <c r="H1186" t="n">
        <v>0</v>
      </c>
      <c r="I1186" t="n">
        <v>0</v>
      </c>
      <c r="J1186" t="n">
        <v>0</v>
      </c>
      <c r="K1186" t="n">
        <v>0</v>
      </c>
      <c r="L1186" t="n">
        <v>0</v>
      </c>
      <c r="M1186" t="n">
        <v>0</v>
      </c>
      <c r="N1186" t="n">
        <v>0</v>
      </c>
      <c r="O1186" t="n">
        <v>0</v>
      </c>
      <c r="P1186" t="n">
        <v>0</v>
      </c>
      <c r="Q1186" t="n">
        <v>0</v>
      </c>
      <c r="R1186" s="2" t="inlineStr"/>
    </row>
    <row r="1187" ht="15" customHeight="1">
      <c r="A1187" t="inlineStr">
        <is>
          <t>A 13679-2020</t>
        </is>
      </c>
      <c r="B1187" s="1" t="n">
        <v>43903</v>
      </c>
      <c r="C1187" s="1" t="n">
        <v>45186</v>
      </c>
      <c r="D1187" t="inlineStr">
        <is>
          <t>STOCKHOLMS LÄN</t>
        </is>
      </c>
      <c r="E1187" t="inlineStr">
        <is>
          <t>NYNÄSHAMN</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13676-2020</t>
        </is>
      </c>
      <c r="B1188" s="1" t="n">
        <v>43903</v>
      </c>
      <c r="C1188" s="1" t="n">
        <v>45186</v>
      </c>
      <c r="D1188" t="inlineStr">
        <is>
          <t>STOCKHOLMS LÄN</t>
        </is>
      </c>
      <c r="E1188" t="inlineStr">
        <is>
          <t>NYNÄSHAMN</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14037-2020</t>
        </is>
      </c>
      <c r="B1189" s="1" t="n">
        <v>43906</v>
      </c>
      <c r="C1189" s="1" t="n">
        <v>45186</v>
      </c>
      <c r="D1189" t="inlineStr">
        <is>
          <t>STOCKHOLMS LÄN</t>
        </is>
      </c>
      <c r="E1189" t="inlineStr">
        <is>
          <t>HANINGE</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14512-2020</t>
        </is>
      </c>
      <c r="B1190" s="1" t="n">
        <v>43907</v>
      </c>
      <c r="C1190" s="1" t="n">
        <v>45186</v>
      </c>
      <c r="D1190" t="inlineStr">
        <is>
          <t>STOCKHOLMS LÄN</t>
        </is>
      </c>
      <c r="E1190" t="inlineStr">
        <is>
          <t>SIGTUNA</t>
        </is>
      </c>
      <c r="F1190" t="inlineStr">
        <is>
          <t>Övriga statliga verk och myndigheter</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14525-2020</t>
        </is>
      </c>
      <c r="B1191" s="1" t="n">
        <v>43908</v>
      </c>
      <c r="C1191" s="1" t="n">
        <v>45186</v>
      </c>
      <c r="D1191" t="inlineStr">
        <is>
          <t>STOCKHOLMS LÄN</t>
        </is>
      </c>
      <c r="E1191" t="inlineStr">
        <is>
          <t>NORRTÄLJE</t>
        </is>
      </c>
      <c r="G1191" t="n">
        <v>10.2</v>
      </c>
      <c r="H1191" t="n">
        <v>0</v>
      </c>
      <c r="I1191" t="n">
        <v>0</v>
      </c>
      <c r="J1191" t="n">
        <v>0</v>
      </c>
      <c r="K1191" t="n">
        <v>0</v>
      </c>
      <c r="L1191" t="n">
        <v>0</v>
      </c>
      <c r="M1191" t="n">
        <v>0</v>
      </c>
      <c r="N1191" t="n">
        <v>0</v>
      </c>
      <c r="O1191" t="n">
        <v>0</v>
      </c>
      <c r="P1191" t="n">
        <v>0</v>
      </c>
      <c r="Q1191" t="n">
        <v>0</v>
      </c>
      <c r="R1191" s="2" t="inlineStr"/>
    </row>
    <row r="1192" ht="15" customHeight="1">
      <c r="A1192" t="inlineStr">
        <is>
          <t>A 14565-2020</t>
        </is>
      </c>
      <c r="B1192" s="1" t="n">
        <v>43908</v>
      </c>
      <c r="C1192" s="1" t="n">
        <v>45186</v>
      </c>
      <c r="D1192" t="inlineStr">
        <is>
          <t>STOCKHOLMS LÄN</t>
        </is>
      </c>
      <c r="E1192" t="inlineStr">
        <is>
          <t>NORRTÄLJE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14831-2020</t>
        </is>
      </c>
      <c r="B1193" s="1" t="n">
        <v>43909</v>
      </c>
      <c r="C1193" s="1" t="n">
        <v>45186</v>
      </c>
      <c r="D1193" t="inlineStr">
        <is>
          <t>STOCKHOLMS LÄN</t>
        </is>
      </c>
      <c r="E1193" t="inlineStr">
        <is>
          <t>NORRTÄLJE</t>
        </is>
      </c>
      <c r="G1193" t="n">
        <v>11.4</v>
      </c>
      <c r="H1193" t="n">
        <v>0</v>
      </c>
      <c r="I1193" t="n">
        <v>0</v>
      </c>
      <c r="J1193" t="n">
        <v>0</v>
      </c>
      <c r="K1193" t="n">
        <v>0</v>
      </c>
      <c r="L1193" t="n">
        <v>0</v>
      </c>
      <c r="M1193" t="n">
        <v>0</v>
      </c>
      <c r="N1193" t="n">
        <v>0</v>
      </c>
      <c r="O1193" t="n">
        <v>0</v>
      </c>
      <c r="P1193" t="n">
        <v>0</v>
      </c>
      <c r="Q1193" t="n">
        <v>0</v>
      </c>
      <c r="R1193" s="2" t="inlineStr"/>
    </row>
    <row r="1194" ht="15" customHeight="1">
      <c r="A1194" t="inlineStr">
        <is>
          <t>A 15318-2020</t>
        </is>
      </c>
      <c r="B1194" s="1" t="n">
        <v>43913</v>
      </c>
      <c r="C1194" s="1" t="n">
        <v>45186</v>
      </c>
      <c r="D1194" t="inlineStr">
        <is>
          <t>STOCKHOLMS LÄN</t>
        </is>
      </c>
      <c r="E1194" t="inlineStr">
        <is>
          <t>HANINGE</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15663-2020</t>
        </is>
      </c>
      <c r="B1195" s="1" t="n">
        <v>43915</v>
      </c>
      <c r="C1195" s="1" t="n">
        <v>45186</v>
      </c>
      <c r="D1195" t="inlineStr">
        <is>
          <t>STOCKHOLMS LÄN</t>
        </is>
      </c>
      <c r="E1195" t="inlineStr">
        <is>
          <t>NORRTÄLJE</t>
        </is>
      </c>
      <c r="G1195" t="n">
        <v>11.1</v>
      </c>
      <c r="H1195" t="n">
        <v>0</v>
      </c>
      <c r="I1195" t="n">
        <v>0</v>
      </c>
      <c r="J1195" t="n">
        <v>0</v>
      </c>
      <c r="K1195" t="n">
        <v>0</v>
      </c>
      <c r="L1195" t="n">
        <v>0</v>
      </c>
      <c r="M1195" t="n">
        <v>0</v>
      </c>
      <c r="N1195" t="n">
        <v>0</v>
      </c>
      <c r="O1195" t="n">
        <v>0</v>
      </c>
      <c r="P1195" t="n">
        <v>0</v>
      </c>
      <c r="Q1195" t="n">
        <v>0</v>
      </c>
      <c r="R1195" s="2" t="inlineStr"/>
    </row>
    <row r="1196" ht="15" customHeight="1">
      <c r="A1196" t="inlineStr">
        <is>
          <t>A 15878-2020</t>
        </is>
      </c>
      <c r="B1196" s="1" t="n">
        <v>43915</v>
      </c>
      <c r="C1196" s="1" t="n">
        <v>45186</v>
      </c>
      <c r="D1196" t="inlineStr">
        <is>
          <t>STOCKHOLMS LÄN</t>
        </is>
      </c>
      <c r="E1196" t="inlineStr">
        <is>
          <t>NYKVARN</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15756-2020</t>
        </is>
      </c>
      <c r="B1197" s="1" t="n">
        <v>43915</v>
      </c>
      <c r="C1197" s="1" t="n">
        <v>45186</v>
      </c>
      <c r="D1197" t="inlineStr">
        <is>
          <t>STOCKHOLMS LÄN</t>
        </is>
      </c>
      <c r="E1197" t="inlineStr">
        <is>
          <t>EKERÖ</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16048-2020</t>
        </is>
      </c>
      <c r="B1198" s="1" t="n">
        <v>43916</v>
      </c>
      <c r="C1198" s="1" t="n">
        <v>45186</v>
      </c>
      <c r="D1198" t="inlineStr">
        <is>
          <t>STOCKHOLMS LÄN</t>
        </is>
      </c>
      <c r="E1198" t="inlineStr">
        <is>
          <t>BOTKYRKA</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16273-2020</t>
        </is>
      </c>
      <c r="B1199" s="1" t="n">
        <v>43917</v>
      </c>
      <c r="C1199" s="1" t="n">
        <v>45186</v>
      </c>
      <c r="D1199" t="inlineStr">
        <is>
          <t>STOCKHOLMS LÄN</t>
        </is>
      </c>
      <c r="E1199" t="inlineStr">
        <is>
          <t>NORRTÄLJE</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16917-2020</t>
        </is>
      </c>
      <c r="B1200" s="1" t="n">
        <v>43921</v>
      </c>
      <c r="C1200" s="1" t="n">
        <v>45186</v>
      </c>
      <c r="D1200" t="inlineStr">
        <is>
          <t>STOCKHOLMS LÄN</t>
        </is>
      </c>
      <c r="E1200" t="inlineStr">
        <is>
          <t>SALEM</t>
        </is>
      </c>
      <c r="G1200" t="n">
        <v>23.8</v>
      </c>
      <c r="H1200" t="n">
        <v>0</v>
      </c>
      <c r="I1200" t="n">
        <v>0</v>
      </c>
      <c r="J1200" t="n">
        <v>0</v>
      </c>
      <c r="K1200" t="n">
        <v>0</v>
      </c>
      <c r="L1200" t="n">
        <v>0</v>
      </c>
      <c r="M1200" t="n">
        <v>0</v>
      </c>
      <c r="N1200" t="n">
        <v>0</v>
      </c>
      <c r="O1200" t="n">
        <v>0</v>
      </c>
      <c r="P1200" t="n">
        <v>0</v>
      </c>
      <c r="Q1200" t="n">
        <v>0</v>
      </c>
      <c r="R1200" s="2" t="inlineStr"/>
    </row>
    <row r="1201" ht="15" customHeight="1">
      <c r="A1201" t="inlineStr">
        <is>
          <t>A 17911-2020</t>
        </is>
      </c>
      <c r="B1201" s="1" t="n">
        <v>43924</v>
      </c>
      <c r="C1201" s="1" t="n">
        <v>45186</v>
      </c>
      <c r="D1201" t="inlineStr">
        <is>
          <t>STOCKHOLMS LÄN</t>
        </is>
      </c>
      <c r="E1201" t="inlineStr">
        <is>
          <t>NYKVARN</t>
        </is>
      </c>
      <c r="F1201" t="inlineStr">
        <is>
          <t>Kommuner</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17926-2020</t>
        </is>
      </c>
      <c r="B1202" s="1" t="n">
        <v>43924</v>
      </c>
      <c r="C1202" s="1" t="n">
        <v>45186</v>
      </c>
      <c r="D1202" t="inlineStr">
        <is>
          <t>STOCKHOLMS LÄN</t>
        </is>
      </c>
      <c r="E1202" t="inlineStr">
        <is>
          <t>NYKVARN</t>
        </is>
      </c>
      <c r="F1202" t="inlineStr">
        <is>
          <t>Kommuner</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17965-2020</t>
        </is>
      </c>
      <c r="B1203" s="1" t="n">
        <v>43925</v>
      </c>
      <c r="C1203" s="1" t="n">
        <v>45186</v>
      </c>
      <c r="D1203" t="inlineStr">
        <is>
          <t>STOCKHOLMS LÄN</t>
        </is>
      </c>
      <c r="E1203" t="inlineStr">
        <is>
          <t>NORRTÄLJE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18821-2020</t>
        </is>
      </c>
      <c r="B1204" s="1" t="n">
        <v>43935</v>
      </c>
      <c r="C1204" s="1" t="n">
        <v>45186</v>
      </c>
      <c r="D1204" t="inlineStr">
        <is>
          <t>STOCKHOLMS LÄN</t>
        </is>
      </c>
      <c r="E1204" t="inlineStr">
        <is>
          <t>SALEM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19258-2020</t>
        </is>
      </c>
      <c r="B1205" s="1" t="n">
        <v>43937</v>
      </c>
      <c r="C1205" s="1" t="n">
        <v>45186</v>
      </c>
      <c r="D1205" t="inlineStr">
        <is>
          <t>STOCKHOLMS LÄN</t>
        </is>
      </c>
      <c r="E1205" t="inlineStr">
        <is>
          <t>NORRTÄLJE</t>
        </is>
      </c>
      <c r="F1205" t="inlineStr">
        <is>
          <t>Övriga statliga verk och myndigheter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19863-2020</t>
        </is>
      </c>
      <c r="B1206" s="1" t="n">
        <v>43942</v>
      </c>
      <c r="C1206" s="1" t="n">
        <v>45186</v>
      </c>
      <c r="D1206" t="inlineStr">
        <is>
          <t>STOCKHOLMS LÄN</t>
        </is>
      </c>
      <c r="E1206" t="inlineStr">
        <is>
          <t>VALLENTUNA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20257-2020</t>
        </is>
      </c>
      <c r="B1207" s="1" t="n">
        <v>43944</v>
      </c>
      <c r="C1207" s="1" t="n">
        <v>45186</v>
      </c>
      <c r="D1207" t="inlineStr">
        <is>
          <t>STOCKHOLMS LÄN</t>
        </is>
      </c>
      <c r="E1207" t="inlineStr">
        <is>
          <t>NORRTÄLJE</t>
        </is>
      </c>
      <c r="G1207" t="n">
        <v>80.09999999999999</v>
      </c>
      <c r="H1207" t="n">
        <v>0</v>
      </c>
      <c r="I1207" t="n">
        <v>0</v>
      </c>
      <c r="J1207" t="n">
        <v>0</v>
      </c>
      <c r="K1207" t="n">
        <v>0</v>
      </c>
      <c r="L1207" t="n">
        <v>0</v>
      </c>
      <c r="M1207" t="n">
        <v>0</v>
      </c>
      <c r="N1207" t="n">
        <v>0</v>
      </c>
      <c r="O1207" t="n">
        <v>0</v>
      </c>
      <c r="P1207" t="n">
        <v>0</v>
      </c>
      <c r="Q1207" t="n">
        <v>0</v>
      </c>
      <c r="R1207" s="2" t="inlineStr"/>
    </row>
    <row r="1208" ht="15" customHeight="1">
      <c r="A1208" t="inlineStr">
        <is>
          <t>A 20196-2020</t>
        </is>
      </c>
      <c r="B1208" s="1" t="n">
        <v>43944</v>
      </c>
      <c r="C1208" s="1" t="n">
        <v>45186</v>
      </c>
      <c r="D1208" t="inlineStr">
        <is>
          <t>STOCKHOLMS LÄN</t>
        </is>
      </c>
      <c r="E1208" t="inlineStr">
        <is>
          <t>SÖDERTÄLJE</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20571-2020</t>
        </is>
      </c>
      <c r="B1209" s="1" t="n">
        <v>43948</v>
      </c>
      <c r="C1209" s="1" t="n">
        <v>45186</v>
      </c>
      <c r="D1209" t="inlineStr">
        <is>
          <t>STOCKHOLMS LÄN</t>
        </is>
      </c>
      <c r="E1209" t="inlineStr">
        <is>
          <t>SIGTUNA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20600-2020</t>
        </is>
      </c>
      <c r="B1210" s="1" t="n">
        <v>43948</v>
      </c>
      <c r="C1210" s="1" t="n">
        <v>45186</v>
      </c>
      <c r="D1210" t="inlineStr">
        <is>
          <t>STOCKHOLMS LÄN</t>
        </is>
      </c>
      <c r="E1210" t="inlineStr">
        <is>
          <t>NYNÄSHAMN</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20673-2020</t>
        </is>
      </c>
      <c r="B1211" s="1" t="n">
        <v>43949</v>
      </c>
      <c r="C1211" s="1" t="n">
        <v>45186</v>
      </c>
      <c r="D1211" t="inlineStr">
        <is>
          <t>STOCKHOLMS LÄN</t>
        </is>
      </c>
      <c r="E1211" t="inlineStr">
        <is>
          <t>NYNÄSHAMN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21628-2020</t>
        </is>
      </c>
      <c r="B1212" s="1" t="n">
        <v>43956</v>
      </c>
      <c r="C1212" s="1" t="n">
        <v>45186</v>
      </c>
      <c r="D1212" t="inlineStr">
        <is>
          <t>STOCKHOLMS LÄN</t>
        </is>
      </c>
      <c r="E1212" t="inlineStr">
        <is>
          <t>NYKVARN</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21645-2020</t>
        </is>
      </c>
      <c r="B1213" s="1" t="n">
        <v>43956</v>
      </c>
      <c r="C1213" s="1" t="n">
        <v>45186</v>
      </c>
      <c r="D1213" t="inlineStr">
        <is>
          <t>STOCKHOLMS LÄN</t>
        </is>
      </c>
      <c r="E1213" t="inlineStr">
        <is>
          <t>BOTKYRKA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21634-2020</t>
        </is>
      </c>
      <c r="B1214" s="1" t="n">
        <v>43956</v>
      </c>
      <c r="C1214" s="1" t="n">
        <v>45186</v>
      </c>
      <c r="D1214" t="inlineStr">
        <is>
          <t>STOCKHOLMS LÄN</t>
        </is>
      </c>
      <c r="E1214" t="inlineStr">
        <is>
          <t>NYKVARN</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21875-2020</t>
        </is>
      </c>
      <c r="B1215" s="1" t="n">
        <v>43958</v>
      </c>
      <c r="C1215" s="1" t="n">
        <v>45186</v>
      </c>
      <c r="D1215" t="inlineStr">
        <is>
          <t>STOCKHOLMS LÄN</t>
        </is>
      </c>
      <c r="E1215" t="inlineStr">
        <is>
          <t>NORRTÄLJE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21849-2020</t>
        </is>
      </c>
      <c r="B1216" s="1" t="n">
        <v>43958</v>
      </c>
      <c r="C1216" s="1" t="n">
        <v>45186</v>
      </c>
      <c r="D1216" t="inlineStr">
        <is>
          <t>STOCKHOLMS LÄN</t>
        </is>
      </c>
      <c r="E1216" t="inlineStr">
        <is>
          <t>NORRTÄLJE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23098-2020</t>
        </is>
      </c>
      <c r="B1217" s="1" t="n">
        <v>43965</v>
      </c>
      <c r="C1217" s="1" t="n">
        <v>45186</v>
      </c>
      <c r="D1217" t="inlineStr">
        <is>
          <t>STOCKHOLMS LÄN</t>
        </is>
      </c>
      <c r="E1217" t="inlineStr">
        <is>
          <t>SIGTUNA</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23363-2020</t>
        </is>
      </c>
      <c r="B1218" s="1" t="n">
        <v>43967</v>
      </c>
      <c r="C1218" s="1" t="n">
        <v>45186</v>
      </c>
      <c r="D1218" t="inlineStr">
        <is>
          <t>STOCKHOLMS LÄN</t>
        </is>
      </c>
      <c r="E1218" t="inlineStr">
        <is>
          <t>NYNÄSHAMN</t>
        </is>
      </c>
      <c r="F1218" t="inlineStr">
        <is>
          <t>Kommuner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23364-2020</t>
        </is>
      </c>
      <c r="B1219" s="1" t="n">
        <v>43967</v>
      </c>
      <c r="C1219" s="1" t="n">
        <v>45186</v>
      </c>
      <c r="D1219" t="inlineStr">
        <is>
          <t>STOCKHOLMS LÄN</t>
        </is>
      </c>
      <c r="E1219" t="inlineStr">
        <is>
          <t>NYNÄSHAMN</t>
        </is>
      </c>
      <c r="F1219" t="inlineStr">
        <is>
          <t>Kommuner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23426-2020</t>
        </is>
      </c>
      <c r="B1220" s="1" t="n">
        <v>43969</v>
      </c>
      <c r="C1220" s="1" t="n">
        <v>45186</v>
      </c>
      <c r="D1220" t="inlineStr">
        <is>
          <t>STOCKHOLMS LÄN</t>
        </is>
      </c>
      <c r="E1220" t="inlineStr">
        <is>
          <t>BOTKYRKA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23442-2020</t>
        </is>
      </c>
      <c r="B1221" s="1" t="n">
        <v>43969</v>
      </c>
      <c r="C1221" s="1" t="n">
        <v>45186</v>
      </c>
      <c r="D1221" t="inlineStr">
        <is>
          <t>STOCKHOLMS LÄN</t>
        </is>
      </c>
      <c r="E1221" t="inlineStr">
        <is>
          <t>NYNÄSHAMN</t>
        </is>
      </c>
      <c r="F1221" t="inlineStr">
        <is>
          <t>Kommuner</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23447-2020</t>
        </is>
      </c>
      <c r="B1222" s="1" t="n">
        <v>43969</v>
      </c>
      <c r="C1222" s="1" t="n">
        <v>45186</v>
      </c>
      <c r="D1222" t="inlineStr">
        <is>
          <t>STOCKHOLMS LÄN</t>
        </is>
      </c>
      <c r="E1222" t="inlineStr">
        <is>
          <t>NYNÄSHAMN</t>
        </is>
      </c>
      <c r="F1222" t="inlineStr">
        <is>
          <t>Kommuner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23751-2020</t>
        </is>
      </c>
      <c r="B1223" s="1" t="n">
        <v>43970</v>
      </c>
      <c r="C1223" s="1" t="n">
        <v>45186</v>
      </c>
      <c r="D1223" t="inlineStr">
        <is>
          <t>STOCKHOLMS LÄN</t>
        </is>
      </c>
      <c r="E1223" t="inlineStr">
        <is>
          <t>NORRTÄLJE</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24136-2020</t>
        </is>
      </c>
      <c r="B1224" s="1" t="n">
        <v>43973</v>
      </c>
      <c r="C1224" s="1" t="n">
        <v>45186</v>
      </c>
      <c r="D1224" t="inlineStr">
        <is>
          <t>STOCKHOLMS LÄN</t>
        </is>
      </c>
      <c r="E1224" t="inlineStr">
        <is>
          <t>NORRTÄLJE</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25575-2020</t>
        </is>
      </c>
      <c r="B1225" s="1" t="n">
        <v>43983</v>
      </c>
      <c r="C1225" s="1" t="n">
        <v>45186</v>
      </c>
      <c r="D1225" t="inlineStr">
        <is>
          <t>STOCKHOLMS LÄN</t>
        </is>
      </c>
      <c r="E1225" t="inlineStr">
        <is>
          <t>VALLENTUNA</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25589-2020</t>
        </is>
      </c>
      <c r="B1226" s="1" t="n">
        <v>43983</v>
      </c>
      <c r="C1226" s="1" t="n">
        <v>45186</v>
      </c>
      <c r="D1226" t="inlineStr">
        <is>
          <t>STOCKHOLMS LÄN</t>
        </is>
      </c>
      <c r="E1226" t="inlineStr">
        <is>
          <t>NORRTÄLJE</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25584-2020</t>
        </is>
      </c>
      <c r="B1227" s="1" t="n">
        <v>43983</v>
      </c>
      <c r="C1227" s="1" t="n">
        <v>45186</v>
      </c>
      <c r="D1227" t="inlineStr">
        <is>
          <t>STOCKHOLMS LÄN</t>
        </is>
      </c>
      <c r="E1227" t="inlineStr">
        <is>
          <t>NORRTÄLJE</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25897-2020</t>
        </is>
      </c>
      <c r="B1228" s="1" t="n">
        <v>43984</v>
      </c>
      <c r="C1228" s="1" t="n">
        <v>45186</v>
      </c>
      <c r="D1228" t="inlineStr">
        <is>
          <t>STOCKHOLMS LÄN</t>
        </is>
      </c>
      <c r="E1228" t="inlineStr">
        <is>
          <t>NORRTÄLJE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25745-2020</t>
        </is>
      </c>
      <c r="B1229" s="1" t="n">
        <v>43984</v>
      </c>
      <c r="C1229" s="1" t="n">
        <v>45186</v>
      </c>
      <c r="D1229" t="inlineStr">
        <is>
          <t>STOCKHOLMS LÄN</t>
        </is>
      </c>
      <c r="E1229" t="inlineStr">
        <is>
          <t>SIGTUNA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27278-2020</t>
        </is>
      </c>
      <c r="B1230" s="1" t="n">
        <v>43992</v>
      </c>
      <c r="C1230" s="1" t="n">
        <v>45186</v>
      </c>
      <c r="D1230" t="inlineStr">
        <is>
          <t>STOCKHOLMS LÄN</t>
        </is>
      </c>
      <c r="E1230" t="inlineStr">
        <is>
          <t>SÖDERTÄLJE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27621-2020</t>
        </is>
      </c>
      <c r="B1231" s="1" t="n">
        <v>43993</v>
      </c>
      <c r="C1231" s="1" t="n">
        <v>45186</v>
      </c>
      <c r="D1231" t="inlineStr">
        <is>
          <t>STOCKHOLMS LÄN</t>
        </is>
      </c>
      <c r="E1231" t="inlineStr">
        <is>
          <t>NYKVARN</t>
        </is>
      </c>
      <c r="G1231" t="n">
        <v>35.8</v>
      </c>
      <c r="H1231" t="n">
        <v>0</v>
      </c>
      <c r="I1231" t="n">
        <v>0</v>
      </c>
      <c r="J1231" t="n">
        <v>0</v>
      </c>
      <c r="K1231" t="n">
        <v>0</v>
      </c>
      <c r="L1231" t="n">
        <v>0</v>
      </c>
      <c r="M1231" t="n">
        <v>0</v>
      </c>
      <c r="N1231" t="n">
        <v>0</v>
      </c>
      <c r="O1231" t="n">
        <v>0</v>
      </c>
      <c r="P1231" t="n">
        <v>0</v>
      </c>
      <c r="Q1231" t="n">
        <v>0</v>
      </c>
      <c r="R1231" s="2" t="inlineStr"/>
    </row>
    <row r="1232" ht="15" customHeight="1">
      <c r="A1232" t="inlineStr">
        <is>
          <t>A 27794-2020</t>
        </is>
      </c>
      <c r="B1232" s="1" t="n">
        <v>43994</v>
      </c>
      <c r="C1232" s="1" t="n">
        <v>45186</v>
      </c>
      <c r="D1232" t="inlineStr">
        <is>
          <t>STOCKHOLMS LÄN</t>
        </is>
      </c>
      <c r="E1232" t="inlineStr">
        <is>
          <t>NYNÄSHAMN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28663-2020</t>
        </is>
      </c>
      <c r="B1233" s="1" t="n">
        <v>43999</v>
      </c>
      <c r="C1233" s="1" t="n">
        <v>45186</v>
      </c>
      <c r="D1233" t="inlineStr">
        <is>
          <t>STOCKHOLMS LÄN</t>
        </is>
      </c>
      <c r="E1233" t="inlineStr">
        <is>
          <t>SIGTUNA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28923-2020</t>
        </is>
      </c>
      <c r="B1234" s="1" t="n">
        <v>44000</v>
      </c>
      <c r="C1234" s="1" t="n">
        <v>45186</v>
      </c>
      <c r="D1234" t="inlineStr">
        <is>
          <t>STOCKHOLMS LÄN</t>
        </is>
      </c>
      <c r="E1234" t="inlineStr">
        <is>
          <t>SIGTUNA</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29254-2020</t>
        </is>
      </c>
      <c r="B1235" s="1" t="n">
        <v>44000</v>
      </c>
      <c r="C1235" s="1" t="n">
        <v>45186</v>
      </c>
      <c r="D1235" t="inlineStr">
        <is>
          <t>STOCKHOLMS LÄN</t>
        </is>
      </c>
      <c r="E1235" t="inlineStr">
        <is>
          <t>NYKVARN</t>
        </is>
      </c>
      <c r="F1235" t="inlineStr">
        <is>
          <t>Allmännings- och besparingsskogar</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29113-2020</t>
        </is>
      </c>
      <c r="B1236" s="1" t="n">
        <v>44003</v>
      </c>
      <c r="C1236" s="1" t="n">
        <v>45186</v>
      </c>
      <c r="D1236" t="inlineStr">
        <is>
          <t>STOCKHOLMS LÄN</t>
        </is>
      </c>
      <c r="E1236" t="inlineStr">
        <is>
          <t>NYNÄSHAMN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30600-2020</t>
        </is>
      </c>
      <c r="B1237" s="1" t="n">
        <v>44008</v>
      </c>
      <c r="C1237" s="1" t="n">
        <v>45186</v>
      </c>
      <c r="D1237" t="inlineStr">
        <is>
          <t>STOCKHOLMS LÄN</t>
        </is>
      </c>
      <c r="E1237" t="inlineStr">
        <is>
          <t>NORRTÄLJE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31196-2020</t>
        </is>
      </c>
      <c r="B1238" s="1" t="n">
        <v>44012</v>
      </c>
      <c r="C1238" s="1" t="n">
        <v>45186</v>
      </c>
      <c r="D1238" t="inlineStr">
        <is>
          <t>STOCKHOLMS LÄN</t>
        </is>
      </c>
      <c r="E1238" t="inlineStr">
        <is>
          <t>UPPLANDS-BRO</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31783-2020</t>
        </is>
      </c>
      <c r="B1239" s="1" t="n">
        <v>44014</v>
      </c>
      <c r="C1239" s="1" t="n">
        <v>45186</v>
      </c>
      <c r="D1239" t="inlineStr">
        <is>
          <t>STOCKHOLMS LÄN</t>
        </is>
      </c>
      <c r="E1239" t="inlineStr">
        <is>
          <t>NORRTÄLJE</t>
        </is>
      </c>
      <c r="G1239" t="n">
        <v>4.8</v>
      </c>
      <c r="H1239" t="n">
        <v>0</v>
      </c>
      <c r="I1239" t="n">
        <v>0</v>
      </c>
      <c r="J1239" t="n">
        <v>0</v>
      </c>
      <c r="K1239" t="n">
        <v>0</v>
      </c>
      <c r="L1239" t="n">
        <v>0</v>
      </c>
      <c r="M1239" t="n">
        <v>0</v>
      </c>
      <c r="N1239" t="n">
        <v>0</v>
      </c>
      <c r="O1239" t="n">
        <v>0</v>
      </c>
      <c r="P1239" t="n">
        <v>0</v>
      </c>
      <c r="Q1239" t="n">
        <v>0</v>
      </c>
      <c r="R1239" s="2" t="inlineStr"/>
    </row>
    <row r="1240" ht="15" customHeight="1">
      <c r="A1240" t="inlineStr">
        <is>
          <t>A 33881-2020</t>
        </is>
      </c>
      <c r="B1240" s="1" t="n">
        <v>44025</v>
      </c>
      <c r="C1240" s="1" t="n">
        <v>45186</v>
      </c>
      <c r="D1240" t="inlineStr">
        <is>
          <t>STOCKHOLMS LÄN</t>
        </is>
      </c>
      <c r="E1240" t="inlineStr">
        <is>
          <t>BOTKYRKA</t>
        </is>
      </c>
      <c r="G1240" t="n">
        <v>5.9</v>
      </c>
      <c r="H1240" t="n">
        <v>0</v>
      </c>
      <c r="I1240" t="n">
        <v>0</v>
      </c>
      <c r="J1240" t="n">
        <v>0</v>
      </c>
      <c r="K1240" t="n">
        <v>0</v>
      </c>
      <c r="L1240" t="n">
        <v>0</v>
      </c>
      <c r="M1240" t="n">
        <v>0</v>
      </c>
      <c r="N1240" t="n">
        <v>0</v>
      </c>
      <c r="O1240" t="n">
        <v>0</v>
      </c>
      <c r="P1240" t="n">
        <v>0</v>
      </c>
      <c r="Q1240" t="n">
        <v>0</v>
      </c>
      <c r="R1240" s="2" t="inlineStr"/>
    </row>
    <row r="1241" ht="15" customHeight="1">
      <c r="A1241" t="inlineStr">
        <is>
          <t>A 33749-2020</t>
        </is>
      </c>
      <c r="B1241" s="1" t="n">
        <v>44026</v>
      </c>
      <c r="C1241" s="1" t="n">
        <v>45186</v>
      </c>
      <c r="D1241" t="inlineStr">
        <is>
          <t>STOCKHOLMS LÄN</t>
        </is>
      </c>
      <c r="E1241" t="inlineStr">
        <is>
          <t>NORRTÄLJE</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34185-2020</t>
        </is>
      </c>
      <c r="B1242" s="1" t="n">
        <v>44029</v>
      </c>
      <c r="C1242" s="1" t="n">
        <v>45186</v>
      </c>
      <c r="D1242" t="inlineStr">
        <is>
          <t>STOCKHOLMS LÄN</t>
        </is>
      </c>
      <c r="E1242" t="inlineStr">
        <is>
          <t>EKERÖ</t>
        </is>
      </c>
      <c r="G1242" t="n">
        <v>7.3</v>
      </c>
      <c r="H1242" t="n">
        <v>0</v>
      </c>
      <c r="I1242" t="n">
        <v>0</v>
      </c>
      <c r="J1242" t="n">
        <v>0</v>
      </c>
      <c r="K1242" t="n">
        <v>0</v>
      </c>
      <c r="L1242" t="n">
        <v>0</v>
      </c>
      <c r="M1242" t="n">
        <v>0</v>
      </c>
      <c r="N1242" t="n">
        <v>0</v>
      </c>
      <c r="O1242" t="n">
        <v>0</v>
      </c>
      <c r="P1242" t="n">
        <v>0</v>
      </c>
      <c r="Q1242" t="n">
        <v>0</v>
      </c>
      <c r="R1242" s="2" t="inlineStr"/>
    </row>
    <row r="1243" ht="15" customHeight="1">
      <c r="A1243" t="inlineStr">
        <is>
          <t>A 34650-2020</t>
        </is>
      </c>
      <c r="B1243" s="1" t="n">
        <v>44034</v>
      </c>
      <c r="C1243" s="1" t="n">
        <v>45186</v>
      </c>
      <c r="D1243" t="inlineStr">
        <is>
          <t>STOCKHOLMS LÄN</t>
        </is>
      </c>
      <c r="E1243" t="inlineStr">
        <is>
          <t>NORRTÄLJE</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34651-2020</t>
        </is>
      </c>
      <c r="B1244" s="1" t="n">
        <v>44034</v>
      </c>
      <c r="C1244" s="1" t="n">
        <v>45186</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35012-2020</t>
        </is>
      </c>
      <c r="B1245" s="1" t="n">
        <v>44039</v>
      </c>
      <c r="C1245" s="1" t="n">
        <v>45186</v>
      </c>
      <c r="D1245" t="inlineStr">
        <is>
          <t>STOCKHOLMS LÄN</t>
        </is>
      </c>
      <c r="E1245" t="inlineStr">
        <is>
          <t>EKERÖ</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36248-2020</t>
        </is>
      </c>
      <c r="B1246" s="1" t="n">
        <v>44049</v>
      </c>
      <c r="C1246" s="1" t="n">
        <v>45186</v>
      </c>
      <c r="D1246" t="inlineStr">
        <is>
          <t>STOCKHOLMS LÄN</t>
        </is>
      </c>
      <c r="E1246" t="inlineStr">
        <is>
          <t>UPPLANDS-BRO</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36314-2020</t>
        </is>
      </c>
      <c r="B1247" s="1" t="n">
        <v>44049</v>
      </c>
      <c r="C1247" s="1" t="n">
        <v>45186</v>
      </c>
      <c r="D1247" t="inlineStr">
        <is>
          <t>STOCKHOLMS LÄN</t>
        </is>
      </c>
      <c r="E1247" t="inlineStr">
        <is>
          <t>NORRTÄLJE</t>
        </is>
      </c>
      <c r="G1247" t="n">
        <v>5</v>
      </c>
      <c r="H1247" t="n">
        <v>0</v>
      </c>
      <c r="I1247" t="n">
        <v>0</v>
      </c>
      <c r="J1247" t="n">
        <v>0</v>
      </c>
      <c r="K1247" t="n">
        <v>0</v>
      </c>
      <c r="L1247" t="n">
        <v>0</v>
      </c>
      <c r="M1247" t="n">
        <v>0</v>
      </c>
      <c r="N1247" t="n">
        <v>0</v>
      </c>
      <c r="O1247" t="n">
        <v>0</v>
      </c>
      <c r="P1247" t="n">
        <v>0</v>
      </c>
      <c r="Q1247" t="n">
        <v>0</v>
      </c>
      <c r="R1247" s="2" t="inlineStr"/>
    </row>
    <row r="1248" ht="15" customHeight="1">
      <c r="A1248" t="inlineStr">
        <is>
          <t>A 36359-2020</t>
        </is>
      </c>
      <c r="B1248" s="1" t="n">
        <v>44049</v>
      </c>
      <c r="C1248" s="1" t="n">
        <v>45186</v>
      </c>
      <c r="D1248" t="inlineStr">
        <is>
          <t>STOCKHOLMS LÄN</t>
        </is>
      </c>
      <c r="E1248" t="inlineStr">
        <is>
          <t>NORRTÄLJE</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36865-2020</t>
        </is>
      </c>
      <c r="B1249" s="1" t="n">
        <v>44053</v>
      </c>
      <c r="C1249" s="1" t="n">
        <v>45186</v>
      </c>
      <c r="D1249" t="inlineStr">
        <is>
          <t>STOCKHOLMS LÄN</t>
        </is>
      </c>
      <c r="E1249" t="inlineStr">
        <is>
          <t>NYNÄSHAMN</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38010-2020</t>
        </is>
      </c>
      <c r="B1250" s="1" t="n">
        <v>44057</v>
      </c>
      <c r="C1250" s="1" t="n">
        <v>45186</v>
      </c>
      <c r="D1250" t="inlineStr">
        <is>
          <t>STOCKHOLMS LÄN</t>
        </is>
      </c>
      <c r="E1250" t="inlineStr">
        <is>
          <t>SÖDERTÄLJE</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39033-2020</t>
        </is>
      </c>
      <c r="B1251" s="1" t="n">
        <v>44062</v>
      </c>
      <c r="C1251" s="1" t="n">
        <v>45186</v>
      </c>
      <c r="D1251" t="inlineStr">
        <is>
          <t>STOCKHOLMS LÄN</t>
        </is>
      </c>
      <c r="E1251" t="inlineStr">
        <is>
          <t>VÄRMDÖ</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39531-2020</t>
        </is>
      </c>
      <c r="B1252" s="1" t="n">
        <v>44064</v>
      </c>
      <c r="C1252" s="1" t="n">
        <v>45186</v>
      </c>
      <c r="D1252" t="inlineStr">
        <is>
          <t>STOCKHOLMS LÄN</t>
        </is>
      </c>
      <c r="E1252" t="inlineStr">
        <is>
          <t>BOTKYRKA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40037-2020</t>
        </is>
      </c>
      <c r="B1253" s="1" t="n">
        <v>44067</v>
      </c>
      <c r="C1253" s="1" t="n">
        <v>45186</v>
      </c>
      <c r="D1253" t="inlineStr">
        <is>
          <t>STOCKHOLMS LÄN</t>
        </is>
      </c>
      <c r="E1253" t="inlineStr">
        <is>
          <t>HANINGE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40837-2020</t>
        </is>
      </c>
      <c r="B1254" s="1" t="n">
        <v>44067</v>
      </c>
      <c r="C1254" s="1" t="n">
        <v>45186</v>
      </c>
      <c r="D1254" t="inlineStr">
        <is>
          <t>STOCKHOLMS LÄN</t>
        </is>
      </c>
      <c r="E1254" t="inlineStr">
        <is>
          <t>NORRTÄLJE</t>
        </is>
      </c>
      <c r="G1254" t="n">
        <v>20.6</v>
      </c>
      <c r="H1254" t="n">
        <v>0</v>
      </c>
      <c r="I1254" t="n">
        <v>0</v>
      </c>
      <c r="J1254" t="n">
        <v>0</v>
      </c>
      <c r="K1254" t="n">
        <v>0</v>
      </c>
      <c r="L1254" t="n">
        <v>0</v>
      </c>
      <c r="M1254" t="n">
        <v>0</v>
      </c>
      <c r="N1254" t="n">
        <v>0</v>
      </c>
      <c r="O1254" t="n">
        <v>0</v>
      </c>
      <c r="P1254" t="n">
        <v>0</v>
      </c>
      <c r="Q1254" t="n">
        <v>0</v>
      </c>
      <c r="R1254" s="2" t="inlineStr"/>
    </row>
    <row r="1255" ht="15" customHeight="1">
      <c r="A1255" t="inlineStr">
        <is>
          <t>A 40661-2020</t>
        </is>
      </c>
      <c r="B1255" s="1" t="n">
        <v>44069</v>
      </c>
      <c r="C1255" s="1" t="n">
        <v>45186</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41080-2020</t>
        </is>
      </c>
      <c r="B1256" s="1" t="n">
        <v>44069</v>
      </c>
      <c r="C1256" s="1" t="n">
        <v>45186</v>
      </c>
      <c r="D1256" t="inlineStr">
        <is>
          <t>STOCKHOLMS LÄN</t>
        </is>
      </c>
      <c r="E1256" t="inlineStr">
        <is>
          <t>SÖDERTÄLJE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41718-2020</t>
        </is>
      </c>
      <c r="B1257" s="1" t="n">
        <v>44074</v>
      </c>
      <c r="C1257" s="1" t="n">
        <v>45186</v>
      </c>
      <c r="D1257" t="inlineStr">
        <is>
          <t>STOCKHOLMS LÄN</t>
        </is>
      </c>
      <c r="E1257" t="inlineStr">
        <is>
          <t>SALEM</t>
        </is>
      </c>
      <c r="F1257" t="inlineStr">
        <is>
          <t>Kommuner</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42247-2020</t>
        </is>
      </c>
      <c r="B1258" s="1" t="n">
        <v>44074</v>
      </c>
      <c r="C1258" s="1" t="n">
        <v>45186</v>
      </c>
      <c r="D1258" t="inlineStr">
        <is>
          <t>STOCKHOLMS LÄN</t>
        </is>
      </c>
      <c r="E1258" t="inlineStr">
        <is>
          <t>NORRTÄLJE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41694-2020</t>
        </is>
      </c>
      <c r="B1259" s="1" t="n">
        <v>44074</v>
      </c>
      <c r="C1259" s="1" t="n">
        <v>45186</v>
      </c>
      <c r="D1259" t="inlineStr">
        <is>
          <t>STOCKHOLMS LÄN</t>
        </is>
      </c>
      <c r="E1259" t="inlineStr">
        <is>
          <t>NORRTÄLJE</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42256-2020</t>
        </is>
      </c>
      <c r="B1260" s="1" t="n">
        <v>44074</v>
      </c>
      <c r="C1260" s="1" t="n">
        <v>45186</v>
      </c>
      <c r="D1260" t="inlineStr">
        <is>
          <t>STOCKHOLMS LÄN</t>
        </is>
      </c>
      <c r="E1260" t="inlineStr">
        <is>
          <t>NORRTÄLJE</t>
        </is>
      </c>
      <c r="F1260" t="inlineStr">
        <is>
          <t>Övriga Aktiebolag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41923-2020</t>
        </is>
      </c>
      <c r="B1261" s="1" t="n">
        <v>44075</v>
      </c>
      <c r="C1261" s="1" t="n">
        <v>45186</v>
      </c>
      <c r="D1261" t="inlineStr">
        <is>
          <t>STOCKHOLMS LÄN</t>
        </is>
      </c>
      <c r="E1261" t="inlineStr">
        <is>
          <t>SALEM</t>
        </is>
      </c>
      <c r="F1261" t="inlineStr">
        <is>
          <t>Kommuner</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42365-2020</t>
        </is>
      </c>
      <c r="B1262" s="1" t="n">
        <v>44076</v>
      </c>
      <c r="C1262" s="1" t="n">
        <v>45186</v>
      </c>
      <c r="D1262" t="inlineStr">
        <is>
          <t>STOCKHOLMS LÄN</t>
        </is>
      </c>
      <c r="E1262" t="inlineStr">
        <is>
          <t>NORRTÄLJE</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42361-2020</t>
        </is>
      </c>
      <c r="B1263" s="1" t="n">
        <v>44076</v>
      </c>
      <c r="C1263" s="1" t="n">
        <v>45186</v>
      </c>
      <c r="D1263" t="inlineStr">
        <is>
          <t>STOCKHOLMS LÄN</t>
        </is>
      </c>
      <c r="E1263" t="inlineStr">
        <is>
          <t>NORRTÄLJE</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42455-2020</t>
        </is>
      </c>
      <c r="B1264" s="1" t="n">
        <v>44076</v>
      </c>
      <c r="C1264" s="1" t="n">
        <v>45186</v>
      </c>
      <c r="D1264" t="inlineStr">
        <is>
          <t>STOCKHOLMS LÄN</t>
        </is>
      </c>
      <c r="E1264" t="inlineStr">
        <is>
          <t>NORRTÄLJE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43237-2020</t>
        </is>
      </c>
      <c r="B1265" s="1" t="n">
        <v>44076</v>
      </c>
      <c r="C1265" s="1" t="n">
        <v>45186</v>
      </c>
      <c r="D1265" t="inlineStr">
        <is>
          <t>STOCKHOLMS LÄN</t>
        </is>
      </c>
      <c r="E1265" t="inlineStr">
        <is>
          <t>SÖDERTÄLJE</t>
        </is>
      </c>
      <c r="F1265" t="inlineStr">
        <is>
          <t>Kommuner</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42714-2020</t>
        </is>
      </c>
      <c r="B1266" s="1" t="n">
        <v>44077</v>
      </c>
      <c r="C1266" s="1" t="n">
        <v>45186</v>
      </c>
      <c r="D1266" t="inlineStr">
        <is>
          <t>STOCKHOLMS LÄN</t>
        </is>
      </c>
      <c r="E1266" t="inlineStr">
        <is>
          <t>SIGTUNA</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43751-2020</t>
        </is>
      </c>
      <c r="B1267" s="1" t="n">
        <v>44082</v>
      </c>
      <c r="C1267" s="1" t="n">
        <v>45186</v>
      </c>
      <c r="D1267" t="inlineStr">
        <is>
          <t>STOCKHOLMS LÄN</t>
        </is>
      </c>
      <c r="E1267" t="inlineStr">
        <is>
          <t>NORRTÄLJE</t>
        </is>
      </c>
      <c r="G1267" t="n">
        <v>8</v>
      </c>
      <c r="H1267" t="n">
        <v>0</v>
      </c>
      <c r="I1267" t="n">
        <v>0</v>
      </c>
      <c r="J1267" t="n">
        <v>0</v>
      </c>
      <c r="K1267" t="n">
        <v>0</v>
      </c>
      <c r="L1267" t="n">
        <v>0</v>
      </c>
      <c r="M1267" t="n">
        <v>0</v>
      </c>
      <c r="N1267" t="n">
        <v>0</v>
      </c>
      <c r="O1267" t="n">
        <v>0</v>
      </c>
      <c r="P1267" t="n">
        <v>0</v>
      </c>
      <c r="Q1267" t="n">
        <v>0</v>
      </c>
      <c r="R1267" s="2" t="inlineStr"/>
    </row>
    <row r="1268" ht="15" customHeight="1">
      <c r="A1268" t="inlineStr">
        <is>
          <t>A 44071-2020</t>
        </is>
      </c>
      <c r="B1268" s="1" t="n">
        <v>44083</v>
      </c>
      <c r="C1268" s="1" t="n">
        <v>45186</v>
      </c>
      <c r="D1268" t="inlineStr">
        <is>
          <t>STOCKHOLMS LÄN</t>
        </is>
      </c>
      <c r="E1268" t="inlineStr">
        <is>
          <t>NORRTÄLJE</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44096-2020</t>
        </is>
      </c>
      <c r="B1269" s="1" t="n">
        <v>44083</v>
      </c>
      <c r="C1269" s="1" t="n">
        <v>45186</v>
      </c>
      <c r="D1269" t="inlineStr">
        <is>
          <t>STOCKHOLMS LÄN</t>
        </is>
      </c>
      <c r="E1269" t="inlineStr">
        <is>
          <t>NORRTÄLJE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44183-2020</t>
        </is>
      </c>
      <c r="B1270" s="1" t="n">
        <v>44083</v>
      </c>
      <c r="C1270" s="1" t="n">
        <v>45186</v>
      </c>
      <c r="D1270" t="inlineStr">
        <is>
          <t>STOCKHOLMS LÄN</t>
        </is>
      </c>
      <c r="E1270" t="inlineStr">
        <is>
          <t>NORRTÄLJE</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44577-2020</t>
        </is>
      </c>
      <c r="B1271" s="1" t="n">
        <v>44085</v>
      </c>
      <c r="C1271" s="1" t="n">
        <v>45186</v>
      </c>
      <c r="D1271" t="inlineStr">
        <is>
          <t>STOCKHOLMS LÄN</t>
        </is>
      </c>
      <c r="E1271" t="inlineStr">
        <is>
          <t>SÖDERTÄLJE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44792-2020</t>
        </is>
      </c>
      <c r="B1272" s="1" t="n">
        <v>44085</v>
      </c>
      <c r="C1272" s="1" t="n">
        <v>45186</v>
      </c>
      <c r="D1272" t="inlineStr">
        <is>
          <t>STOCKHOLMS LÄN</t>
        </is>
      </c>
      <c r="E1272" t="inlineStr">
        <is>
          <t>NORRTÄLJE</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45158-2020</t>
        </is>
      </c>
      <c r="B1273" s="1" t="n">
        <v>44088</v>
      </c>
      <c r="C1273" s="1" t="n">
        <v>45186</v>
      </c>
      <c r="D1273" t="inlineStr">
        <is>
          <t>STOCKHOLMS LÄN</t>
        </is>
      </c>
      <c r="E1273" t="inlineStr">
        <is>
          <t>SALEM</t>
        </is>
      </c>
      <c r="F1273" t="inlineStr">
        <is>
          <t>Kommuner</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45732-2020</t>
        </is>
      </c>
      <c r="B1274" s="1" t="n">
        <v>44090</v>
      </c>
      <c r="C1274" s="1" t="n">
        <v>45186</v>
      </c>
      <c r="D1274" t="inlineStr">
        <is>
          <t>STOCKHOLMS LÄN</t>
        </is>
      </c>
      <c r="E1274" t="inlineStr">
        <is>
          <t>NYNÄSHAMN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45859-2020</t>
        </is>
      </c>
      <c r="B1275" s="1" t="n">
        <v>44091</v>
      </c>
      <c r="C1275" s="1" t="n">
        <v>45186</v>
      </c>
      <c r="D1275" t="inlineStr">
        <is>
          <t>STOCKHOLMS LÄN</t>
        </is>
      </c>
      <c r="E1275" t="inlineStr">
        <is>
          <t>NYNÄSHAMN</t>
        </is>
      </c>
      <c r="G1275" t="n">
        <v>17.7</v>
      </c>
      <c r="H1275" t="n">
        <v>0</v>
      </c>
      <c r="I1275" t="n">
        <v>0</v>
      </c>
      <c r="J1275" t="n">
        <v>0</v>
      </c>
      <c r="K1275" t="n">
        <v>0</v>
      </c>
      <c r="L1275" t="n">
        <v>0</v>
      </c>
      <c r="M1275" t="n">
        <v>0</v>
      </c>
      <c r="N1275" t="n">
        <v>0</v>
      </c>
      <c r="O1275" t="n">
        <v>0</v>
      </c>
      <c r="P1275" t="n">
        <v>0</v>
      </c>
      <c r="Q1275" t="n">
        <v>0</v>
      </c>
      <c r="R1275" s="2" t="inlineStr"/>
    </row>
    <row r="1276" ht="15" customHeight="1">
      <c r="A1276" t="inlineStr">
        <is>
          <t>A 45988-2020</t>
        </is>
      </c>
      <c r="B1276" s="1" t="n">
        <v>44091</v>
      </c>
      <c r="C1276" s="1" t="n">
        <v>45186</v>
      </c>
      <c r="D1276" t="inlineStr">
        <is>
          <t>STOCKHOLMS LÄN</t>
        </is>
      </c>
      <c r="E1276" t="inlineStr">
        <is>
          <t>NORRTÄLJE</t>
        </is>
      </c>
      <c r="F1276" t="inlineStr">
        <is>
          <t>Holmen skog AB</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46556-2020</t>
        </is>
      </c>
      <c r="B1277" s="1" t="n">
        <v>44095</v>
      </c>
      <c r="C1277" s="1" t="n">
        <v>45186</v>
      </c>
      <c r="D1277" t="inlineStr">
        <is>
          <t>STOCKHOLMS LÄN</t>
        </is>
      </c>
      <c r="E1277" t="inlineStr">
        <is>
          <t>NORRTÄLJE</t>
        </is>
      </c>
      <c r="F1277" t="inlineStr">
        <is>
          <t>Holmen skog AB</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46661-2020</t>
        </is>
      </c>
      <c r="B1278" s="1" t="n">
        <v>44095</v>
      </c>
      <c r="C1278" s="1" t="n">
        <v>45186</v>
      </c>
      <c r="D1278" t="inlineStr">
        <is>
          <t>STOCKHOLMS LÄN</t>
        </is>
      </c>
      <c r="E1278" t="inlineStr">
        <is>
          <t>SÖDERTÄLJE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46899-2020</t>
        </is>
      </c>
      <c r="B1279" s="1" t="n">
        <v>44096</v>
      </c>
      <c r="C1279" s="1" t="n">
        <v>45186</v>
      </c>
      <c r="D1279" t="inlineStr">
        <is>
          <t>STOCKHOLMS LÄN</t>
        </is>
      </c>
      <c r="E1279" t="inlineStr">
        <is>
          <t>SÖDERTÄLJE</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48392-2020</t>
        </is>
      </c>
      <c r="B1280" s="1" t="n">
        <v>44097</v>
      </c>
      <c r="C1280" s="1" t="n">
        <v>45186</v>
      </c>
      <c r="D1280" t="inlineStr">
        <is>
          <t>STOCKHOLMS LÄN</t>
        </is>
      </c>
      <c r="E1280" t="inlineStr">
        <is>
          <t>NORRTÄLJE</t>
        </is>
      </c>
      <c r="G1280" t="n">
        <v>12.5</v>
      </c>
      <c r="H1280" t="n">
        <v>0</v>
      </c>
      <c r="I1280" t="n">
        <v>0</v>
      </c>
      <c r="J1280" t="n">
        <v>0</v>
      </c>
      <c r="K1280" t="n">
        <v>0</v>
      </c>
      <c r="L1280" t="n">
        <v>0</v>
      </c>
      <c r="M1280" t="n">
        <v>0</v>
      </c>
      <c r="N1280" t="n">
        <v>0</v>
      </c>
      <c r="O1280" t="n">
        <v>0</v>
      </c>
      <c r="P1280" t="n">
        <v>0</v>
      </c>
      <c r="Q1280" t="n">
        <v>0</v>
      </c>
      <c r="R1280" s="2" t="inlineStr"/>
    </row>
    <row r="1281" ht="15" customHeight="1">
      <c r="A1281" t="inlineStr">
        <is>
          <t>A 47291-2020</t>
        </is>
      </c>
      <c r="B1281" s="1" t="n">
        <v>44097</v>
      </c>
      <c r="C1281" s="1" t="n">
        <v>45186</v>
      </c>
      <c r="D1281" t="inlineStr">
        <is>
          <t>STOCKHOLMS LÄN</t>
        </is>
      </c>
      <c r="E1281" t="inlineStr">
        <is>
          <t>NORRTÄLJE</t>
        </is>
      </c>
      <c r="F1281" t="inlineStr">
        <is>
          <t>Holmen skog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47868-2020</t>
        </is>
      </c>
      <c r="B1282" s="1" t="n">
        <v>44098</v>
      </c>
      <c r="C1282" s="1" t="n">
        <v>45186</v>
      </c>
      <c r="D1282" t="inlineStr">
        <is>
          <t>STOCKHOLMS LÄN</t>
        </is>
      </c>
      <c r="E1282" t="inlineStr">
        <is>
          <t>NORRTÄLJE</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47869-2020</t>
        </is>
      </c>
      <c r="B1283" s="1" t="n">
        <v>44098</v>
      </c>
      <c r="C1283" s="1" t="n">
        <v>45186</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48066-2020</t>
        </is>
      </c>
      <c r="B1284" s="1" t="n">
        <v>44100</v>
      </c>
      <c r="C1284" s="1" t="n">
        <v>45186</v>
      </c>
      <c r="D1284" t="inlineStr">
        <is>
          <t>STOCKHOLMS LÄN</t>
        </is>
      </c>
      <c r="E1284" t="inlineStr">
        <is>
          <t>NORRTÄLJE</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48071-2020</t>
        </is>
      </c>
      <c r="B1285" s="1" t="n">
        <v>44100</v>
      </c>
      <c r="C1285" s="1" t="n">
        <v>45186</v>
      </c>
      <c r="D1285" t="inlineStr">
        <is>
          <t>STOCKHOLMS LÄN</t>
        </is>
      </c>
      <c r="E1285" t="inlineStr">
        <is>
          <t>NORRTÄLJE</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48522-2020</t>
        </is>
      </c>
      <c r="B1286" s="1" t="n">
        <v>44103</v>
      </c>
      <c r="C1286" s="1" t="n">
        <v>45186</v>
      </c>
      <c r="D1286" t="inlineStr">
        <is>
          <t>STOCKHOLMS LÄN</t>
        </is>
      </c>
      <c r="E1286" t="inlineStr">
        <is>
          <t>NORRTÄLJE</t>
        </is>
      </c>
      <c r="F1286" t="inlineStr">
        <is>
          <t>Holmen skog AB</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48496-2020</t>
        </is>
      </c>
      <c r="B1287" s="1" t="n">
        <v>44103</v>
      </c>
      <c r="C1287" s="1" t="n">
        <v>45186</v>
      </c>
      <c r="D1287" t="inlineStr">
        <is>
          <t>STOCKHOLMS LÄN</t>
        </is>
      </c>
      <c r="E1287" t="inlineStr">
        <is>
          <t>NORRTÄLJE</t>
        </is>
      </c>
      <c r="F1287" t="inlineStr">
        <is>
          <t>Holmen skog AB</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48985-2020</t>
        </is>
      </c>
      <c r="B1288" s="1" t="n">
        <v>44104</v>
      </c>
      <c r="C1288" s="1" t="n">
        <v>45186</v>
      </c>
      <c r="D1288" t="inlineStr">
        <is>
          <t>STOCKHOLMS LÄN</t>
        </is>
      </c>
      <c r="E1288" t="inlineStr">
        <is>
          <t>NYKVARN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49269-2020</t>
        </is>
      </c>
      <c r="B1289" s="1" t="n">
        <v>44105</v>
      </c>
      <c r="C1289" s="1" t="n">
        <v>45186</v>
      </c>
      <c r="D1289" t="inlineStr">
        <is>
          <t>STOCKHOLMS LÄN</t>
        </is>
      </c>
      <c r="E1289" t="inlineStr">
        <is>
          <t>SIGTUNA</t>
        </is>
      </c>
      <c r="G1289" t="n">
        <v>12.9</v>
      </c>
      <c r="H1289" t="n">
        <v>0</v>
      </c>
      <c r="I1289" t="n">
        <v>0</v>
      </c>
      <c r="J1289" t="n">
        <v>0</v>
      </c>
      <c r="K1289" t="n">
        <v>0</v>
      </c>
      <c r="L1289" t="n">
        <v>0</v>
      </c>
      <c r="M1289" t="n">
        <v>0</v>
      </c>
      <c r="N1289" t="n">
        <v>0</v>
      </c>
      <c r="O1289" t="n">
        <v>0</v>
      </c>
      <c r="P1289" t="n">
        <v>0</v>
      </c>
      <c r="Q1289" t="n">
        <v>0</v>
      </c>
      <c r="R1289" s="2" t="inlineStr"/>
    </row>
    <row r="1290" ht="15" customHeight="1">
      <c r="A1290" t="inlineStr">
        <is>
          <t>A 49327-2020</t>
        </is>
      </c>
      <c r="B1290" s="1" t="n">
        <v>44105</v>
      </c>
      <c r="C1290" s="1" t="n">
        <v>45186</v>
      </c>
      <c r="D1290" t="inlineStr">
        <is>
          <t>STOCKHOLMS LÄN</t>
        </is>
      </c>
      <c r="E1290" t="inlineStr">
        <is>
          <t>NORRTÄLJE</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49334-2020</t>
        </is>
      </c>
      <c r="B1291" s="1" t="n">
        <v>44105</v>
      </c>
      <c r="C1291" s="1" t="n">
        <v>45186</v>
      </c>
      <c r="D1291" t="inlineStr">
        <is>
          <t>STOCKHOLMS LÄN</t>
        </is>
      </c>
      <c r="E1291" t="inlineStr">
        <is>
          <t>NORRTÄLJE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49686-2020</t>
        </is>
      </c>
      <c r="B1292" s="1" t="n">
        <v>44106</v>
      </c>
      <c r="C1292" s="1" t="n">
        <v>45186</v>
      </c>
      <c r="D1292" t="inlineStr">
        <is>
          <t>STOCKHOLMS LÄN</t>
        </is>
      </c>
      <c r="E1292" t="inlineStr">
        <is>
          <t>UPPLANDS-BRO</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49898-2020</t>
        </is>
      </c>
      <c r="B1293" s="1" t="n">
        <v>44108</v>
      </c>
      <c r="C1293" s="1" t="n">
        <v>45186</v>
      </c>
      <c r="D1293" t="inlineStr">
        <is>
          <t>STOCKHOLMS LÄN</t>
        </is>
      </c>
      <c r="E1293" t="inlineStr">
        <is>
          <t>NORRTÄLJE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49938-2020</t>
        </is>
      </c>
      <c r="B1294" s="1" t="n">
        <v>44109</v>
      </c>
      <c r="C1294" s="1" t="n">
        <v>45186</v>
      </c>
      <c r="D1294" t="inlineStr">
        <is>
          <t>STOCKHOLMS LÄN</t>
        </is>
      </c>
      <c r="E1294" t="inlineStr">
        <is>
          <t>SÖDERTÄLJE</t>
        </is>
      </c>
      <c r="F1294" t="inlineStr">
        <is>
          <t>Kommuner</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50497-2020</t>
        </is>
      </c>
      <c r="B1295" s="1" t="n">
        <v>44110</v>
      </c>
      <c r="C1295" s="1" t="n">
        <v>45186</v>
      </c>
      <c r="D1295" t="inlineStr">
        <is>
          <t>STOCKHOLMS LÄN</t>
        </is>
      </c>
      <c r="E1295" t="inlineStr">
        <is>
          <t>NORRTÄLJE</t>
        </is>
      </c>
      <c r="F1295" t="inlineStr">
        <is>
          <t>Holmen skog AB</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50585-2020</t>
        </is>
      </c>
      <c r="B1296" s="1" t="n">
        <v>44110</v>
      </c>
      <c r="C1296" s="1" t="n">
        <v>45186</v>
      </c>
      <c r="D1296" t="inlineStr">
        <is>
          <t>STOCKHOLMS LÄN</t>
        </is>
      </c>
      <c r="E1296" t="inlineStr">
        <is>
          <t>SIGTUNA</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50523-2020</t>
        </is>
      </c>
      <c r="B1297" s="1" t="n">
        <v>44110</v>
      </c>
      <c r="C1297" s="1" t="n">
        <v>45186</v>
      </c>
      <c r="D1297" t="inlineStr">
        <is>
          <t>STOCKHOLMS LÄN</t>
        </is>
      </c>
      <c r="E1297" t="inlineStr">
        <is>
          <t>SÖDERTÄLJE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50529-2020</t>
        </is>
      </c>
      <c r="B1298" s="1" t="n">
        <v>44110</v>
      </c>
      <c r="C1298" s="1" t="n">
        <v>45186</v>
      </c>
      <c r="D1298" t="inlineStr">
        <is>
          <t>STOCKHOLMS LÄN</t>
        </is>
      </c>
      <c r="E1298" t="inlineStr">
        <is>
          <t>SÖDERTÄLJE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50524-2020</t>
        </is>
      </c>
      <c r="B1299" s="1" t="n">
        <v>44110</v>
      </c>
      <c r="C1299" s="1" t="n">
        <v>45186</v>
      </c>
      <c r="D1299" t="inlineStr">
        <is>
          <t>STOCKHOLMS LÄN</t>
        </is>
      </c>
      <c r="E1299" t="inlineStr">
        <is>
          <t>SÖDERTÄLJE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50520-2020</t>
        </is>
      </c>
      <c r="B1300" s="1" t="n">
        <v>44110</v>
      </c>
      <c r="C1300" s="1" t="n">
        <v>45186</v>
      </c>
      <c r="D1300" t="inlineStr">
        <is>
          <t>STOCKHOLMS LÄN</t>
        </is>
      </c>
      <c r="E1300" t="inlineStr">
        <is>
          <t>SÖDERTÄLJE</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50527-2020</t>
        </is>
      </c>
      <c r="B1301" s="1" t="n">
        <v>44110</v>
      </c>
      <c r="C1301" s="1" t="n">
        <v>45186</v>
      </c>
      <c r="D1301" t="inlineStr">
        <is>
          <t>STOCKHOLMS LÄN</t>
        </is>
      </c>
      <c r="E1301" t="inlineStr">
        <is>
          <t>SÖDERTÄLJE</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50698-2020</t>
        </is>
      </c>
      <c r="B1302" s="1" t="n">
        <v>44111</v>
      </c>
      <c r="C1302" s="1" t="n">
        <v>45186</v>
      </c>
      <c r="D1302" t="inlineStr">
        <is>
          <t>STOCKHOLMS LÄN</t>
        </is>
      </c>
      <c r="E1302" t="inlineStr">
        <is>
          <t>UPPLANDS-BRO</t>
        </is>
      </c>
      <c r="F1302" t="inlineStr">
        <is>
          <t>Övriga statliga verk och myndigheter</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50746-2020</t>
        </is>
      </c>
      <c r="B1303" s="1" t="n">
        <v>44111</v>
      </c>
      <c r="C1303" s="1" t="n">
        <v>45186</v>
      </c>
      <c r="D1303" t="inlineStr">
        <is>
          <t>STOCKHOLMS LÄN</t>
        </is>
      </c>
      <c r="E1303" t="inlineStr">
        <is>
          <t>NORRTÄLJE</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51203-2020</t>
        </is>
      </c>
      <c r="B1304" s="1" t="n">
        <v>44112</v>
      </c>
      <c r="C1304" s="1" t="n">
        <v>45186</v>
      </c>
      <c r="D1304" t="inlineStr">
        <is>
          <t>STOCKHOLMS LÄN</t>
        </is>
      </c>
      <c r="E1304" t="inlineStr">
        <is>
          <t>SÖDERTÄLJE</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51098-2020</t>
        </is>
      </c>
      <c r="B1305" s="1" t="n">
        <v>44112</v>
      </c>
      <c r="C1305" s="1" t="n">
        <v>45186</v>
      </c>
      <c r="D1305" t="inlineStr">
        <is>
          <t>STOCKHOLMS LÄN</t>
        </is>
      </c>
      <c r="E1305" t="inlineStr">
        <is>
          <t>NACKA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51720-2020</t>
        </is>
      </c>
      <c r="B1306" s="1" t="n">
        <v>44113</v>
      </c>
      <c r="C1306" s="1" t="n">
        <v>45186</v>
      </c>
      <c r="D1306" t="inlineStr">
        <is>
          <t>STOCKHOLMS LÄN</t>
        </is>
      </c>
      <c r="E1306" t="inlineStr">
        <is>
          <t>NORRTÄLJE</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51798-2020</t>
        </is>
      </c>
      <c r="B1307" s="1" t="n">
        <v>44116</v>
      </c>
      <c r="C1307" s="1" t="n">
        <v>45186</v>
      </c>
      <c r="D1307" t="inlineStr">
        <is>
          <t>STOCKHOLMS LÄN</t>
        </is>
      </c>
      <c r="E1307" t="inlineStr">
        <is>
          <t>NORRTÄLJE</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51787-2020</t>
        </is>
      </c>
      <c r="B1308" s="1" t="n">
        <v>44116</v>
      </c>
      <c r="C1308" s="1" t="n">
        <v>45186</v>
      </c>
      <c r="D1308" t="inlineStr">
        <is>
          <t>STOCKHOLMS LÄN</t>
        </is>
      </c>
      <c r="E1308" t="inlineStr">
        <is>
          <t>NORRTÄLJE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52727-2020</t>
        </is>
      </c>
      <c r="B1309" s="1" t="n">
        <v>44117</v>
      </c>
      <c r="C1309" s="1" t="n">
        <v>45186</v>
      </c>
      <c r="D1309" t="inlineStr">
        <is>
          <t>STOCKHOLMS LÄN</t>
        </is>
      </c>
      <c r="E1309" t="inlineStr">
        <is>
          <t>STOCKHOLM</t>
        </is>
      </c>
      <c r="F1309" t="inlineStr">
        <is>
          <t>Kommuner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52806-2020</t>
        </is>
      </c>
      <c r="B1310" s="1" t="n">
        <v>44119</v>
      </c>
      <c r="C1310" s="1" t="n">
        <v>45186</v>
      </c>
      <c r="D1310" t="inlineStr">
        <is>
          <t>STOCKHOLMS LÄN</t>
        </is>
      </c>
      <c r="E1310" t="inlineStr">
        <is>
          <t>NYNÄSHAMN</t>
        </is>
      </c>
      <c r="G1310" t="n">
        <v>5.9</v>
      </c>
      <c r="H1310" t="n">
        <v>0</v>
      </c>
      <c r="I1310" t="n">
        <v>0</v>
      </c>
      <c r="J1310" t="n">
        <v>0</v>
      </c>
      <c r="K1310" t="n">
        <v>0</v>
      </c>
      <c r="L1310" t="n">
        <v>0</v>
      </c>
      <c r="M1310" t="n">
        <v>0</v>
      </c>
      <c r="N1310" t="n">
        <v>0</v>
      </c>
      <c r="O1310" t="n">
        <v>0</v>
      </c>
      <c r="P1310" t="n">
        <v>0</v>
      </c>
      <c r="Q1310" t="n">
        <v>0</v>
      </c>
      <c r="R1310" s="2" t="inlineStr"/>
    </row>
    <row r="1311" ht="15" customHeight="1">
      <c r="A1311" t="inlineStr">
        <is>
          <t>A 53768-2020</t>
        </is>
      </c>
      <c r="B1311" s="1" t="n">
        <v>44123</v>
      </c>
      <c r="C1311" s="1" t="n">
        <v>45186</v>
      </c>
      <c r="D1311" t="inlineStr">
        <is>
          <t>STOCKHOLMS LÄN</t>
        </is>
      </c>
      <c r="E1311" t="inlineStr">
        <is>
          <t>NORRTÄLJE</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53607-2020</t>
        </is>
      </c>
      <c r="B1312" s="1" t="n">
        <v>44124</v>
      </c>
      <c r="C1312" s="1" t="n">
        <v>45186</v>
      </c>
      <c r="D1312" t="inlineStr">
        <is>
          <t>STOCKHOLMS LÄN</t>
        </is>
      </c>
      <c r="E1312" t="inlineStr">
        <is>
          <t>NORRTÄLJE</t>
        </is>
      </c>
      <c r="F1312" t="inlineStr">
        <is>
          <t>Holmen skog AB</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53750-2020</t>
        </is>
      </c>
      <c r="B1313" s="1" t="n">
        <v>44124</v>
      </c>
      <c r="C1313" s="1" t="n">
        <v>45186</v>
      </c>
      <c r="D1313" t="inlineStr">
        <is>
          <t>STOCKHOLMS LÄN</t>
        </is>
      </c>
      <c r="E1313" t="inlineStr">
        <is>
          <t>SÖDERTÄLJE</t>
        </is>
      </c>
      <c r="G1313" t="n">
        <v>4.8</v>
      </c>
      <c r="H1313" t="n">
        <v>0</v>
      </c>
      <c r="I1313" t="n">
        <v>0</v>
      </c>
      <c r="J1313" t="n">
        <v>0</v>
      </c>
      <c r="K1313" t="n">
        <v>0</v>
      </c>
      <c r="L1313" t="n">
        <v>0</v>
      </c>
      <c r="M1313" t="n">
        <v>0</v>
      </c>
      <c r="N1313" t="n">
        <v>0</v>
      </c>
      <c r="O1313" t="n">
        <v>0</v>
      </c>
      <c r="P1313" t="n">
        <v>0</v>
      </c>
      <c r="Q1313" t="n">
        <v>0</v>
      </c>
      <c r="R1313" s="2" t="inlineStr"/>
    </row>
    <row r="1314" ht="15" customHeight="1">
      <c r="A1314" t="inlineStr">
        <is>
          <t>A 53690-2020</t>
        </is>
      </c>
      <c r="B1314" s="1" t="n">
        <v>44124</v>
      </c>
      <c r="C1314" s="1" t="n">
        <v>45186</v>
      </c>
      <c r="D1314" t="inlineStr">
        <is>
          <t>STOCKHOLMS LÄN</t>
        </is>
      </c>
      <c r="E1314" t="inlineStr">
        <is>
          <t>NORRTÄLJE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53652-2020</t>
        </is>
      </c>
      <c r="B1315" s="1" t="n">
        <v>44124</v>
      </c>
      <c r="C1315" s="1" t="n">
        <v>45186</v>
      </c>
      <c r="D1315" t="inlineStr">
        <is>
          <t>STOCKHOLMS LÄN</t>
        </is>
      </c>
      <c r="E1315" t="inlineStr">
        <is>
          <t>NORRTÄLJE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54002-2020</t>
        </is>
      </c>
      <c r="B1316" s="1" t="n">
        <v>44125</v>
      </c>
      <c r="C1316" s="1" t="n">
        <v>45186</v>
      </c>
      <c r="D1316" t="inlineStr">
        <is>
          <t>STOCKHOLMS LÄN</t>
        </is>
      </c>
      <c r="E1316" t="inlineStr">
        <is>
          <t>BOTKYRKA</t>
        </is>
      </c>
      <c r="F1316" t="inlineStr">
        <is>
          <t>Övriga Aktiebolag</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53979-2020</t>
        </is>
      </c>
      <c r="B1317" s="1" t="n">
        <v>44125</v>
      </c>
      <c r="C1317" s="1" t="n">
        <v>45186</v>
      </c>
      <c r="D1317" t="inlineStr">
        <is>
          <t>STOCKHOLMS LÄN</t>
        </is>
      </c>
      <c r="E1317" t="inlineStr">
        <is>
          <t>BOTKYRKA</t>
        </is>
      </c>
      <c r="F1317" t="inlineStr">
        <is>
          <t>Övriga Aktiebolag</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55200-2020</t>
        </is>
      </c>
      <c r="B1318" s="1" t="n">
        <v>44130</v>
      </c>
      <c r="C1318" s="1" t="n">
        <v>45186</v>
      </c>
      <c r="D1318" t="inlineStr">
        <is>
          <t>STOCKHOLMS LÄN</t>
        </is>
      </c>
      <c r="E1318" t="inlineStr">
        <is>
          <t>BOTKYRKA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55464-2020</t>
        </is>
      </c>
      <c r="B1319" s="1" t="n">
        <v>44130</v>
      </c>
      <c r="C1319" s="1" t="n">
        <v>45186</v>
      </c>
      <c r="D1319" t="inlineStr">
        <is>
          <t>STOCKHOLMS LÄN</t>
        </is>
      </c>
      <c r="E1319" t="inlineStr">
        <is>
          <t>SÖDERTÄLJE</t>
        </is>
      </c>
      <c r="G1319" t="n">
        <v>5</v>
      </c>
      <c r="H1319" t="n">
        <v>0</v>
      </c>
      <c r="I1319" t="n">
        <v>0</v>
      </c>
      <c r="J1319" t="n">
        <v>0</v>
      </c>
      <c r="K1319" t="n">
        <v>0</v>
      </c>
      <c r="L1319" t="n">
        <v>0</v>
      </c>
      <c r="M1319" t="n">
        <v>0</v>
      </c>
      <c r="N1319" t="n">
        <v>0</v>
      </c>
      <c r="O1319" t="n">
        <v>0</v>
      </c>
      <c r="P1319" t="n">
        <v>0</v>
      </c>
      <c r="Q1319" t="n">
        <v>0</v>
      </c>
      <c r="R1319" s="2" t="inlineStr"/>
    </row>
    <row r="1320" ht="15" customHeight="1">
      <c r="A1320" t="inlineStr">
        <is>
          <t>A 55466-2020</t>
        </is>
      </c>
      <c r="B1320" s="1" t="n">
        <v>44130</v>
      </c>
      <c r="C1320" s="1" t="n">
        <v>45186</v>
      </c>
      <c r="D1320" t="inlineStr">
        <is>
          <t>STOCKHOLMS LÄN</t>
        </is>
      </c>
      <c r="E1320" t="inlineStr">
        <is>
          <t>SÖDERTÄLJE</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55089-2020</t>
        </is>
      </c>
      <c r="B1321" s="1" t="n">
        <v>44130</v>
      </c>
      <c r="C1321" s="1" t="n">
        <v>45186</v>
      </c>
      <c r="D1321" t="inlineStr">
        <is>
          <t>STOCKHOLMS LÄN</t>
        </is>
      </c>
      <c r="E1321" t="inlineStr">
        <is>
          <t>NORRTÄLJE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55541-2020</t>
        </is>
      </c>
      <c r="B1322" s="1" t="n">
        <v>44131</v>
      </c>
      <c r="C1322" s="1" t="n">
        <v>45186</v>
      </c>
      <c r="D1322" t="inlineStr">
        <is>
          <t>STOCKHOLMS LÄN</t>
        </is>
      </c>
      <c r="E1322" t="inlineStr">
        <is>
          <t>UPPLANDS-BRO</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55895-2020</t>
        </is>
      </c>
      <c r="B1323" s="1" t="n">
        <v>44132</v>
      </c>
      <c r="C1323" s="1" t="n">
        <v>45186</v>
      </c>
      <c r="D1323" t="inlineStr">
        <is>
          <t>STOCKHOLMS LÄN</t>
        </is>
      </c>
      <c r="E1323" t="inlineStr">
        <is>
          <t>NORRTÄLJE</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55982-2020</t>
        </is>
      </c>
      <c r="B1324" s="1" t="n">
        <v>44132</v>
      </c>
      <c r="C1324" s="1" t="n">
        <v>45186</v>
      </c>
      <c r="D1324" t="inlineStr">
        <is>
          <t>STOCKHOLMS LÄN</t>
        </is>
      </c>
      <c r="E1324" t="inlineStr">
        <is>
          <t>NORRTÄLJE</t>
        </is>
      </c>
      <c r="G1324" t="n">
        <v>11.3</v>
      </c>
      <c r="H1324" t="n">
        <v>0</v>
      </c>
      <c r="I1324" t="n">
        <v>0</v>
      </c>
      <c r="J1324" t="n">
        <v>0</v>
      </c>
      <c r="K1324" t="n">
        <v>0</v>
      </c>
      <c r="L1324" t="n">
        <v>0</v>
      </c>
      <c r="M1324" t="n">
        <v>0</v>
      </c>
      <c r="N1324" t="n">
        <v>0</v>
      </c>
      <c r="O1324" t="n">
        <v>0</v>
      </c>
      <c r="P1324" t="n">
        <v>0</v>
      </c>
      <c r="Q1324" t="n">
        <v>0</v>
      </c>
      <c r="R1324" s="2" t="inlineStr"/>
    </row>
    <row r="1325" ht="15" customHeight="1">
      <c r="A1325" t="inlineStr">
        <is>
          <t>A 55890-2020</t>
        </is>
      </c>
      <c r="B1325" s="1" t="n">
        <v>44132</v>
      </c>
      <c r="C1325" s="1" t="n">
        <v>45186</v>
      </c>
      <c r="D1325" t="inlineStr">
        <is>
          <t>STOCKHOLMS LÄN</t>
        </is>
      </c>
      <c r="E1325" t="inlineStr">
        <is>
          <t>NORRTÄLJE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56166-2020</t>
        </is>
      </c>
      <c r="B1326" s="1" t="n">
        <v>44133</v>
      </c>
      <c r="C1326" s="1" t="n">
        <v>45186</v>
      </c>
      <c r="D1326" t="inlineStr">
        <is>
          <t>STOCKHOLMS LÄN</t>
        </is>
      </c>
      <c r="E1326" t="inlineStr">
        <is>
          <t>NORRTÄLJE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56608-2020</t>
        </is>
      </c>
      <c r="B1327" s="1" t="n">
        <v>44133</v>
      </c>
      <c r="C1327" s="1" t="n">
        <v>45186</v>
      </c>
      <c r="D1327" t="inlineStr">
        <is>
          <t>STOCKHOLMS LÄN</t>
        </is>
      </c>
      <c r="E1327" t="inlineStr">
        <is>
          <t>NYNÄSHAMN</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56323-2020</t>
        </is>
      </c>
      <c r="B1328" s="1" t="n">
        <v>44134</v>
      </c>
      <c r="C1328" s="1" t="n">
        <v>45186</v>
      </c>
      <c r="D1328" t="inlineStr">
        <is>
          <t>STOCKHOLMS LÄN</t>
        </is>
      </c>
      <c r="E1328" t="inlineStr">
        <is>
          <t>NORRTÄLJE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57552-2020</t>
        </is>
      </c>
      <c r="B1329" s="1" t="n">
        <v>44140</v>
      </c>
      <c r="C1329" s="1" t="n">
        <v>45186</v>
      </c>
      <c r="D1329" t="inlineStr">
        <is>
          <t>STOCKHOLMS LÄN</t>
        </is>
      </c>
      <c r="E1329" t="inlineStr">
        <is>
          <t>SIGTUNA</t>
        </is>
      </c>
      <c r="G1329" t="n">
        <v>17.9</v>
      </c>
      <c r="H1329" t="n">
        <v>0</v>
      </c>
      <c r="I1329" t="n">
        <v>0</v>
      </c>
      <c r="J1329" t="n">
        <v>0</v>
      </c>
      <c r="K1329" t="n">
        <v>0</v>
      </c>
      <c r="L1329" t="n">
        <v>0</v>
      </c>
      <c r="M1329" t="n">
        <v>0</v>
      </c>
      <c r="N1329" t="n">
        <v>0</v>
      </c>
      <c r="O1329" t="n">
        <v>0</v>
      </c>
      <c r="P1329" t="n">
        <v>0</v>
      </c>
      <c r="Q1329" t="n">
        <v>0</v>
      </c>
      <c r="R1329" s="2" t="inlineStr"/>
    </row>
    <row r="1330" ht="15" customHeight="1">
      <c r="A1330" t="inlineStr">
        <is>
          <t>A 57809-2020</t>
        </is>
      </c>
      <c r="B1330" s="1" t="n">
        <v>44141</v>
      </c>
      <c r="C1330" s="1" t="n">
        <v>45186</v>
      </c>
      <c r="D1330" t="inlineStr">
        <is>
          <t>STOCKHOLMS LÄN</t>
        </is>
      </c>
      <c r="E1330" t="inlineStr">
        <is>
          <t>BOTKYRKA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57992-2020</t>
        </is>
      </c>
      <c r="B1331" s="1" t="n">
        <v>44143</v>
      </c>
      <c r="C1331" s="1" t="n">
        <v>45186</v>
      </c>
      <c r="D1331" t="inlineStr">
        <is>
          <t>STOCKHOLMS LÄN</t>
        </is>
      </c>
      <c r="E1331" t="inlineStr">
        <is>
          <t>SÖDERTÄLJE</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57957-2020</t>
        </is>
      </c>
      <c r="B1332" s="1" t="n">
        <v>44143</v>
      </c>
      <c r="C1332" s="1" t="n">
        <v>45186</v>
      </c>
      <c r="D1332" t="inlineStr">
        <is>
          <t>STOCKHOLMS LÄN</t>
        </is>
      </c>
      <c r="E1332" t="inlineStr">
        <is>
          <t>NORRTÄLJE</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57987-2020</t>
        </is>
      </c>
      <c r="B1333" s="1" t="n">
        <v>44143</v>
      </c>
      <c r="C1333" s="1" t="n">
        <v>45186</v>
      </c>
      <c r="D1333" t="inlineStr">
        <is>
          <t>STOCKHOLMS LÄN</t>
        </is>
      </c>
      <c r="E1333" t="inlineStr">
        <is>
          <t>NORRTÄLJE</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58260-2020</t>
        </is>
      </c>
      <c r="B1334" s="1" t="n">
        <v>44144</v>
      </c>
      <c r="C1334" s="1" t="n">
        <v>45186</v>
      </c>
      <c r="D1334" t="inlineStr">
        <is>
          <t>STOCKHOLMS LÄN</t>
        </is>
      </c>
      <c r="E1334" t="inlineStr">
        <is>
          <t>HUDDINGE</t>
        </is>
      </c>
      <c r="F1334" t="inlineStr">
        <is>
          <t>Kommuner</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58661-2020</t>
        </is>
      </c>
      <c r="B1335" s="1" t="n">
        <v>44145</v>
      </c>
      <c r="C1335" s="1" t="n">
        <v>45186</v>
      </c>
      <c r="D1335" t="inlineStr">
        <is>
          <t>STOCKHOLMS LÄN</t>
        </is>
      </c>
      <c r="E1335" t="inlineStr">
        <is>
          <t>NORRTÄLJE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58531-2020</t>
        </is>
      </c>
      <c r="B1336" s="1" t="n">
        <v>44145</v>
      </c>
      <c r="C1336" s="1" t="n">
        <v>45186</v>
      </c>
      <c r="D1336" t="inlineStr">
        <is>
          <t>STOCKHOLMS LÄN</t>
        </is>
      </c>
      <c r="E1336" t="inlineStr">
        <is>
          <t>BOTKYRKA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58665-2020</t>
        </is>
      </c>
      <c r="B1337" s="1" t="n">
        <v>44145</v>
      </c>
      <c r="C1337" s="1" t="n">
        <v>45186</v>
      </c>
      <c r="D1337" t="inlineStr">
        <is>
          <t>STOCKHOLMS LÄN</t>
        </is>
      </c>
      <c r="E1337" t="inlineStr">
        <is>
          <t>NORRTÄLJE</t>
        </is>
      </c>
      <c r="G1337" t="n">
        <v>5.2</v>
      </c>
      <c r="H1337" t="n">
        <v>0</v>
      </c>
      <c r="I1337" t="n">
        <v>0</v>
      </c>
      <c r="J1337" t="n">
        <v>0</v>
      </c>
      <c r="K1337" t="n">
        <v>0</v>
      </c>
      <c r="L1337" t="n">
        <v>0</v>
      </c>
      <c r="M1337" t="n">
        <v>0</v>
      </c>
      <c r="N1337" t="n">
        <v>0</v>
      </c>
      <c r="O1337" t="n">
        <v>0</v>
      </c>
      <c r="P1337" t="n">
        <v>0</v>
      </c>
      <c r="Q1337" t="n">
        <v>0</v>
      </c>
      <c r="R1337" s="2" t="inlineStr"/>
    </row>
    <row r="1338" ht="15" customHeight="1">
      <c r="A1338" t="inlineStr">
        <is>
          <t>A 58493-2020</t>
        </is>
      </c>
      <c r="B1338" s="1" t="n">
        <v>44145</v>
      </c>
      <c r="C1338" s="1" t="n">
        <v>45186</v>
      </c>
      <c r="D1338" t="inlineStr">
        <is>
          <t>STOCKHOLMS LÄN</t>
        </is>
      </c>
      <c r="E1338" t="inlineStr">
        <is>
          <t>NORRTÄLJE</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58517-2020</t>
        </is>
      </c>
      <c r="B1339" s="1" t="n">
        <v>44145</v>
      </c>
      <c r="C1339" s="1" t="n">
        <v>45186</v>
      </c>
      <c r="D1339" t="inlineStr">
        <is>
          <t>STOCKHOLMS LÄN</t>
        </is>
      </c>
      <c r="E1339" t="inlineStr">
        <is>
          <t>BOTKYRKA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58888-2020</t>
        </is>
      </c>
      <c r="B1340" s="1" t="n">
        <v>44146</v>
      </c>
      <c r="C1340" s="1" t="n">
        <v>45186</v>
      </c>
      <c r="D1340" t="inlineStr">
        <is>
          <t>STOCKHOLMS LÄN</t>
        </is>
      </c>
      <c r="E1340" t="inlineStr">
        <is>
          <t>NORRTÄLJE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59570-2020</t>
        </is>
      </c>
      <c r="B1341" s="1" t="n">
        <v>44148</v>
      </c>
      <c r="C1341" s="1" t="n">
        <v>45186</v>
      </c>
      <c r="D1341" t="inlineStr">
        <is>
          <t>STOCKHOLMS LÄN</t>
        </is>
      </c>
      <c r="E1341" t="inlineStr">
        <is>
          <t>NYKVARN</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60321-2020</t>
        </is>
      </c>
      <c r="B1342" s="1" t="n">
        <v>44152</v>
      </c>
      <c r="C1342" s="1" t="n">
        <v>45186</v>
      </c>
      <c r="D1342" t="inlineStr">
        <is>
          <t>STOCKHOLMS LÄN</t>
        </is>
      </c>
      <c r="E1342" t="inlineStr">
        <is>
          <t>NORRTÄLJE</t>
        </is>
      </c>
      <c r="F1342" t="inlineStr">
        <is>
          <t>Holmen skog AB</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61048-2020</t>
        </is>
      </c>
      <c r="B1343" s="1" t="n">
        <v>44153</v>
      </c>
      <c r="C1343" s="1" t="n">
        <v>45186</v>
      </c>
      <c r="D1343" t="inlineStr">
        <is>
          <t>STOCKHOLMS LÄN</t>
        </is>
      </c>
      <c r="E1343" t="inlineStr">
        <is>
          <t>VÄRMDÖ</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60542-2020</t>
        </is>
      </c>
      <c r="B1344" s="1" t="n">
        <v>44153</v>
      </c>
      <c r="C1344" s="1" t="n">
        <v>45186</v>
      </c>
      <c r="D1344" t="inlineStr">
        <is>
          <t>STOCKHOLMS LÄN</t>
        </is>
      </c>
      <c r="E1344" t="inlineStr">
        <is>
          <t>NORRTÄLJE</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60891-2020</t>
        </is>
      </c>
      <c r="B1345" s="1" t="n">
        <v>44154</v>
      </c>
      <c r="C1345" s="1" t="n">
        <v>45186</v>
      </c>
      <c r="D1345" t="inlineStr">
        <is>
          <t>STOCKHOLMS LÄN</t>
        </is>
      </c>
      <c r="E1345" t="inlineStr">
        <is>
          <t>NORRTÄLJE</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60961-2020</t>
        </is>
      </c>
      <c r="B1346" s="1" t="n">
        <v>44154</v>
      </c>
      <c r="C1346" s="1" t="n">
        <v>45186</v>
      </c>
      <c r="D1346" t="inlineStr">
        <is>
          <t>STOCKHOLMS LÄN</t>
        </is>
      </c>
      <c r="E1346" t="inlineStr">
        <is>
          <t>NORRTÄLJE</t>
        </is>
      </c>
      <c r="F1346" t="inlineStr">
        <is>
          <t>Holmen skog AB</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60977-2020</t>
        </is>
      </c>
      <c r="B1347" s="1" t="n">
        <v>44154</v>
      </c>
      <c r="C1347" s="1" t="n">
        <v>45186</v>
      </c>
      <c r="D1347" t="inlineStr">
        <is>
          <t>STOCKHOLMS LÄN</t>
        </is>
      </c>
      <c r="E1347" t="inlineStr">
        <is>
          <t>NORRTÄLJE</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61192-2020</t>
        </is>
      </c>
      <c r="B1348" s="1" t="n">
        <v>44155</v>
      </c>
      <c r="C1348" s="1" t="n">
        <v>45186</v>
      </c>
      <c r="D1348" t="inlineStr">
        <is>
          <t>STOCKHOLMS LÄN</t>
        </is>
      </c>
      <c r="E1348" t="inlineStr">
        <is>
          <t>NORRTÄLJE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61195-2020</t>
        </is>
      </c>
      <c r="B1349" s="1" t="n">
        <v>44155</v>
      </c>
      <c r="C1349" s="1" t="n">
        <v>45186</v>
      </c>
      <c r="D1349" t="inlineStr">
        <is>
          <t>STOCKHOLMS LÄN</t>
        </is>
      </c>
      <c r="E1349" t="inlineStr">
        <is>
          <t>NORRTÄLJE</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61221-2020</t>
        </is>
      </c>
      <c r="B1350" s="1" t="n">
        <v>44155</v>
      </c>
      <c r="C1350" s="1" t="n">
        <v>45186</v>
      </c>
      <c r="D1350" t="inlineStr">
        <is>
          <t>STOCKHOLMS LÄN</t>
        </is>
      </c>
      <c r="E1350" t="inlineStr">
        <is>
          <t>NORRTÄLJE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61469-2020</t>
        </is>
      </c>
      <c r="B1351" s="1" t="n">
        <v>44155</v>
      </c>
      <c r="C1351" s="1" t="n">
        <v>45186</v>
      </c>
      <c r="D1351" t="inlineStr">
        <is>
          <t>STOCKHOLMS LÄN</t>
        </is>
      </c>
      <c r="E1351" t="inlineStr">
        <is>
          <t>NORRTÄLJE</t>
        </is>
      </c>
      <c r="F1351" t="inlineStr">
        <is>
          <t>Övriga Aktiebolag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61655-2020</t>
        </is>
      </c>
      <c r="B1352" s="1" t="n">
        <v>44158</v>
      </c>
      <c r="C1352" s="1" t="n">
        <v>45186</v>
      </c>
      <c r="D1352" t="inlineStr">
        <is>
          <t>STOCKHOLMS LÄN</t>
        </is>
      </c>
      <c r="E1352" t="inlineStr">
        <is>
          <t>VALLENTUNA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62460-2020</t>
        </is>
      </c>
      <c r="B1353" s="1" t="n">
        <v>44160</v>
      </c>
      <c r="C1353" s="1" t="n">
        <v>45186</v>
      </c>
      <c r="D1353" t="inlineStr">
        <is>
          <t>STOCKHOLMS LÄN</t>
        </is>
      </c>
      <c r="E1353" t="inlineStr">
        <is>
          <t>NORRTÄLJE</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62854-2020</t>
        </is>
      </c>
      <c r="B1354" s="1" t="n">
        <v>44161</v>
      </c>
      <c r="C1354" s="1" t="n">
        <v>45186</v>
      </c>
      <c r="D1354" t="inlineStr">
        <is>
          <t>STOCKHOLMS LÄN</t>
        </is>
      </c>
      <c r="E1354" t="inlineStr">
        <is>
          <t>NORRTÄLJE</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63492-2020</t>
        </is>
      </c>
      <c r="B1355" s="1" t="n">
        <v>44161</v>
      </c>
      <c r="C1355" s="1" t="n">
        <v>45186</v>
      </c>
      <c r="D1355" t="inlineStr">
        <is>
          <t>STOCKHOLMS LÄN</t>
        </is>
      </c>
      <c r="E1355" t="inlineStr">
        <is>
          <t>VÄRMDÖ</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63824-2020</t>
        </is>
      </c>
      <c r="B1356" s="1" t="n">
        <v>44162</v>
      </c>
      <c r="C1356" s="1" t="n">
        <v>45186</v>
      </c>
      <c r="D1356" t="inlineStr">
        <is>
          <t>STOCKHOLMS LÄN</t>
        </is>
      </c>
      <c r="E1356" t="inlineStr">
        <is>
          <t>NORRTÄLJE</t>
        </is>
      </c>
      <c r="F1356" t="inlineStr">
        <is>
          <t>Övriga Aktiebolag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63894-2020</t>
        </is>
      </c>
      <c r="B1357" s="1" t="n">
        <v>44166</v>
      </c>
      <c r="C1357" s="1" t="n">
        <v>45186</v>
      </c>
      <c r="D1357" t="inlineStr">
        <is>
          <t>STOCKHOLMS LÄN</t>
        </is>
      </c>
      <c r="E1357" t="inlineStr">
        <is>
          <t>VALLENTUNA</t>
        </is>
      </c>
      <c r="G1357" t="n">
        <v>14.8</v>
      </c>
      <c r="H1357" t="n">
        <v>0</v>
      </c>
      <c r="I1357" t="n">
        <v>0</v>
      </c>
      <c r="J1357" t="n">
        <v>0</v>
      </c>
      <c r="K1357" t="n">
        <v>0</v>
      </c>
      <c r="L1357" t="n">
        <v>0</v>
      </c>
      <c r="M1357" t="n">
        <v>0</v>
      </c>
      <c r="N1357" t="n">
        <v>0</v>
      </c>
      <c r="O1357" t="n">
        <v>0</v>
      </c>
      <c r="P1357" t="n">
        <v>0</v>
      </c>
      <c r="Q1357" t="n">
        <v>0</v>
      </c>
      <c r="R1357" s="2" t="inlineStr"/>
    </row>
    <row r="1358" ht="15" customHeight="1">
      <c r="A1358" t="inlineStr">
        <is>
          <t>A 64548-2020</t>
        </is>
      </c>
      <c r="B1358" s="1" t="n">
        <v>44166</v>
      </c>
      <c r="C1358" s="1" t="n">
        <v>45186</v>
      </c>
      <c r="D1358" t="inlineStr">
        <is>
          <t>STOCKHOLMS LÄN</t>
        </is>
      </c>
      <c r="E1358" t="inlineStr">
        <is>
          <t>HANINGE</t>
        </is>
      </c>
      <c r="G1358" t="n">
        <v>7.2</v>
      </c>
      <c r="H1358" t="n">
        <v>0</v>
      </c>
      <c r="I1358" t="n">
        <v>0</v>
      </c>
      <c r="J1358" t="n">
        <v>0</v>
      </c>
      <c r="K1358" t="n">
        <v>0</v>
      </c>
      <c r="L1358" t="n">
        <v>0</v>
      </c>
      <c r="M1358" t="n">
        <v>0</v>
      </c>
      <c r="N1358" t="n">
        <v>0</v>
      </c>
      <c r="O1358" t="n">
        <v>0</v>
      </c>
      <c r="P1358" t="n">
        <v>0</v>
      </c>
      <c r="Q1358" t="n">
        <v>0</v>
      </c>
      <c r="R1358" s="2" t="inlineStr"/>
    </row>
    <row r="1359" ht="15" customHeight="1">
      <c r="A1359" t="inlineStr">
        <is>
          <t>A 64015-2020</t>
        </is>
      </c>
      <c r="B1359" s="1" t="n">
        <v>44167</v>
      </c>
      <c r="C1359" s="1" t="n">
        <v>45186</v>
      </c>
      <c r="D1359" t="inlineStr">
        <is>
          <t>STOCKHOLMS LÄN</t>
        </is>
      </c>
      <c r="E1359" t="inlineStr">
        <is>
          <t>UPPLANDS-BRO</t>
        </is>
      </c>
      <c r="F1359" t="inlineStr">
        <is>
          <t>Övriga statliga verk och myndigheter</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64372-2020</t>
        </is>
      </c>
      <c r="B1360" s="1" t="n">
        <v>44168</v>
      </c>
      <c r="C1360" s="1" t="n">
        <v>45186</v>
      </c>
      <c r="D1360" t="inlineStr">
        <is>
          <t>STOCKHOLMS LÄN</t>
        </is>
      </c>
      <c r="E1360" t="inlineStr">
        <is>
          <t>SIGTUNA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64395-2020</t>
        </is>
      </c>
      <c r="B1361" s="1" t="n">
        <v>44168</v>
      </c>
      <c r="C1361" s="1" t="n">
        <v>45186</v>
      </c>
      <c r="D1361" t="inlineStr">
        <is>
          <t>STOCKHOLMS LÄN</t>
        </is>
      </c>
      <c r="E1361" t="inlineStr">
        <is>
          <t>HANINGE</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64981-2020</t>
        </is>
      </c>
      <c r="B1362" s="1" t="n">
        <v>44172</v>
      </c>
      <c r="C1362" s="1" t="n">
        <v>45186</v>
      </c>
      <c r="D1362" t="inlineStr">
        <is>
          <t>STOCKHOLMS LÄN</t>
        </is>
      </c>
      <c r="E1362" t="inlineStr">
        <is>
          <t>SIGTUNA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65118-2020</t>
        </is>
      </c>
      <c r="B1363" s="1" t="n">
        <v>44172</v>
      </c>
      <c r="C1363" s="1" t="n">
        <v>45186</v>
      </c>
      <c r="D1363" t="inlineStr">
        <is>
          <t>STOCKHOLMS LÄN</t>
        </is>
      </c>
      <c r="E1363" t="inlineStr">
        <is>
          <t>NYNÄSHAMN</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65804-2020</t>
        </is>
      </c>
      <c r="B1364" s="1" t="n">
        <v>44172</v>
      </c>
      <c r="C1364" s="1" t="n">
        <v>45186</v>
      </c>
      <c r="D1364" t="inlineStr">
        <is>
          <t>STOCKHOLMS LÄN</t>
        </is>
      </c>
      <c r="E1364" t="inlineStr">
        <is>
          <t>VALLENTUNA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65916-2020</t>
        </is>
      </c>
      <c r="B1365" s="1" t="n">
        <v>44175</v>
      </c>
      <c r="C1365" s="1" t="n">
        <v>45186</v>
      </c>
      <c r="D1365" t="inlineStr">
        <is>
          <t>STOCKHOLMS LÄN</t>
        </is>
      </c>
      <c r="E1365" t="inlineStr">
        <is>
          <t>SALEM</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65954-2020</t>
        </is>
      </c>
      <c r="B1366" s="1" t="n">
        <v>44175</v>
      </c>
      <c r="C1366" s="1" t="n">
        <v>45186</v>
      </c>
      <c r="D1366" t="inlineStr">
        <is>
          <t>STOCKHOLMS LÄN</t>
        </is>
      </c>
      <c r="E1366" t="inlineStr">
        <is>
          <t>UPPLANDS-BRO</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66372-2020</t>
        </is>
      </c>
      <c r="B1367" s="1" t="n">
        <v>44176</v>
      </c>
      <c r="C1367" s="1" t="n">
        <v>45186</v>
      </c>
      <c r="D1367" t="inlineStr">
        <is>
          <t>STOCKHOLMS LÄN</t>
        </is>
      </c>
      <c r="E1367" t="inlineStr">
        <is>
          <t>NORRTÄLJE</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66907-2020</t>
        </is>
      </c>
      <c r="B1368" s="1" t="n">
        <v>44176</v>
      </c>
      <c r="C1368" s="1" t="n">
        <v>45186</v>
      </c>
      <c r="D1368" t="inlineStr">
        <is>
          <t>STOCKHOLMS LÄN</t>
        </is>
      </c>
      <c r="E1368" t="inlineStr">
        <is>
          <t>NORRTÄLJE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66726-2020</t>
        </is>
      </c>
      <c r="B1369" s="1" t="n">
        <v>44179</v>
      </c>
      <c r="C1369" s="1" t="n">
        <v>45186</v>
      </c>
      <c r="D1369" t="inlineStr">
        <is>
          <t>STOCKHOLMS LÄN</t>
        </is>
      </c>
      <c r="E1369" t="inlineStr">
        <is>
          <t>HANINGE</t>
        </is>
      </c>
      <c r="F1369" t="inlineStr">
        <is>
          <t>Övriga statliga verk och myndigheter</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66926-2020</t>
        </is>
      </c>
      <c r="B1370" s="1" t="n">
        <v>44180</v>
      </c>
      <c r="C1370" s="1" t="n">
        <v>45186</v>
      </c>
      <c r="D1370" t="inlineStr">
        <is>
          <t>STOCKHOLMS LÄN</t>
        </is>
      </c>
      <c r="E1370" t="inlineStr">
        <is>
          <t>UPPLANDS-BRO</t>
        </is>
      </c>
      <c r="F1370" t="inlineStr">
        <is>
          <t>Övriga statliga verk och myndigheter</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66949-2020</t>
        </is>
      </c>
      <c r="B1371" s="1" t="n">
        <v>44180</v>
      </c>
      <c r="C1371" s="1" t="n">
        <v>45186</v>
      </c>
      <c r="D1371" t="inlineStr">
        <is>
          <t>STOCKHOLMS LÄN</t>
        </is>
      </c>
      <c r="E1371" t="inlineStr">
        <is>
          <t>UPPLANDS-BRO</t>
        </is>
      </c>
      <c r="F1371" t="inlineStr">
        <is>
          <t>Övriga statliga verk och myndigheter</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66960-2020</t>
        </is>
      </c>
      <c r="B1372" s="1" t="n">
        <v>44180</v>
      </c>
      <c r="C1372" s="1" t="n">
        <v>45186</v>
      </c>
      <c r="D1372" t="inlineStr">
        <is>
          <t>STOCKHOLMS LÄN</t>
        </is>
      </c>
      <c r="E1372" t="inlineStr">
        <is>
          <t>UPPLANDS-BRO</t>
        </is>
      </c>
      <c r="F1372" t="inlineStr">
        <is>
          <t>Övriga statliga verk och myndigheter</t>
        </is>
      </c>
      <c r="G1372" t="n">
        <v>15.2</v>
      </c>
      <c r="H1372" t="n">
        <v>0</v>
      </c>
      <c r="I1372" t="n">
        <v>0</v>
      </c>
      <c r="J1372" t="n">
        <v>0</v>
      </c>
      <c r="K1372" t="n">
        <v>0</v>
      </c>
      <c r="L1372" t="n">
        <v>0</v>
      </c>
      <c r="M1372" t="n">
        <v>0</v>
      </c>
      <c r="N1372" t="n">
        <v>0</v>
      </c>
      <c r="O1372" t="n">
        <v>0</v>
      </c>
      <c r="P1372" t="n">
        <v>0</v>
      </c>
      <c r="Q1372" t="n">
        <v>0</v>
      </c>
      <c r="R1372" s="2" t="inlineStr"/>
    </row>
    <row r="1373" ht="15" customHeight="1">
      <c r="A1373" t="inlineStr">
        <is>
          <t>A 67275-2020</t>
        </is>
      </c>
      <c r="B1373" s="1" t="n">
        <v>44181</v>
      </c>
      <c r="C1373" s="1" t="n">
        <v>45186</v>
      </c>
      <c r="D1373" t="inlineStr">
        <is>
          <t>STOCKHOLMS LÄN</t>
        </is>
      </c>
      <c r="E1373" t="inlineStr">
        <is>
          <t>UPPLANDS-BRO</t>
        </is>
      </c>
      <c r="F1373" t="inlineStr">
        <is>
          <t>Övriga statliga verk och myndigheter</t>
        </is>
      </c>
      <c r="G1373" t="n">
        <v>19.7</v>
      </c>
      <c r="H1373" t="n">
        <v>0</v>
      </c>
      <c r="I1373" t="n">
        <v>0</v>
      </c>
      <c r="J1373" t="n">
        <v>0</v>
      </c>
      <c r="K1373" t="n">
        <v>0</v>
      </c>
      <c r="L1373" t="n">
        <v>0</v>
      </c>
      <c r="M1373" t="n">
        <v>0</v>
      </c>
      <c r="N1373" t="n">
        <v>0</v>
      </c>
      <c r="O1373" t="n">
        <v>0</v>
      </c>
      <c r="P1373" t="n">
        <v>0</v>
      </c>
      <c r="Q1373" t="n">
        <v>0</v>
      </c>
      <c r="R1373" s="2" t="inlineStr"/>
    </row>
    <row r="1374" ht="15" customHeight="1">
      <c r="A1374" t="inlineStr">
        <is>
          <t>A 67286-2020</t>
        </is>
      </c>
      <c r="B1374" s="1" t="n">
        <v>44181</v>
      </c>
      <c r="C1374" s="1" t="n">
        <v>45186</v>
      </c>
      <c r="D1374" t="inlineStr">
        <is>
          <t>STOCKHOLMS LÄN</t>
        </is>
      </c>
      <c r="E1374" t="inlineStr">
        <is>
          <t>UPPLANDS-BRO</t>
        </is>
      </c>
      <c r="F1374" t="inlineStr">
        <is>
          <t>Övriga statliga verk och myndigheter</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67393-2020</t>
        </is>
      </c>
      <c r="B1375" s="1" t="n">
        <v>44181</v>
      </c>
      <c r="C1375" s="1" t="n">
        <v>45186</v>
      </c>
      <c r="D1375" t="inlineStr">
        <is>
          <t>STOCKHOLMS LÄN</t>
        </is>
      </c>
      <c r="E1375" t="inlineStr">
        <is>
          <t>NORRTÄLJE</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68268-2020</t>
        </is>
      </c>
      <c r="B1376" s="1" t="n">
        <v>44183</v>
      </c>
      <c r="C1376" s="1" t="n">
        <v>45186</v>
      </c>
      <c r="D1376" t="inlineStr">
        <is>
          <t>STOCKHOLMS LÄN</t>
        </is>
      </c>
      <c r="E1376" t="inlineStr">
        <is>
          <t>NYKVARN</t>
        </is>
      </c>
      <c r="F1376" t="inlineStr">
        <is>
          <t>Allmännings- och besparingsskogar</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68081-2020</t>
        </is>
      </c>
      <c r="B1377" s="1" t="n">
        <v>44183</v>
      </c>
      <c r="C1377" s="1" t="n">
        <v>45186</v>
      </c>
      <c r="D1377" t="inlineStr">
        <is>
          <t>STOCKHOLMS LÄN</t>
        </is>
      </c>
      <c r="E1377" t="inlineStr">
        <is>
          <t>NORRTÄLJE</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68721-2020</t>
        </is>
      </c>
      <c r="B1378" s="1" t="n">
        <v>44187</v>
      </c>
      <c r="C1378" s="1" t="n">
        <v>45186</v>
      </c>
      <c r="D1378" t="inlineStr">
        <is>
          <t>STOCKHOLMS LÄN</t>
        </is>
      </c>
      <c r="E1378" t="inlineStr">
        <is>
          <t>SÖDERTÄLJE</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68938-2020</t>
        </is>
      </c>
      <c r="B1379" s="1" t="n">
        <v>44187</v>
      </c>
      <c r="C1379" s="1" t="n">
        <v>45186</v>
      </c>
      <c r="D1379" t="inlineStr">
        <is>
          <t>STOCKHOLMS LÄN</t>
        </is>
      </c>
      <c r="E1379" t="inlineStr">
        <is>
          <t>VALLENTUNA</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68935-2020</t>
        </is>
      </c>
      <c r="B1380" s="1" t="n">
        <v>44187</v>
      </c>
      <c r="C1380" s="1" t="n">
        <v>45186</v>
      </c>
      <c r="D1380" t="inlineStr">
        <is>
          <t>STOCKHOLMS LÄN</t>
        </is>
      </c>
      <c r="E1380" t="inlineStr">
        <is>
          <t>VALLENTUNA</t>
        </is>
      </c>
      <c r="G1380" t="n">
        <v>7.8</v>
      </c>
      <c r="H1380" t="n">
        <v>0</v>
      </c>
      <c r="I1380" t="n">
        <v>0</v>
      </c>
      <c r="J1380" t="n">
        <v>0</v>
      </c>
      <c r="K1380" t="n">
        <v>0</v>
      </c>
      <c r="L1380" t="n">
        <v>0</v>
      </c>
      <c r="M1380" t="n">
        <v>0</v>
      </c>
      <c r="N1380" t="n">
        <v>0</v>
      </c>
      <c r="O1380" t="n">
        <v>0</v>
      </c>
      <c r="P1380" t="n">
        <v>0</v>
      </c>
      <c r="Q1380" t="n">
        <v>0</v>
      </c>
      <c r="R1380" s="2" t="inlineStr"/>
    </row>
    <row r="1381" ht="15" customHeight="1">
      <c r="A1381" t="inlineStr">
        <is>
          <t>A 69183-2020</t>
        </is>
      </c>
      <c r="B1381" s="1" t="n">
        <v>44190</v>
      </c>
      <c r="C1381" s="1" t="n">
        <v>45186</v>
      </c>
      <c r="D1381" t="inlineStr">
        <is>
          <t>STOCKHOLMS LÄN</t>
        </is>
      </c>
      <c r="E1381" t="inlineStr">
        <is>
          <t>NYNÄSHAMN</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177-2021</t>
        </is>
      </c>
      <c r="B1382" s="1" t="n">
        <v>44200</v>
      </c>
      <c r="C1382" s="1" t="n">
        <v>45186</v>
      </c>
      <c r="D1382" t="inlineStr">
        <is>
          <t>STOCKHOLMS LÄN</t>
        </is>
      </c>
      <c r="E1382" t="inlineStr">
        <is>
          <t>BOTKYRKA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348-2021</t>
        </is>
      </c>
      <c r="B1383" s="1" t="n">
        <v>44201</v>
      </c>
      <c r="C1383" s="1" t="n">
        <v>45186</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367-2021</t>
        </is>
      </c>
      <c r="B1384" s="1" t="n">
        <v>44201</v>
      </c>
      <c r="C1384" s="1" t="n">
        <v>45186</v>
      </c>
      <c r="D1384" t="inlineStr">
        <is>
          <t>STOCKHOLMS LÄN</t>
        </is>
      </c>
      <c r="E1384" t="inlineStr">
        <is>
          <t>NORRTÄLJE</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1418-2021</t>
        </is>
      </c>
      <c r="B1385" s="1" t="n">
        <v>44208</v>
      </c>
      <c r="C1385" s="1" t="n">
        <v>45186</v>
      </c>
      <c r="D1385" t="inlineStr">
        <is>
          <t>STOCKHOLMS LÄN</t>
        </is>
      </c>
      <c r="E1385" t="inlineStr">
        <is>
          <t>HANINGE</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1438-2021</t>
        </is>
      </c>
      <c r="B1386" s="1" t="n">
        <v>44208</v>
      </c>
      <c r="C1386" s="1" t="n">
        <v>45186</v>
      </c>
      <c r="D1386" t="inlineStr">
        <is>
          <t>STOCKHOLMS LÄN</t>
        </is>
      </c>
      <c r="E1386" t="inlineStr">
        <is>
          <t>HANINGE</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1420-2021</t>
        </is>
      </c>
      <c r="B1387" s="1" t="n">
        <v>44208</v>
      </c>
      <c r="C1387" s="1" t="n">
        <v>45186</v>
      </c>
      <c r="D1387" t="inlineStr">
        <is>
          <t>STOCKHOLMS LÄN</t>
        </is>
      </c>
      <c r="E1387" t="inlineStr">
        <is>
          <t>HANINGE</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1637-2021</t>
        </is>
      </c>
      <c r="B1388" s="1" t="n">
        <v>44209</v>
      </c>
      <c r="C1388" s="1" t="n">
        <v>45186</v>
      </c>
      <c r="D1388" t="inlineStr">
        <is>
          <t>STOCKHOLMS LÄN</t>
        </is>
      </c>
      <c r="E1388" t="inlineStr">
        <is>
          <t>NORRTÄLJE</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1553-2021</t>
        </is>
      </c>
      <c r="B1389" s="1" t="n">
        <v>44209</v>
      </c>
      <c r="C1389" s="1" t="n">
        <v>45186</v>
      </c>
      <c r="D1389" t="inlineStr">
        <is>
          <t>STOCKHOLMS LÄN</t>
        </is>
      </c>
      <c r="E1389" t="inlineStr">
        <is>
          <t>EKERÖ</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1970-2021</t>
        </is>
      </c>
      <c r="B1390" s="1" t="n">
        <v>44210</v>
      </c>
      <c r="C1390" s="1" t="n">
        <v>45186</v>
      </c>
      <c r="D1390" t="inlineStr">
        <is>
          <t>STOCKHOLMS LÄN</t>
        </is>
      </c>
      <c r="E1390" t="inlineStr">
        <is>
          <t>NORRTÄLJE</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2295-2021</t>
        </is>
      </c>
      <c r="B1391" s="1" t="n">
        <v>44212</v>
      </c>
      <c r="C1391" s="1" t="n">
        <v>45186</v>
      </c>
      <c r="D1391" t="inlineStr">
        <is>
          <t>STOCKHOLMS LÄN</t>
        </is>
      </c>
      <c r="E1391" t="inlineStr">
        <is>
          <t>NYNÄSHAMN</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2447-2021</t>
        </is>
      </c>
      <c r="B1392" s="1" t="n">
        <v>44214</v>
      </c>
      <c r="C1392" s="1" t="n">
        <v>45186</v>
      </c>
      <c r="D1392" t="inlineStr">
        <is>
          <t>STOCKHOLMS LÄN</t>
        </is>
      </c>
      <c r="E1392" t="inlineStr">
        <is>
          <t>NORRTÄLJE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2751-2021</t>
        </is>
      </c>
      <c r="B1393" s="1" t="n">
        <v>44215</v>
      </c>
      <c r="C1393" s="1" t="n">
        <v>45186</v>
      </c>
      <c r="D1393" t="inlineStr">
        <is>
          <t>STOCKHOLMS LÄN</t>
        </is>
      </c>
      <c r="E1393" t="inlineStr">
        <is>
          <t>NYNÄSHAMN</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2867-2021</t>
        </is>
      </c>
      <c r="B1394" s="1" t="n">
        <v>44216</v>
      </c>
      <c r="C1394" s="1" t="n">
        <v>45186</v>
      </c>
      <c r="D1394" t="inlineStr">
        <is>
          <t>STOCKHOLMS LÄN</t>
        </is>
      </c>
      <c r="E1394" t="inlineStr">
        <is>
          <t>NYNÄSHAMN</t>
        </is>
      </c>
      <c r="G1394" t="n">
        <v>5.1</v>
      </c>
      <c r="H1394" t="n">
        <v>0</v>
      </c>
      <c r="I1394" t="n">
        <v>0</v>
      </c>
      <c r="J1394" t="n">
        <v>0</v>
      </c>
      <c r="K1394" t="n">
        <v>0</v>
      </c>
      <c r="L1394" t="n">
        <v>0</v>
      </c>
      <c r="M1394" t="n">
        <v>0</v>
      </c>
      <c r="N1394" t="n">
        <v>0</v>
      </c>
      <c r="O1394" t="n">
        <v>0</v>
      </c>
      <c r="P1394" t="n">
        <v>0</v>
      </c>
      <c r="Q1394" t="n">
        <v>0</v>
      </c>
      <c r="R1394" s="2" t="inlineStr"/>
    </row>
    <row r="1395" ht="15" customHeight="1">
      <c r="A1395" t="inlineStr">
        <is>
          <t>A 2976-2021</t>
        </is>
      </c>
      <c r="B1395" s="1" t="n">
        <v>44216</v>
      </c>
      <c r="C1395" s="1" t="n">
        <v>45186</v>
      </c>
      <c r="D1395" t="inlineStr">
        <is>
          <t>STOCKHOLMS LÄN</t>
        </is>
      </c>
      <c r="E1395" t="inlineStr">
        <is>
          <t>NORRTÄLJE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2858-2021</t>
        </is>
      </c>
      <c r="B1396" s="1" t="n">
        <v>44216</v>
      </c>
      <c r="C1396" s="1" t="n">
        <v>45186</v>
      </c>
      <c r="D1396" t="inlineStr">
        <is>
          <t>STOCKHOLMS LÄN</t>
        </is>
      </c>
      <c r="E1396" t="inlineStr">
        <is>
          <t>NYNÄSHAMN</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3386-2021</t>
        </is>
      </c>
      <c r="B1397" s="1" t="n">
        <v>44218</v>
      </c>
      <c r="C1397" s="1" t="n">
        <v>45186</v>
      </c>
      <c r="D1397" t="inlineStr">
        <is>
          <t>STOCKHOLMS LÄN</t>
        </is>
      </c>
      <c r="E1397" t="inlineStr">
        <is>
          <t>NORRTÄLJE</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3702-2021</t>
        </is>
      </c>
      <c r="B1398" s="1" t="n">
        <v>44221</v>
      </c>
      <c r="C1398" s="1" t="n">
        <v>45186</v>
      </c>
      <c r="D1398" t="inlineStr">
        <is>
          <t>STOCKHOLMS LÄN</t>
        </is>
      </c>
      <c r="E1398" t="inlineStr">
        <is>
          <t>EKERÖ</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4281-2021</t>
        </is>
      </c>
      <c r="B1399" s="1" t="n">
        <v>44223</v>
      </c>
      <c r="C1399" s="1" t="n">
        <v>45186</v>
      </c>
      <c r="D1399" t="inlineStr">
        <is>
          <t>STOCKHOLMS LÄN</t>
        </is>
      </c>
      <c r="E1399" t="inlineStr">
        <is>
          <t>BOTKYRKA</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4354-2021</t>
        </is>
      </c>
      <c r="B1400" s="1" t="n">
        <v>44223</v>
      </c>
      <c r="C1400" s="1" t="n">
        <v>45186</v>
      </c>
      <c r="D1400" t="inlineStr">
        <is>
          <t>STOCKHOLMS LÄN</t>
        </is>
      </c>
      <c r="E1400" t="inlineStr">
        <is>
          <t>NYNÄSHAMN</t>
        </is>
      </c>
      <c r="G1400" t="n">
        <v>14.5</v>
      </c>
      <c r="H1400" t="n">
        <v>0</v>
      </c>
      <c r="I1400" t="n">
        <v>0</v>
      </c>
      <c r="J1400" t="n">
        <v>0</v>
      </c>
      <c r="K1400" t="n">
        <v>0</v>
      </c>
      <c r="L1400" t="n">
        <v>0</v>
      </c>
      <c r="M1400" t="n">
        <v>0</v>
      </c>
      <c r="N1400" t="n">
        <v>0</v>
      </c>
      <c r="O1400" t="n">
        <v>0</v>
      </c>
      <c r="P1400" t="n">
        <v>0</v>
      </c>
      <c r="Q1400" t="n">
        <v>0</v>
      </c>
      <c r="R1400" s="2" t="inlineStr"/>
    </row>
    <row r="1401" ht="15" customHeight="1">
      <c r="A1401" t="inlineStr">
        <is>
          <t>A 4634-2021</t>
        </is>
      </c>
      <c r="B1401" s="1" t="n">
        <v>44224</v>
      </c>
      <c r="C1401" s="1" t="n">
        <v>45186</v>
      </c>
      <c r="D1401" t="inlineStr">
        <is>
          <t>STOCKHOLMS LÄN</t>
        </is>
      </c>
      <c r="E1401" t="inlineStr">
        <is>
          <t>NORRTÄLJE</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4632-2021</t>
        </is>
      </c>
      <c r="B1402" s="1" t="n">
        <v>44224</v>
      </c>
      <c r="C1402" s="1" t="n">
        <v>45186</v>
      </c>
      <c r="D1402" t="inlineStr">
        <is>
          <t>STOCKHOLMS LÄN</t>
        </is>
      </c>
      <c r="E1402" t="inlineStr">
        <is>
          <t>NORRTÄLJE</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5037-2021</t>
        </is>
      </c>
      <c r="B1403" s="1" t="n">
        <v>44228</v>
      </c>
      <c r="C1403" s="1" t="n">
        <v>45186</v>
      </c>
      <c r="D1403" t="inlineStr">
        <is>
          <t>STOCKHOLMS LÄN</t>
        </is>
      </c>
      <c r="E1403" t="inlineStr">
        <is>
          <t>NORRTÄLJE</t>
        </is>
      </c>
      <c r="F1403" t="inlineStr">
        <is>
          <t>Holmen skog AB</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5562-2021</t>
        </is>
      </c>
      <c r="B1404" s="1" t="n">
        <v>44230</v>
      </c>
      <c r="C1404" s="1" t="n">
        <v>45186</v>
      </c>
      <c r="D1404" t="inlineStr">
        <is>
          <t>STOCKHOLMS LÄN</t>
        </is>
      </c>
      <c r="E1404" t="inlineStr">
        <is>
          <t>NORRTÄLJE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5566-2021</t>
        </is>
      </c>
      <c r="B1405" s="1" t="n">
        <v>44230</v>
      </c>
      <c r="C1405" s="1" t="n">
        <v>45186</v>
      </c>
      <c r="D1405" t="inlineStr">
        <is>
          <t>STOCKHOLMS LÄN</t>
        </is>
      </c>
      <c r="E1405" t="inlineStr">
        <is>
          <t>NORRTÄLJE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6049-2021</t>
        </is>
      </c>
      <c r="B1406" s="1" t="n">
        <v>44231</v>
      </c>
      <c r="C1406" s="1" t="n">
        <v>45186</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5950-2021</t>
        </is>
      </c>
      <c r="B1407" s="1" t="n">
        <v>44231</v>
      </c>
      <c r="C1407" s="1" t="n">
        <v>45186</v>
      </c>
      <c r="D1407" t="inlineStr">
        <is>
          <t>STOCKHOLMS LÄN</t>
        </is>
      </c>
      <c r="E1407" t="inlineStr">
        <is>
          <t>NORRTÄLJE</t>
        </is>
      </c>
      <c r="F1407" t="inlineStr">
        <is>
          <t>Holmen skog AB</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6080-2021</t>
        </is>
      </c>
      <c r="B1408" s="1" t="n">
        <v>44232</v>
      </c>
      <c r="C1408" s="1" t="n">
        <v>45186</v>
      </c>
      <c r="D1408" t="inlineStr">
        <is>
          <t>STOCKHOLMS LÄN</t>
        </is>
      </c>
      <c r="E1408" t="inlineStr">
        <is>
          <t>ÖSTERÅKER</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6430-2021</t>
        </is>
      </c>
      <c r="B1409" s="1" t="n">
        <v>44235</v>
      </c>
      <c r="C1409" s="1" t="n">
        <v>45186</v>
      </c>
      <c r="D1409" t="inlineStr">
        <is>
          <t>STOCKHOLMS LÄN</t>
        </is>
      </c>
      <c r="E1409" t="inlineStr">
        <is>
          <t>SIGTUNA</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6593-2021</t>
        </is>
      </c>
      <c r="B1410" s="1" t="n">
        <v>44236</v>
      </c>
      <c r="C1410" s="1" t="n">
        <v>45186</v>
      </c>
      <c r="D1410" t="inlineStr">
        <is>
          <t>STOCKHOLMS LÄN</t>
        </is>
      </c>
      <c r="E1410" t="inlineStr">
        <is>
          <t>VALLENTUNA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7683-2021</t>
        </is>
      </c>
      <c r="B1411" s="1" t="n">
        <v>44242</v>
      </c>
      <c r="C1411" s="1" t="n">
        <v>45186</v>
      </c>
      <c r="D1411" t="inlineStr">
        <is>
          <t>STOCKHOLMS LÄN</t>
        </is>
      </c>
      <c r="E1411" t="inlineStr">
        <is>
          <t>NYNÄSHAMN</t>
        </is>
      </c>
      <c r="F1411" t="inlineStr">
        <is>
          <t>Kommuner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7999-2021</t>
        </is>
      </c>
      <c r="B1412" s="1" t="n">
        <v>44243</v>
      </c>
      <c r="C1412" s="1" t="n">
        <v>45186</v>
      </c>
      <c r="D1412" t="inlineStr">
        <is>
          <t>STOCKHOLMS LÄN</t>
        </is>
      </c>
      <c r="E1412" t="inlineStr">
        <is>
          <t>NORRTÄLJE</t>
        </is>
      </c>
      <c r="G1412" t="n">
        <v>6.8</v>
      </c>
      <c r="H1412" t="n">
        <v>0</v>
      </c>
      <c r="I1412" t="n">
        <v>0</v>
      </c>
      <c r="J1412" t="n">
        <v>0</v>
      </c>
      <c r="K1412" t="n">
        <v>0</v>
      </c>
      <c r="L1412" t="n">
        <v>0</v>
      </c>
      <c r="M1412" t="n">
        <v>0</v>
      </c>
      <c r="N1412" t="n">
        <v>0</v>
      </c>
      <c r="O1412" t="n">
        <v>0</v>
      </c>
      <c r="P1412" t="n">
        <v>0</v>
      </c>
      <c r="Q1412" t="n">
        <v>0</v>
      </c>
      <c r="R1412" s="2" t="inlineStr"/>
    </row>
    <row r="1413" ht="15" customHeight="1">
      <c r="A1413" t="inlineStr">
        <is>
          <t>A 8338-2021</t>
        </is>
      </c>
      <c r="B1413" s="1" t="n">
        <v>44244</v>
      </c>
      <c r="C1413" s="1" t="n">
        <v>45186</v>
      </c>
      <c r="D1413" t="inlineStr">
        <is>
          <t>STOCKHOLMS LÄN</t>
        </is>
      </c>
      <c r="E1413" t="inlineStr">
        <is>
          <t>NORRTÄLJE</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8791-2021</t>
        </is>
      </c>
      <c r="B1414" s="1" t="n">
        <v>44246</v>
      </c>
      <c r="C1414" s="1" t="n">
        <v>45186</v>
      </c>
      <c r="D1414" t="inlineStr">
        <is>
          <t>STOCKHOLMS LÄN</t>
        </is>
      </c>
      <c r="E1414" t="inlineStr">
        <is>
          <t>VALLENTUNA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9331-2021</t>
        </is>
      </c>
      <c r="B1415" s="1" t="n">
        <v>44250</v>
      </c>
      <c r="C1415" s="1" t="n">
        <v>45186</v>
      </c>
      <c r="D1415" t="inlineStr">
        <is>
          <t>STOCKHOLMS LÄN</t>
        </is>
      </c>
      <c r="E1415" t="inlineStr">
        <is>
          <t>VALLENTUNA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9446-2021</t>
        </is>
      </c>
      <c r="B1416" s="1" t="n">
        <v>44251</v>
      </c>
      <c r="C1416" s="1" t="n">
        <v>45186</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9469-2021</t>
        </is>
      </c>
      <c r="B1417" s="1" t="n">
        <v>44251</v>
      </c>
      <c r="C1417" s="1" t="n">
        <v>45186</v>
      </c>
      <c r="D1417" t="inlineStr">
        <is>
          <t>STOCKHOLMS LÄN</t>
        </is>
      </c>
      <c r="E1417" t="inlineStr">
        <is>
          <t>NORRTÄLJE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9477-2021</t>
        </is>
      </c>
      <c r="B1418" s="1" t="n">
        <v>44251</v>
      </c>
      <c r="C1418" s="1" t="n">
        <v>45186</v>
      </c>
      <c r="D1418" t="inlineStr">
        <is>
          <t>STOCKHOLMS LÄN</t>
        </is>
      </c>
      <c r="E1418" t="inlineStr">
        <is>
          <t>NORRTÄLJE</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9475-2021</t>
        </is>
      </c>
      <c r="B1419" s="1" t="n">
        <v>44251</v>
      </c>
      <c r="C1419" s="1" t="n">
        <v>45186</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9703-2021</t>
        </is>
      </c>
      <c r="B1420" s="1" t="n">
        <v>44252</v>
      </c>
      <c r="C1420" s="1" t="n">
        <v>45186</v>
      </c>
      <c r="D1420" t="inlineStr">
        <is>
          <t>STOCKHOLMS LÄN</t>
        </is>
      </c>
      <c r="E1420" t="inlineStr">
        <is>
          <t>NORRTÄLJE</t>
        </is>
      </c>
      <c r="G1420" t="n">
        <v>3.4</v>
      </c>
      <c r="H1420" t="n">
        <v>0</v>
      </c>
      <c r="I1420" t="n">
        <v>0</v>
      </c>
      <c r="J1420" t="n">
        <v>0</v>
      </c>
      <c r="K1420" t="n">
        <v>0</v>
      </c>
      <c r="L1420" t="n">
        <v>0</v>
      </c>
      <c r="M1420" t="n">
        <v>0</v>
      </c>
      <c r="N1420" t="n">
        <v>0</v>
      </c>
      <c r="O1420" t="n">
        <v>0</v>
      </c>
      <c r="P1420" t="n">
        <v>0</v>
      </c>
      <c r="Q1420" t="n">
        <v>0</v>
      </c>
      <c r="R1420" s="2" t="inlineStr"/>
    </row>
    <row r="1421" ht="15" customHeight="1">
      <c r="A1421" t="inlineStr">
        <is>
          <t>A 9719-2021</t>
        </is>
      </c>
      <c r="B1421" s="1" t="n">
        <v>44252</v>
      </c>
      <c r="C1421" s="1" t="n">
        <v>45186</v>
      </c>
      <c r="D1421" t="inlineStr">
        <is>
          <t>STOCKHOLMS LÄN</t>
        </is>
      </c>
      <c r="E1421" t="inlineStr">
        <is>
          <t>NORRTÄLJE</t>
        </is>
      </c>
      <c r="F1421" t="inlineStr">
        <is>
          <t>Holmen skog AB</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9939-2021</t>
        </is>
      </c>
      <c r="B1422" s="1" t="n">
        <v>44253</v>
      </c>
      <c r="C1422" s="1" t="n">
        <v>45186</v>
      </c>
      <c r="D1422" t="inlineStr">
        <is>
          <t>STOCKHOLMS LÄN</t>
        </is>
      </c>
      <c r="E1422" t="inlineStr">
        <is>
          <t>HUDDINGE</t>
        </is>
      </c>
      <c r="F1422" t="inlineStr">
        <is>
          <t>Kommuner</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9945-2021</t>
        </is>
      </c>
      <c r="B1423" s="1" t="n">
        <v>44253</v>
      </c>
      <c r="C1423" s="1" t="n">
        <v>45186</v>
      </c>
      <c r="D1423" t="inlineStr">
        <is>
          <t>STOCKHOLMS LÄN</t>
        </is>
      </c>
      <c r="E1423" t="inlineStr">
        <is>
          <t>HUDDINGE</t>
        </is>
      </c>
      <c r="F1423" t="inlineStr">
        <is>
          <t>Kommuner</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9986-2021</t>
        </is>
      </c>
      <c r="B1424" s="1" t="n">
        <v>44254</v>
      </c>
      <c r="C1424" s="1" t="n">
        <v>45186</v>
      </c>
      <c r="D1424" t="inlineStr">
        <is>
          <t>STOCKHOLMS LÄN</t>
        </is>
      </c>
      <c r="E1424" t="inlineStr">
        <is>
          <t>SÖDERTÄLJE</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10684-2021</t>
        </is>
      </c>
      <c r="B1425" s="1" t="n">
        <v>44258</v>
      </c>
      <c r="C1425" s="1" t="n">
        <v>45186</v>
      </c>
      <c r="D1425" t="inlineStr">
        <is>
          <t>STOCKHOLMS LÄN</t>
        </is>
      </c>
      <c r="E1425" t="inlineStr">
        <is>
          <t>NORRTÄLJE</t>
        </is>
      </c>
      <c r="F1425" t="inlineStr">
        <is>
          <t>Holmen skog AB</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10527-2021</t>
        </is>
      </c>
      <c r="B1426" s="1" t="n">
        <v>44258</v>
      </c>
      <c r="C1426" s="1" t="n">
        <v>45186</v>
      </c>
      <c r="D1426" t="inlineStr">
        <is>
          <t>STOCKHOLMS LÄN</t>
        </is>
      </c>
      <c r="E1426" t="inlineStr">
        <is>
          <t>NYNÄSHAMN</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10525-2021</t>
        </is>
      </c>
      <c r="B1427" s="1" t="n">
        <v>44258</v>
      </c>
      <c r="C1427" s="1" t="n">
        <v>45186</v>
      </c>
      <c r="D1427" t="inlineStr">
        <is>
          <t>STOCKHOLMS LÄN</t>
        </is>
      </c>
      <c r="E1427" t="inlineStr">
        <is>
          <t>NYNÄSHAMN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10677-2021</t>
        </is>
      </c>
      <c r="B1428" s="1" t="n">
        <v>44258</v>
      </c>
      <c r="C1428" s="1" t="n">
        <v>45186</v>
      </c>
      <c r="D1428" t="inlineStr">
        <is>
          <t>STOCKHOLMS LÄN</t>
        </is>
      </c>
      <c r="E1428" t="inlineStr">
        <is>
          <t>HANINGE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10687-2021</t>
        </is>
      </c>
      <c r="B1429" s="1" t="n">
        <v>44258</v>
      </c>
      <c r="C1429" s="1" t="n">
        <v>45186</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10815-2021</t>
        </is>
      </c>
      <c r="B1430" s="1" t="n">
        <v>44259</v>
      </c>
      <c r="C1430" s="1" t="n">
        <v>45186</v>
      </c>
      <c r="D1430" t="inlineStr">
        <is>
          <t>STOCKHOLMS LÄN</t>
        </is>
      </c>
      <c r="E1430" t="inlineStr">
        <is>
          <t>BOTKYRKA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10808-2021</t>
        </is>
      </c>
      <c r="B1431" s="1" t="n">
        <v>44259</v>
      </c>
      <c r="C1431" s="1" t="n">
        <v>45186</v>
      </c>
      <c r="D1431" t="inlineStr">
        <is>
          <t>STOCKHOLMS LÄN</t>
        </is>
      </c>
      <c r="E1431" t="inlineStr">
        <is>
          <t>BOTKYRKA</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10817-2021</t>
        </is>
      </c>
      <c r="B1432" s="1" t="n">
        <v>44259</v>
      </c>
      <c r="C1432" s="1" t="n">
        <v>45186</v>
      </c>
      <c r="D1432" t="inlineStr">
        <is>
          <t>STOCKHOLMS LÄN</t>
        </is>
      </c>
      <c r="E1432" t="inlineStr">
        <is>
          <t>BOTKYRKA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11122-2021</t>
        </is>
      </c>
      <c r="B1433" s="1" t="n">
        <v>44260</v>
      </c>
      <c r="C1433" s="1" t="n">
        <v>45186</v>
      </c>
      <c r="D1433" t="inlineStr">
        <is>
          <t>STOCKHOLMS LÄN</t>
        </is>
      </c>
      <c r="E1433" t="inlineStr">
        <is>
          <t>NORRTÄLJE</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11126-2021</t>
        </is>
      </c>
      <c r="B1434" s="1" t="n">
        <v>44260</v>
      </c>
      <c r="C1434" s="1" t="n">
        <v>45186</v>
      </c>
      <c r="D1434" t="inlineStr">
        <is>
          <t>STOCKHOLMS LÄN</t>
        </is>
      </c>
      <c r="E1434" t="inlineStr">
        <is>
          <t>SÖDERTÄLJE</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11267-2021</t>
        </is>
      </c>
      <c r="B1435" s="1" t="n">
        <v>44263</v>
      </c>
      <c r="C1435" s="1" t="n">
        <v>45186</v>
      </c>
      <c r="D1435" t="inlineStr">
        <is>
          <t>STOCKHOLMS LÄN</t>
        </is>
      </c>
      <c r="E1435" t="inlineStr">
        <is>
          <t>NACKA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11360-2021</t>
        </is>
      </c>
      <c r="B1436" s="1" t="n">
        <v>44263</v>
      </c>
      <c r="C1436" s="1" t="n">
        <v>45186</v>
      </c>
      <c r="D1436" t="inlineStr">
        <is>
          <t>STOCKHOLMS LÄN</t>
        </is>
      </c>
      <c r="E1436" t="inlineStr">
        <is>
          <t>SÖDERTÄLJE</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11368-2021</t>
        </is>
      </c>
      <c r="B1437" s="1" t="n">
        <v>44263</v>
      </c>
      <c r="C1437" s="1" t="n">
        <v>45186</v>
      </c>
      <c r="D1437" t="inlineStr">
        <is>
          <t>STOCKHOLMS LÄN</t>
        </is>
      </c>
      <c r="E1437" t="inlineStr">
        <is>
          <t>SÖDERTÄLJE</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11195-2021</t>
        </is>
      </c>
      <c r="B1438" s="1" t="n">
        <v>44263</v>
      </c>
      <c r="C1438" s="1" t="n">
        <v>45186</v>
      </c>
      <c r="D1438" t="inlineStr">
        <is>
          <t>STOCKHOLMS LÄN</t>
        </is>
      </c>
      <c r="E1438" t="inlineStr">
        <is>
          <t>SIGTUNA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11361-2021</t>
        </is>
      </c>
      <c r="B1439" s="1" t="n">
        <v>44263</v>
      </c>
      <c r="C1439" s="1" t="n">
        <v>45186</v>
      </c>
      <c r="D1439" t="inlineStr">
        <is>
          <t>STOCKHOLMS LÄN</t>
        </is>
      </c>
      <c r="E1439" t="inlineStr">
        <is>
          <t>SÖDERTÄLJE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11477-2021</t>
        </is>
      </c>
      <c r="B1440" s="1" t="n">
        <v>44264</v>
      </c>
      <c r="C1440" s="1" t="n">
        <v>45186</v>
      </c>
      <c r="D1440" t="inlineStr">
        <is>
          <t>STOCKHOLMS LÄN</t>
        </is>
      </c>
      <c r="E1440" t="inlineStr">
        <is>
          <t>SIGTUNA</t>
        </is>
      </c>
      <c r="F1440" t="inlineStr">
        <is>
          <t>Sveaskog</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11718-2021</t>
        </is>
      </c>
      <c r="B1441" s="1" t="n">
        <v>44265</v>
      </c>
      <c r="C1441" s="1" t="n">
        <v>45186</v>
      </c>
      <c r="D1441" t="inlineStr">
        <is>
          <t>STOCKHOLMS LÄN</t>
        </is>
      </c>
      <c r="E1441" t="inlineStr">
        <is>
          <t>SIGTUNA</t>
        </is>
      </c>
      <c r="F1441" t="inlineStr">
        <is>
          <t>Sveaskog</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11841-2021</t>
        </is>
      </c>
      <c r="B1442" s="1" t="n">
        <v>44265</v>
      </c>
      <c r="C1442" s="1" t="n">
        <v>45186</v>
      </c>
      <c r="D1442" t="inlineStr">
        <is>
          <t>STOCKHOLMS LÄN</t>
        </is>
      </c>
      <c r="E1442" t="inlineStr">
        <is>
          <t>NYNÄSHAMN</t>
        </is>
      </c>
      <c r="G1442" t="n">
        <v>9.9</v>
      </c>
      <c r="H1442" t="n">
        <v>0</v>
      </c>
      <c r="I1442" t="n">
        <v>0</v>
      </c>
      <c r="J1442" t="n">
        <v>0</v>
      </c>
      <c r="K1442" t="n">
        <v>0</v>
      </c>
      <c r="L1442" t="n">
        <v>0</v>
      </c>
      <c r="M1442" t="n">
        <v>0</v>
      </c>
      <c r="N1442" t="n">
        <v>0</v>
      </c>
      <c r="O1442" t="n">
        <v>0</v>
      </c>
      <c r="P1442" t="n">
        <v>0</v>
      </c>
      <c r="Q1442" t="n">
        <v>0</v>
      </c>
      <c r="R1442" s="2" t="inlineStr"/>
    </row>
    <row r="1443" ht="15" customHeight="1">
      <c r="A1443" t="inlineStr">
        <is>
          <t>A 12111-2021</t>
        </is>
      </c>
      <c r="B1443" s="1" t="n">
        <v>44266</v>
      </c>
      <c r="C1443" s="1" t="n">
        <v>45186</v>
      </c>
      <c r="D1443" t="inlineStr">
        <is>
          <t>STOCKHOLMS LÄN</t>
        </is>
      </c>
      <c r="E1443" t="inlineStr">
        <is>
          <t>NORRTÄLJE</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45186</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11988-2021</t>
        </is>
      </c>
      <c r="B1445" s="1" t="n">
        <v>44266</v>
      </c>
      <c r="C1445" s="1" t="n">
        <v>45186</v>
      </c>
      <c r="D1445" t="inlineStr">
        <is>
          <t>STOCKHOLMS LÄN</t>
        </is>
      </c>
      <c r="E1445" t="inlineStr">
        <is>
          <t>NORRTÄLJE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12126-2021</t>
        </is>
      </c>
      <c r="B1446" s="1" t="n">
        <v>44266</v>
      </c>
      <c r="C1446" s="1" t="n">
        <v>45186</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12132-2021</t>
        </is>
      </c>
      <c r="B1447" s="1" t="n">
        <v>44266</v>
      </c>
      <c r="C1447" s="1" t="n">
        <v>45186</v>
      </c>
      <c r="D1447" t="inlineStr">
        <is>
          <t>STOCKHOLMS LÄN</t>
        </is>
      </c>
      <c r="E1447" t="inlineStr">
        <is>
          <t>NORRTÄLJE</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12564-2021</t>
        </is>
      </c>
      <c r="B1448" s="1" t="n">
        <v>44270</v>
      </c>
      <c r="C1448" s="1" t="n">
        <v>45186</v>
      </c>
      <c r="D1448" t="inlineStr">
        <is>
          <t>STOCKHOLMS LÄN</t>
        </is>
      </c>
      <c r="E1448" t="inlineStr">
        <is>
          <t>NORRTÄLJE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12782-2021</t>
        </is>
      </c>
      <c r="B1449" s="1" t="n">
        <v>44270</v>
      </c>
      <c r="C1449" s="1" t="n">
        <v>45186</v>
      </c>
      <c r="D1449" t="inlineStr">
        <is>
          <t>STOCKHOLMS LÄN</t>
        </is>
      </c>
      <c r="E1449" t="inlineStr">
        <is>
          <t>NORRTÄLJE</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12779-2021</t>
        </is>
      </c>
      <c r="B1450" s="1" t="n">
        <v>44270</v>
      </c>
      <c r="C1450" s="1" t="n">
        <v>45186</v>
      </c>
      <c r="D1450" t="inlineStr">
        <is>
          <t>STOCKHOLMS LÄN</t>
        </is>
      </c>
      <c r="E1450" t="inlineStr">
        <is>
          <t>NORRTÄLJE</t>
        </is>
      </c>
      <c r="G1450" t="n">
        <v>10.8</v>
      </c>
      <c r="H1450" t="n">
        <v>0</v>
      </c>
      <c r="I1450" t="n">
        <v>0</v>
      </c>
      <c r="J1450" t="n">
        <v>0</v>
      </c>
      <c r="K1450" t="n">
        <v>0</v>
      </c>
      <c r="L1450" t="n">
        <v>0</v>
      </c>
      <c r="M1450" t="n">
        <v>0</v>
      </c>
      <c r="N1450" t="n">
        <v>0</v>
      </c>
      <c r="O1450" t="n">
        <v>0</v>
      </c>
      <c r="P1450" t="n">
        <v>0</v>
      </c>
      <c r="Q1450" t="n">
        <v>0</v>
      </c>
      <c r="R1450" s="2" t="inlineStr"/>
    </row>
    <row r="1451" ht="15" customHeight="1">
      <c r="A1451" t="inlineStr">
        <is>
          <t>A 12901-2021</t>
        </is>
      </c>
      <c r="B1451" s="1" t="n">
        <v>44271</v>
      </c>
      <c r="C1451" s="1" t="n">
        <v>45186</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13148-2021</t>
        </is>
      </c>
      <c r="B1452" s="1" t="n">
        <v>44272</v>
      </c>
      <c r="C1452" s="1" t="n">
        <v>45186</v>
      </c>
      <c r="D1452" t="inlineStr">
        <is>
          <t>STOCKHOLMS LÄN</t>
        </is>
      </c>
      <c r="E1452" t="inlineStr">
        <is>
          <t>NORRTÄLJE</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13051-2021</t>
        </is>
      </c>
      <c r="B1453" s="1" t="n">
        <v>44272</v>
      </c>
      <c r="C1453" s="1" t="n">
        <v>45186</v>
      </c>
      <c r="D1453" t="inlineStr">
        <is>
          <t>STOCKHOLMS LÄN</t>
        </is>
      </c>
      <c r="E1453" t="inlineStr">
        <is>
          <t>NORRTÄLJE</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13118-2021</t>
        </is>
      </c>
      <c r="B1454" s="1" t="n">
        <v>44272</v>
      </c>
      <c r="C1454" s="1" t="n">
        <v>45186</v>
      </c>
      <c r="D1454" t="inlineStr">
        <is>
          <t>STOCKHOLMS LÄN</t>
        </is>
      </c>
      <c r="E1454" t="inlineStr">
        <is>
          <t>ÖSTERÅKER</t>
        </is>
      </c>
      <c r="F1454" t="inlineStr">
        <is>
          <t>Kyrkan</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13351-2021</t>
        </is>
      </c>
      <c r="B1455" s="1" t="n">
        <v>44273</v>
      </c>
      <c r="C1455" s="1" t="n">
        <v>45186</v>
      </c>
      <c r="D1455" t="inlineStr">
        <is>
          <t>STOCKHOLMS LÄN</t>
        </is>
      </c>
      <c r="E1455" t="inlineStr">
        <is>
          <t>SALEM</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13736-2021</t>
        </is>
      </c>
      <c r="B1456" s="1" t="n">
        <v>44274</v>
      </c>
      <c r="C1456" s="1" t="n">
        <v>45186</v>
      </c>
      <c r="D1456" t="inlineStr">
        <is>
          <t>STOCKHOLMS LÄN</t>
        </is>
      </c>
      <c r="E1456" t="inlineStr">
        <is>
          <t>NORRTÄLJE</t>
        </is>
      </c>
      <c r="F1456" t="inlineStr">
        <is>
          <t>Holmen skog AB</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14014-2021</t>
        </is>
      </c>
      <c r="B1457" s="1" t="n">
        <v>44277</v>
      </c>
      <c r="C1457" s="1" t="n">
        <v>45186</v>
      </c>
      <c r="D1457" t="inlineStr">
        <is>
          <t>STOCKHOLMS LÄN</t>
        </is>
      </c>
      <c r="E1457" t="inlineStr">
        <is>
          <t>VÄRMDÖ</t>
        </is>
      </c>
      <c r="F1457" t="inlineStr">
        <is>
          <t>Övriga statliga verk och myndigheter</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13921-2021</t>
        </is>
      </c>
      <c r="B1458" s="1" t="n">
        <v>44277</v>
      </c>
      <c r="C1458" s="1" t="n">
        <v>45186</v>
      </c>
      <c r="D1458" t="inlineStr">
        <is>
          <t>STOCKHOLMS LÄN</t>
        </is>
      </c>
      <c r="E1458" t="inlineStr">
        <is>
          <t>ÖSTERÅKER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14006-2021</t>
        </is>
      </c>
      <c r="B1459" s="1" t="n">
        <v>44277</v>
      </c>
      <c r="C1459" s="1" t="n">
        <v>45186</v>
      </c>
      <c r="D1459" t="inlineStr">
        <is>
          <t>STOCKHOLMS LÄN</t>
        </is>
      </c>
      <c r="E1459" t="inlineStr">
        <is>
          <t>VÄRMDÖ</t>
        </is>
      </c>
      <c r="F1459" t="inlineStr">
        <is>
          <t>Övriga statliga verk och myndigheter</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14008-2021</t>
        </is>
      </c>
      <c r="B1460" s="1" t="n">
        <v>44277</v>
      </c>
      <c r="C1460" s="1" t="n">
        <v>45186</v>
      </c>
      <c r="D1460" t="inlineStr">
        <is>
          <t>STOCKHOLMS LÄN</t>
        </is>
      </c>
      <c r="E1460" t="inlineStr">
        <is>
          <t>VÄRMDÖ</t>
        </is>
      </c>
      <c r="F1460" t="inlineStr">
        <is>
          <t>Övriga statliga verk och myndigheter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14381-2021</t>
        </is>
      </c>
      <c r="B1461" s="1" t="n">
        <v>44279</v>
      </c>
      <c r="C1461" s="1" t="n">
        <v>45186</v>
      </c>
      <c r="D1461" t="inlineStr">
        <is>
          <t>STOCKHOLMS LÄN</t>
        </is>
      </c>
      <c r="E1461" t="inlineStr">
        <is>
          <t>NORRTÄLJE</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14434-2021</t>
        </is>
      </c>
      <c r="B1462" s="1" t="n">
        <v>44279</v>
      </c>
      <c r="C1462" s="1" t="n">
        <v>45186</v>
      </c>
      <c r="D1462" t="inlineStr">
        <is>
          <t>STOCKHOLMS LÄN</t>
        </is>
      </c>
      <c r="E1462" t="inlineStr">
        <is>
          <t>VALLENTUNA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14447-2021</t>
        </is>
      </c>
      <c r="B1463" s="1" t="n">
        <v>44279</v>
      </c>
      <c r="C1463" s="1" t="n">
        <v>45186</v>
      </c>
      <c r="D1463" t="inlineStr">
        <is>
          <t>STOCKHOLMS LÄN</t>
        </is>
      </c>
      <c r="E1463" t="inlineStr">
        <is>
          <t>VALLENTUNA</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14443-2021</t>
        </is>
      </c>
      <c r="B1464" s="1" t="n">
        <v>44279</v>
      </c>
      <c r="C1464" s="1" t="n">
        <v>45186</v>
      </c>
      <c r="D1464" t="inlineStr">
        <is>
          <t>STOCKHOLMS LÄN</t>
        </is>
      </c>
      <c r="E1464" t="inlineStr">
        <is>
          <t>VALLENTUNA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14635-2021</t>
        </is>
      </c>
      <c r="B1465" s="1" t="n">
        <v>44280</v>
      </c>
      <c r="C1465" s="1" t="n">
        <v>45186</v>
      </c>
      <c r="D1465" t="inlineStr">
        <is>
          <t>STOCKHOLMS LÄN</t>
        </is>
      </c>
      <c r="E1465" t="inlineStr">
        <is>
          <t>SÖDERTÄLJE</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14664-2021</t>
        </is>
      </c>
      <c r="B1466" s="1" t="n">
        <v>44280</v>
      </c>
      <c r="C1466" s="1" t="n">
        <v>45186</v>
      </c>
      <c r="D1466" t="inlineStr">
        <is>
          <t>STOCKHOLMS LÄN</t>
        </is>
      </c>
      <c r="E1466" t="inlineStr">
        <is>
          <t>SÖDERTÄLJE</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14933-2021</t>
        </is>
      </c>
      <c r="B1467" s="1" t="n">
        <v>44281</v>
      </c>
      <c r="C1467" s="1" t="n">
        <v>45186</v>
      </c>
      <c r="D1467" t="inlineStr">
        <is>
          <t>STOCKHOLMS LÄN</t>
        </is>
      </c>
      <c r="E1467" t="inlineStr">
        <is>
          <t>NORRTÄLJE</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14922-2021</t>
        </is>
      </c>
      <c r="B1468" s="1" t="n">
        <v>44281</v>
      </c>
      <c r="C1468" s="1" t="n">
        <v>45186</v>
      </c>
      <c r="D1468" t="inlineStr">
        <is>
          <t>STOCKHOLMS LÄN</t>
        </is>
      </c>
      <c r="E1468" t="inlineStr">
        <is>
          <t>NORRTÄLJE</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15441-2021</t>
        </is>
      </c>
      <c r="B1469" s="1" t="n">
        <v>44284</v>
      </c>
      <c r="C1469" s="1" t="n">
        <v>45186</v>
      </c>
      <c r="D1469" t="inlineStr">
        <is>
          <t>STOCKHOLMS LÄN</t>
        </is>
      </c>
      <c r="E1469" t="inlineStr">
        <is>
          <t>NORRTÄLJE</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15560-2021</t>
        </is>
      </c>
      <c r="B1470" s="1" t="n">
        <v>44285</v>
      </c>
      <c r="C1470" s="1" t="n">
        <v>45186</v>
      </c>
      <c r="D1470" t="inlineStr">
        <is>
          <t>STOCKHOLMS LÄN</t>
        </is>
      </c>
      <c r="E1470" t="inlineStr">
        <is>
          <t>NYNÄSHAMN</t>
        </is>
      </c>
      <c r="F1470" t="inlineStr">
        <is>
          <t>Kommuner</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15428-2021</t>
        </is>
      </c>
      <c r="B1471" s="1" t="n">
        <v>44285</v>
      </c>
      <c r="C1471" s="1" t="n">
        <v>45186</v>
      </c>
      <c r="D1471" t="inlineStr">
        <is>
          <t>STOCKHOLMS LÄN</t>
        </is>
      </c>
      <c r="E1471" t="inlineStr">
        <is>
          <t>SIGTUNA</t>
        </is>
      </c>
      <c r="F1471" t="inlineStr">
        <is>
          <t>Sveaskog</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15552-2021</t>
        </is>
      </c>
      <c r="B1472" s="1" t="n">
        <v>44285</v>
      </c>
      <c r="C1472" s="1" t="n">
        <v>45186</v>
      </c>
      <c r="D1472" t="inlineStr">
        <is>
          <t>STOCKHOLMS LÄN</t>
        </is>
      </c>
      <c r="E1472" t="inlineStr">
        <is>
          <t>NORRTÄLJE</t>
        </is>
      </c>
      <c r="G1472" t="n">
        <v>10</v>
      </c>
      <c r="H1472" t="n">
        <v>0</v>
      </c>
      <c r="I1472" t="n">
        <v>0</v>
      </c>
      <c r="J1472" t="n">
        <v>0</v>
      </c>
      <c r="K1472" t="n">
        <v>0</v>
      </c>
      <c r="L1472" t="n">
        <v>0</v>
      </c>
      <c r="M1472" t="n">
        <v>0</v>
      </c>
      <c r="N1472" t="n">
        <v>0</v>
      </c>
      <c r="O1472" t="n">
        <v>0</v>
      </c>
      <c r="P1472" t="n">
        <v>0</v>
      </c>
      <c r="Q1472" t="n">
        <v>0</v>
      </c>
      <c r="R1472" s="2" t="inlineStr"/>
    </row>
    <row r="1473" ht="15" customHeight="1">
      <c r="A1473" t="inlineStr">
        <is>
          <t>A 15609-2021</t>
        </is>
      </c>
      <c r="B1473" s="1" t="n">
        <v>44285</v>
      </c>
      <c r="C1473" s="1" t="n">
        <v>45186</v>
      </c>
      <c r="D1473" t="inlineStr">
        <is>
          <t>STOCKHOLMS LÄN</t>
        </is>
      </c>
      <c r="E1473" t="inlineStr">
        <is>
          <t>NYNÄSHAMN</t>
        </is>
      </c>
      <c r="F1473" t="inlineStr">
        <is>
          <t>Kommuner</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15926-2021</t>
        </is>
      </c>
      <c r="B1474" s="1" t="n">
        <v>44287</v>
      </c>
      <c r="C1474" s="1" t="n">
        <v>45186</v>
      </c>
      <c r="D1474" t="inlineStr">
        <is>
          <t>STOCKHOLMS LÄN</t>
        </is>
      </c>
      <c r="E1474" t="inlineStr">
        <is>
          <t>VÄRMDÖ</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16090-2021</t>
        </is>
      </c>
      <c r="B1475" s="1" t="n">
        <v>44288</v>
      </c>
      <c r="C1475" s="1" t="n">
        <v>45186</v>
      </c>
      <c r="D1475" t="inlineStr">
        <is>
          <t>STOCKHOLMS LÄN</t>
        </is>
      </c>
      <c r="E1475" t="inlineStr">
        <is>
          <t>VÄRMDÖ</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16086-2021</t>
        </is>
      </c>
      <c r="B1476" s="1" t="n">
        <v>44288</v>
      </c>
      <c r="C1476" s="1" t="n">
        <v>45186</v>
      </c>
      <c r="D1476" t="inlineStr">
        <is>
          <t>STOCKHOLMS LÄN</t>
        </is>
      </c>
      <c r="E1476" t="inlineStr">
        <is>
          <t>VÄRMDÖ</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16085-2021</t>
        </is>
      </c>
      <c r="B1477" s="1" t="n">
        <v>44288</v>
      </c>
      <c r="C1477" s="1" t="n">
        <v>45186</v>
      </c>
      <c r="D1477" t="inlineStr">
        <is>
          <t>STOCKHOLMS LÄN</t>
        </is>
      </c>
      <c r="E1477" t="inlineStr">
        <is>
          <t>VÄRMDÖ</t>
        </is>
      </c>
      <c r="G1477" t="n">
        <v>4.4</v>
      </c>
      <c r="H1477" t="n">
        <v>0</v>
      </c>
      <c r="I1477" t="n">
        <v>0</v>
      </c>
      <c r="J1477" t="n">
        <v>0</v>
      </c>
      <c r="K1477" t="n">
        <v>0</v>
      </c>
      <c r="L1477" t="n">
        <v>0</v>
      </c>
      <c r="M1477" t="n">
        <v>0</v>
      </c>
      <c r="N1477" t="n">
        <v>0</v>
      </c>
      <c r="O1477" t="n">
        <v>0</v>
      </c>
      <c r="P1477" t="n">
        <v>0</v>
      </c>
      <c r="Q1477" t="n">
        <v>0</v>
      </c>
      <c r="R1477" s="2" t="inlineStr"/>
    </row>
    <row r="1478" ht="15" customHeight="1">
      <c r="A1478" t="inlineStr">
        <is>
          <t>A 16091-2021</t>
        </is>
      </c>
      <c r="B1478" s="1" t="n">
        <v>44288</v>
      </c>
      <c r="C1478" s="1" t="n">
        <v>45186</v>
      </c>
      <c r="D1478" t="inlineStr">
        <is>
          <t>STOCKHOLMS LÄN</t>
        </is>
      </c>
      <c r="E1478" t="inlineStr">
        <is>
          <t>VÄRMDÖ</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16087-2021</t>
        </is>
      </c>
      <c r="B1479" s="1" t="n">
        <v>44288</v>
      </c>
      <c r="C1479" s="1" t="n">
        <v>45186</v>
      </c>
      <c r="D1479" t="inlineStr">
        <is>
          <t>STOCKHOLMS LÄN</t>
        </is>
      </c>
      <c r="E1479" t="inlineStr">
        <is>
          <t>VÄRMDÖ</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16668-2021</t>
        </is>
      </c>
      <c r="B1480" s="1" t="n">
        <v>44294</v>
      </c>
      <c r="C1480" s="1" t="n">
        <v>45186</v>
      </c>
      <c r="D1480" t="inlineStr">
        <is>
          <t>STOCKHOLMS LÄN</t>
        </is>
      </c>
      <c r="E1480" t="inlineStr">
        <is>
          <t>NORRTÄLJE</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18280-2021</t>
        </is>
      </c>
      <c r="B1481" s="1" t="n">
        <v>44298</v>
      </c>
      <c r="C1481" s="1" t="n">
        <v>45186</v>
      </c>
      <c r="D1481" t="inlineStr">
        <is>
          <t>STOCKHOLMS LÄN</t>
        </is>
      </c>
      <c r="E1481" t="inlineStr">
        <is>
          <t>NACKA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17460-2021</t>
        </is>
      </c>
      <c r="B1482" s="1" t="n">
        <v>44299</v>
      </c>
      <c r="C1482" s="1" t="n">
        <v>45186</v>
      </c>
      <c r="D1482" t="inlineStr">
        <is>
          <t>STOCKHOLMS LÄN</t>
        </is>
      </c>
      <c r="E1482" t="inlineStr">
        <is>
          <t>NORRTÄLJE</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17703-2021</t>
        </is>
      </c>
      <c r="B1483" s="1" t="n">
        <v>44300</v>
      </c>
      <c r="C1483" s="1" t="n">
        <v>45186</v>
      </c>
      <c r="D1483" t="inlineStr">
        <is>
          <t>STOCKHOLMS LÄN</t>
        </is>
      </c>
      <c r="E1483" t="inlineStr">
        <is>
          <t>NORRTÄLJE</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17825-2021</t>
        </is>
      </c>
      <c r="B1484" s="1" t="n">
        <v>44300</v>
      </c>
      <c r="C1484" s="1" t="n">
        <v>45186</v>
      </c>
      <c r="D1484" t="inlineStr">
        <is>
          <t>STOCKHOLMS LÄN</t>
        </is>
      </c>
      <c r="E1484" t="inlineStr">
        <is>
          <t>HANINGE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17835-2021</t>
        </is>
      </c>
      <c r="B1485" s="1" t="n">
        <v>44300</v>
      </c>
      <c r="C1485" s="1" t="n">
        <v>45186</v>
      </c>
      <c r="D1485" t="inlineStr">
        <is>
          <t>STOCKHOLMS LÄN</t>
        </is>
      </c>
      <c r="E1485" t="inlineStr">
        <is>
          <t>NYNÄSHAMN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18609-2021</t>
        </is>
      </c>
      <c r="B1486" s="1" t="n">
        <v>44306</v>
      </c>
      <c r="C1486" s="1" t="n">
        <v>45186</v>
      </c>
      <c r="D1486" t="inlineStr">
        <is>
          <t>STOCKHOLMS LÄN</t>
        </is>
      </c>
      <c r="E1486" t="inlineStr">
        <is>
          <t>NORRTÄLJE</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18539-2021</t>
        </is>
      </c>
      <c r="B1487" s="1" t="n">
        <v>44306</v>
      </c>
      <c r="C1487" s="1" t="n">
        <v>45186</v>
      </c>
      <c r="D1487" t="inlineStr">
        <is>
          <t>STOCKHOLMS LÄN</t>
        </is>
      </c>
      <c r="E1487" t="inlineStr">
        <is>
          <t>NORRTÄLJE</t>
        </is>
      </c>
      <c r="F1487" t="inlineStr">
        <is>
          <t>Holmen skog AB</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18580-2021</t>
        </is>
      </c>
      <c r="B1488" s="1" t="n">
        <v>44306</v>
      </c>
      <c r="C1488" s="1" t="n">
        <v>45186</v>
      </c>
      <c r="D1488" t="inlineStr">
        <is>
          <t>STOCKHOLMS LÄN</t>
        </is>
      </c>
      <c r="E1488" t="inlineStr">
        <is>
          <t>NORRTÄLJE</t>
        </is>
      </c>
      <c r="F1488" t="inlineStr">
        <is>
          <t>Holmen skog AB</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18760-2021</t>
        </is>
      </c>
      <c r="B1489" s="1" t="n">
        <v>44307</v>
      </c>
      <c r="C1489" s="1" t="n">
        <v>45186</v>
      </c>
      <c r="D1489" t="inlineStr">
        <is>
          <t>STOCKHOLMS LÄN</t>
        </is>
      </c>
      <c r="E1489" t="inlineStr">
        <is>
          <t>UPPLANDS-BRO</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19398-2021</t>
        </is>
      </c>
      <c r="B1490" s="1" t="n">
        <v>44309</v>
      </c>
      <c r="C1490" s="1" t="n">
        <v>45186</v>
      </c>
      <c r="D1490" t="inlineStr">
        <is>
          <t>STOCKHOLMS LÄN</t>
        </is>
      </c>
      <c r="E1490" t="inlineStr">
        <is>
          <t>NORRTÄLJE</t>
        </is>
      </c>
      <c r="F1490" t="inlineStr">
        <is>
          <t>Kommuner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20210-2021</t>
        </is>
      </c>
      <c r="B1491" s="1" t="n">
        <v>44314</v>
      </c>
      <c r="C1491" s="1" t="n">
        <v>45186</v>
      </c>
      <c r="D1491" t="inlineStr">
        <is>
          <t>STOCKHOLMS LÄN</t>
        </is>
      </c>
      <c r="E1491" t="inlineStr">
        <is>
          <t>BOTKYRKA</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20073-2021</t>
        </is>
      </c>
      <c r="B1492" s="1" t="n">
        <v>44314</v>
      </c>
      <c r="C1492" s="1" t="n">
        <v>45186</v>
      </c>
      <c r="D1492" t="inlineStr">
        <is>
          <t>STOCKHOLMS LÄN</t>
        </is>
      </c>
      <c r="E1492" t="inlineStr">
        <is>
          <t>NORRTÄLJE</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20473-2021</t>
        </is>
      </c>
      <c r="B1493" s="1" t="n">
        <v>44315</v>
      </c>
      <c r="C1493" s="1" t="n">
        <v>45186</v>
      </c>
      <c r="D1493" t="inlineStr">
        <is>
          <t>STOCKHOLMS LÄN</t>
        </is>
      </c>
      <c r="E1493" t="inlineStr">
        <is>
          <t>NORRTÄLJE</t>
        </is>
      </c>
      <c r="F1493" t="inlineStr">
        <is>
          <t>Övriga Aktiebolag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20612-2021</t>
        </is>
      </c>
      <c r="B1494" s="1" t="n">
        <v>44315</v>
      </c>
      <c r="C1494" s="1" t="n">
        <v>45186</v>
      </c>
      <c r="D1494" t="inlineStr">
        <is>
          <t>STOCKHOLMS LÄN</t>
        </is>
      </c>
      <c r="E1494" t="inlineStr">
        <is>
          <t>VALLENTUNA</t>
        </is>
      </c>
      <c r="F1494" t="inlineStr">
        <is>
          <t>Övriga Aktiebolag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20711-2021</t>
        </is>
      </c>
      <c r="B1495" s="1" t="n">
        <v>44316</v>
      </c>
      <c r="C1495" s="1" t="n">
        <v>45186</v>
      </c>
      <c r="D1495" t="inlineStr">
        <is>
          <t>STOCKHOLMS LÄN</t>
        </is>
      </c>
      <c r="E1495" t="inlineStr">
        <is>
          <t>NYKVARN</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21291-2021</t>
        </is>
      </c>
      <c r="B1496" s="1" t="n">
        <v>44319</v>
      </c>
      <c r="C1496" s="1" t="n">
        <v>45186</v>
      </c>
      <c r="D1496" t="inlineStr">
        <is>
          <t>STOCKHOLMS LÄN</t>
        </is>
      </c>
      <c r="E1496" t="inlineStr">
        <is>
          <t>NORRTÄLJE</t>
        </is>
      </c>
      <c r="G1496" t="n">
        <v>12.7</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45186</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21560-2021</t>
        </is>
      </c>
      <c r="B1498" s="1" t="n">
        <v>44321</v>
      </c>
      <c r="C1498" s="1" t="n">
        <v>45186</v>
      </c>
      <c r="D1498" t="inlineStr">
        <is>
          <t>STOCKHOLMS LÄN</t>
        </is>
      </c>
      <c r="E1498" t="inlineStr">
        <is>
          <t>UPPLANDS-BRO</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21529-2021</t>
        </is>
      </c>
      <c r="B1499" s="1" t="n">
        <v>44321</v>
      </c>
      <c r="C1499" s="1" t="n">
        <v>45186</v>
      </c>
      <c r="D1499" t="inlineStr">
        <is>
          <t>STOCKHOLMS LÄN</t>
        </is>
      </c>
      <c r="E1499" t="inlineStr">
        <is>
          <t>NORRTÄLJE</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22479-2021</t>
        </is>
      </c>
      <c r="B1500" s="1" t="n">
        <v>44322</v>
      </c>
      <c r="C1500" s="1" t="n">
        <v>45186</v>
      </c>
      <c r="D1500" t="inlineStr">
        <is>
          <t>STOCKHOLMS LÄN</t>
        </is>
      </c>
      <c r="E1500" t="inlineStr">
        <is>
          <t>VÄRMDÖ</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22060-2021</t>
        </is>
      </c>
      <c r="B1501" s="1" t="n">
        <v>44323</v>
      </c>
      <c r="C1501" s="1" t="n">
        <v>45186</v>
      </c>
      <c r="D1501" t="inlineStr">
        <is>
          <t>STOCKHOLMS LÄN</t>
        </is>
      </c>
      <c r="E1501" t="inlineStr">
        <is>
          <t>VALLENTUNA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22816-2021</t>
        </is>
      </c>
      <c r="B1502" s="1" t="n">
        <v>44325</v>
      </c>
      <c r="C1502" s="1" t="n">
        <v>45186</v>
      </c>
      <c r="D1502" t="inlineStr">
        <is>
          <t>STOCKHOLMS LÄN</t>
        </is>
      </c>
      <c r="E1502" t="inlineStr">
        <is>
          <t>NORRTÄLJE</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22832-2021</t>
        </is>
      </c>
      <c r="B1503" s="1" t="n">
        <v>44325</v>
      </c>
      <c r="C1503" s="1" t="n">
        <v>45186</v>
      </c>
      <c r="D1503" t="inlineStr">
        <is>
          <t>STOCKHOLMS LÄN</t>
        </is>
      </c>
      <c r="E1503" t="inlineStr">
        <is>
          <t>NORRTÄLJE</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22369-2021</t>
        </is>
      </c>
      <c r="B1504" s="1" t="n">
        <v>44326</v>
      </c>
      <c r="C1504" s="1" t="n">
        <v>45186</v>
      </c>
      <c r="D1504" t="inlineStr">
        <is>
          <t>STOCKHOLMS LÄN</t>
        </is>
      </c>
      <c r="E1504" t="inlineStr">
        <is>
          <t>NORRTÄLJE</t>
        </is>
      </c>
      <c r="F1504" t="inlineStr">
        <is>
          <t>Holmen skog AB</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22421-2021</t>
        </is>
      </c>
      <c r="B1505" s="1" t="n">
        <v>44326</v>
      </c>
      <c r="C1505" s="1" t="n">
        <v>45186</v>
      </c>
      <c r="D1505" t="inlineStr">
        <is>
          <t>STOCKHOLMS LÄN</t>
        </is>
      </c>
      <c r="E1505" t="inlineStr">
        <is>
          <t>NORRTÄLJE</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22708-2021</t>
        </is>
      </c>
      <c r="B1506" s="1" t="n">
        <v>44327</v>
      </c>
      <c r="C1506" s="1" t="n">
        <v>45186</v>
      </c>
      <c r="D1506" t="inlineStr">
        <is>
          <t>STOCKHOLMS LÄN</t>
        </is>
      </c>
      <c r="E1506" t="inlineStr">
        <is>
          <t>VÄRMDÖ</t>
        </is>
      </c>
      <c r="F1506" t="inlineStr">
        <is>
          <t>Övriga Aktiebolag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23123-2021</t>
        </is>
      </c>
      <c r="B1507" s="1" t="n">
        <v>44330</v>
      </c>
      <c r="C1507" s="1" t="n">
        <v>45186</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23096-2021</t>
        </is>
      </c>
      <c r="B1508" s="1" t="n">
        <v>44330</v>
      </c>
      <c r="C1508" s="1" t="n">
        <v>45186</v>
      </c>
      <c r="D1508" t="inlineStr">
        <is>
          <t>STOCKHOLMS LÄN</t>
        </is>
      </c>
      <c r="E1508" t="inlineStr">
        <is>
          <t>NORRTÄLJE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23122-2021</t>
        </is>
      </c>
      <c r="B1509" s="1" t="n">
        <v>44330</v>
      </c>
      <c r="C1509" s="1" t="n">
        <v>45186</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23152-2021</t>
        </is>
      </c>
      <c r="B1510" s="1" t="n">
        <v>44332</v>
      </c>
      <c r="C1510" s="1" t="n">
        <v>45186</v>
      </c>
      <c r="D1510" t="inlineStr">
        <is>
          <t>STOCKHOLMS LÄN</t>
        </is>
      </c>
      <c r="E1510" t="inlineStr">
        <is>
          <t>NYKVARN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23339-2021</t>
        </is>
      </c>
      <c r="B1511" s="1" t="n">
        <v>44333</v>
      </c>
      <c r="C1511" s="1" t="n">
        <v>45186</v>
      </c>
      <c r="D1511" t="inlineStr">
        <is>
          <t>STOCKHOLMS LÄN</t>
        </is>
      </c>
      <c r="E1511" t="inlineStr">
        <is>
          <t>NYNÄSHAMN</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23453-2021</t>
        </is>
      </c>
      <c r="B1512" s="1" t="n">
        <v>44333</v>
      </c>
      <c r="C1512" s="1" t="n">
        <v>45186</v>
      </c>
      <c r="D1512" t="inlineStr">
        <is>
          <t>STOCKHOLMS LÄN</t>
        </is>
      </c>
      <c r="E1512" t="inlineStr">
        <is>
          <t>NORRTÄLJE</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24308-2021</t>
        </is>
      </c>
      <c r="B1513" s="1" t="n">
        <v>44336</v>
      </c>
      <c r="C1513" s="1" t="n">
        <v>45186</v>
      </c>
      <c r="D1513" t="inlineStr">
        <is>
          <t>STOCKHOLMS LÄN</t>
        </is>
      </c>
      <c r="E1513" t="inlineStr">
        <is>
          <t>UPPLANDS-BRO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24994-2021</t>
        </is>
      </c>
      <c r="B1514" s="1" t="n">
        <v>44341</v>
      </c>
      <c r="C1514" s="1" t="n">
        <v>45186</v>
      </c>
      <c r="D1514" t="inlineStr">
        <is>
          <t>STOCKHOLMS LÄN</t>
        </is>
      </c>
      <c r="E1514" t="inlineStr">
        <is>
          <t>VALLENTUNA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25334-2021</t>
        </is>
      </c>
      <c r="B1515" s="1" t="n">
        <v>44342</v>
      </c>
      <c r="C1515" s="1" t="n">
        <v>45186</v>
      </c>
      <c r="D1515" t="inlineStr">
        <is>
          <t>STOCKHOLMS LÄN</t>
        </is>
      </c>
      <c r="E1515" t="inlineStr">
        <is>
          <t>NYNÄSHAMN</t>
        </is>
      </c>
      <c r="F1515" t="inlineStr">
        <is>
          <t>Kommuner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25463-2021</t>
        </is>
      </c>
      <c r="B1516" s="1" t="n">
        <v>44342</v>
      </c>
      <c r="C1516" s="1" t="n">
        <v>45186</v>
      </c>
      <c r="D1516" t="inlineStr">
        <is>
          <t>STOCKHOLMS LÄN</t>
        </is>
      </c>
      <c r="E1516" t="inlineStr">
        <is>
          <t>NORRTÄLJE</t>
        </is>
      </c>
      <c r="F1516" t="inlineStr">
        <is>
          <t>Holmen skog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25873-2021</t>
        </is>
      </c>
      <c r="B1517" s="1" t="n">
        <v>44344</v>
      </c>
      <c r="C1517" s="1" t="n">
        <v>45186</v>
      </c>
      <c r="D1517" t="inlineStr">
        <is>
          <t>STOCKHOLMS LÄN</t>
        </is>
      </c>
      <c r="E1517" t="inlineStr">
        <is>
          <t>SÖDERTÄLJE</t>
        </is>
      </c>
      <c r="G1517" t="n">
        <v>7.3</v>
      </c>
      <c r="H1517" t="n">
        <v>0</v>
      </c>
      <c r="I1517" t="n">
        <v>0</v>
      </c>
      <c r="J1517" t="n">
        <v>0</v>
      </c>
      <c r="K1517" t="n">
        <v>0</v>
      </c>
      <c r="L1517" t="n">
        <v>0</v>
      </c>
      <c r="M1517" t="n">
        <v>0</v>
      </c>
      <c r="N1517" t="n">
        <v>0</v>
      </c>
      <c r="O1517" t="n">
        <v>0</v>
      </c>
      <c r="P1517" t="n">
        <v>0</v>
      </c>
      <c r="Q1517" t="n">
        <v>0</v>
      </c>
      <c r="R1517" s="2" t="inlineStr"/>
    </row>
    <row r="1518" ht="15" customHeight="1">
      <c r="A1518" t="inlineStr">
        <is>
          <t>A 25871-2021</t>
        </is>
      </c>
      <c r="B1518" s="1" t="n">
        <v>44344</v>
      </c>
      <c r="C1518" s="1" t="n">
        <v>45186</v>
      </c>
      <c r="D1518" t="inlineStr">
        <is>
          <t>STOCKHOLMS LÄN</t>
        </is>
      </c>
      <c r="E1518" t="inlineStr">
        <is>
          <t>SÖDERTÄLJE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26757-2021</t>
        </is>
      </c>
      <c r="B1519" s="1" t="n">
        <v>44349</v>
      </c>
      <c r="C1519" s="1" t="n">
        <v>45186</v>
      </c>
      <c r="D1519" t="inlineStr">
        <is>
          <t>STOCKHOLMS LÄN</t>
        </is>
      </c>
      <c r="E1519" t="inlineStr">
        <is>
          <t>NYNÄSHAMN</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26767-2021</t>
        </is>
      </c>
      <c r="B1520" s="1" t="n">
        <v>44349</v>
      </c>
      <c r="C1520" s="1" t="n">
        <v>45186</v>
      </c>
      <c r="D1520" t="inlineStr">
        <is>
          <t>STOCKHOLMS LÄN</t>
        </is>
      </c>
      <c r="E1520" t="inlineStr">
        <is>
          <t>NYNÄSHAMN</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26750-2021</t>
        </is>
      </c>
      <c r="B1521" s="1" t="n">
        <v>44349</v>
      </c>
      <c r="C1521" s="1" t="n">
        <v>45186</v>
      </c>
      <c r="D1521" t="inlineStr">
        <is>
          <t>STOCKHOLMS LÄN</t>
        </is>
      </c>
      <c r="E1521" t="inlineStr">
        <is>
          <t>NYNÄSHAMN</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27214-2021</t>
        </is>
      </c>
      <c r="B1522" s="1" t="n">
        <v>44350</v>
      </c>
      <c r="C1522" s="1" t="n">
        <v>45186</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27217-2021</t>
        </is>
      </c>
      <c r="B1523" s="1" t="n">
        <v>44350</v>
      </c>
      <c r="C1523" s="1" t="n">
        <v>45186</v>
      </c>
      <c r="D1523" t="inlineStr">
        <is>
          <t>STOCKHOLMS LÄN</t>
        </is>
      </c>
      <c r="E1523" t="inlineStr">
        <is>
          <t>NORRTÄLJE</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27715-2021</t>
        </is>
      </c>
      <c r="B1524" s="1" t="n">
        <v>44354</v>
      </c>
      <c r="C1524" s="1" t="n">
        <v>45186</v>
      </c>
      <c r="D1524" t="inlineStr">
        <is>
          <t>STOCKHOLMS LÄN</t>
        </is>
      </c>
      <c r="E1524" t="inlineStr">
        <is>
          <t>SÖDERTÄLJE</t>
        </is>
      </c>
      <c r="F1524" t="inlineStr">
        <is>
          <t>Sveaskog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27747-2021</t>
        </is>
      </c>
      <c r="B1525" s="1" t="n">
        <v>44354</v>
      </c>
      <c r="C1525" s="1" t="n">
        <v>45186</v>
      </c>
      <c r="D1525" t="inlineStr">
        <is>
          <t>STOCKHOLMS LÄN</t>
        </is>
      </c>
      <c r="E1525" t="inlineStr">
        <is>
          <t>SÖDERTÄLJE</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27769-2021</t>
        </is>
      </c>
      <c r="B1526" s="1" t="n">
        <v>44354</v>
      </c>
      <c r="C1526" s="1" t="n">
        <v>45186</v>
      </c>
      <c r="D1526" t="inlineStr">
        <is>
          <t>STOCKHOLMS LÄN</t>
        </is>
      </c>
      <c r="E1526" t="inlineStr">
        <is>
          <t>SÖDERTÄLJE</t>
        </is>
      </c>
      <c r="F1526" t="inlineStr">
        <is>
          <t>Sveaskog</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27739-2021</t>
        </is>
      </c>
      <c r="B1527" s="1" t="n">
        <v>44354</v>
      </c>
      <c r="C1527" s="1" t="n">
        <v>45186</v>
      </c>
      <c r="D1527" t="inlineStr">
        <is>
          <t>STOCKHOLMS LÄN</t>
        </is>
      </c>
      <c r="E1527" t="inlineStr">
        <is>
          <t>SÖDERTÄLJE</t>
        </is>
      </c>
      <c r="F1527" t="inlineStr">
        <is>
          <t>Sveaskog</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27750-2021</t>
        </is>
      </c>
      <c r="B1528" s="1" t="n">
        <v>44354</v>
      </c>
      <c r="C1528" s="1" t="n">
        <v>45186</v>
      </c>
      <c r="D1528" t="inlineStr">
        <is>
          <t>STOCKHOLMS LÄN</t>
        </is>
      </c>
      <c r="E1528" t="inlineStr">
        <is>
          <t>SÖDERTÄLJE</t>
        </is>
      </c>
      <c r="F1528" t="inlineStr">
        <is>
          <t>Sveaskog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27771-2021</t>
        </is>
      </c>
      <c r="B1529" s="1" t="n">
        <v>44354</v>
      </c>
      <c r="C1529" s="1" t="n">
        <v>45186</v>
      </c>
      <c r="D1529" t="inlineStr">
        <is>
          <t>STOCKHOLMS LÄN</t>
        </is>
      </c>
      <c r="E1529" t="inlineStr">
        <is>
          <t>SÖDERTÄLJE</t>
        </is>
      </c>
      <c r="F1529" t="inlineStr">
        <is>
          <t>Sveaskog</t>
        </is>
      </c>
      <c r="G1529" t="n">
        <v>7.9</v>
      </c>
      <c r="H1529" t="n">
        <v>0</v>
      </c>
      <c r="I1529" t="n">
        <v>0</v>
      </c>
      <c r="J1529" t="n">
        <v>0</v>
      </c>
      <c r="K1529" t="n">
        <v>0</v>
      </c>
      <c r="L1529" t="n">
        <v>0</v>
      </c>
      <c r="M1529" t="n">
        <v>0</v>
      </c>
      <c r="N1529" t="n">
        <v>0</v>
      </c>
      <c r="O1529" t="n">
        <v>0</v>
      </c>
      <c r="P1529" t="n">
        <v>0</v>
      </c>
      <c r="Q1529" t="n">
        <v>0</v>
      </c>
      <c r="R1529" s="2" t="inlineStr"/>
    </row>
    <row r="1530" ht="15" customHeight="1">
      <c r="A1530" t="inlineStr">
        <is>
          <t>A 27791-2021</t>
        </is>
      </c>
      <c r="B1530" s="1" t="n">
        <v>44354</v>
      </c>
      <c r="C1530" s="1" t="n">
        <v>45186</v>
      </c>
      <c r="D1530" t="inlineStr">
        <is>
          <t>STOCKHOLMS LÄN</t>
        </is>
      </c>
      <c r="E1530" t="inlineStr">
        <is>
          <t>BOTKYRKA</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27706-2021</t>
        </is>
      </c>
      <c r="B1531" s="1" t="n">
        <v>44354</v>
      </c>
      <c r="C1531" s="1" t="n">
        <v>45186</v>
      </c>
      <c r="D1531" t="inlineStr">
        <is>
          <t>STOCKHOLMS LÄN</t>
        </is>
      </c>
      <c r="E1531" t="inlineStr">
        <is>
          <t>SÖDERTÄLJE</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27740-2021</t>
        </is>
      </c>
      <c r="B1532" s="1" t="n">
        <v>44354</v>
      </c>
      <c r="C1532" s="1" t="n">
        <v>45186</v>
      </c>
      <c r="D1532" t="inlineStr">
        <is>
          <t>STOCKHOLMS LÄN</t>
        </is>
      </c>
      <c r="E1532" t="inlineStr">
        <is>
          <t>SÖDERTÄLJE</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27753-2021</t>
        </is>
      </c>
      <c r="B1533" s="1" t="n">
        <v>44354</v>
      </c>
      <c r="C1533" s="1" t="n">
        <v>45186</v>
      </c>
      <c r="D1533" t="inlineStr">
        <is>
          <t>STOCKHOLMS LÄN</t>
        </is>
      </c>
      <c r="E1533" t="inlineStr">
        <is>
          <t>SÖDERTÄLJE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27805-2021</t>
        </is>
      </c>
      <c r="B1534" s="1" t="n">
        <v>44354</v>
      </c>
      <c r="C1534" s="1" t="n">
        <v>45186</v>
      </c>
      <c r="D1534" t="inlineStr">
        <is>
          <t>STOCKHOLMS LÄN</t>
        </is>
      </c>
      <c r="E1534" t="inlineStr">
        <is>
          <t>UPPLANDS-BRO</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28136-2021</t>
        </is>
      </c>
      <c r="B1535" s="1" t="n">
        <v>44355</v>
      </c>
      <c r="C1535" s="1" t="n">
        <v>45186</v>
      </c>
      <c r="D1535" t="inlineStr">
        <is>
          <t>STOCKHOLMS LÄN</t>
        </is>
      </c>
      <c r="E1535" t="inlineStr">
        <is>
          <t>SÖDERTÄLJE</t>
        </is>
      </c>
      <c r="F1535" t="inlineStr">
        <is>
          <t>Kommuner</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28843-2021</t>
        </is>
      </c>
      <c r="B1536" s="1" t="n">
        <v>44357</v>
      </c>
      <c r="C1536" s="1" t="n">
        <v>45186</v>
      </c>
      <c r="D1536" t="inlineStr">
        <is>
          <t>STOCKHOLMS LÄN</t>
        </is>
      </c>
      <c r="E1536" t="inlineStr">
        <is>
          <t>SALEM</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28838-2021</t>
        </is>
      </c>
      <c r="B1537" s="1" t="n">
        <v>44357</v>
      </c>
      <c r="C1537" s="1" t="n">
        <v>45186</v>
      </c>
      <c r="D1537" t="inlineStr">
        <is>
          <t>STOCKHOLMS LÄN</t>
        </is>
      </c>
      <c r="E1537" t="inlineStr">
        <is>
          <t>SALEM</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29357-2021</t>
        </is>
      </c>
      <c r="B1538" s="1" t="n">
        <v>44361</v>
      </c>
      <c r="C1538" s="1" t="n">
        <v>45186</v>
      </c>
      <c r="D1538" t="inlineStr">
        <is>
          <t>STOCKHOLMS LÄN</t>
        </is>
      </c>
      <c r="E1538" t="inlineStr">
        <is>
          <t>NORRTÄLJE</t>
        </is>
      </c>
      <c r="F1538" t="inlineStr">
        <is>
          <t>Holmen skog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29533-2021</t>
        </is>
      </c>
      <c r="B1539" s="1" t="n">
        <v>44361</v>
      </c>
      <c r="C1539" s="1" t="n">
        <v>45186</v>
      </c>
      <c r="D1539" t="inlineStr">
        <is>
          <t>STOCKHOLMS LÄN</t>
        </is>
      </c>
      <c r="E1539" t="inlineStr">
        <is>
          <t>EKERÖ</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30138-2021</t>
        </is>
      </c>
      <c r="B1540" s="1" t="n">
        <v>44363</v>
      </c>
      <c r="C1540" s="1" t="n">
        <v>45186</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30913-2021</t>
        </is>
      </c>
      <c r="B1541" s="1" t="n">
        <v>44365</v>
      </c>
      <c r="C1541" s="1" t="n">
        <v>45186</v>
      </c>
      <c r="D1541" t="inlineStr">
        <is>
          <t>STOCKHOLMS LÄN</t>
        </is>
      </c>
      <c r="E1541" t="inlineStr">
        <is>
          <t>VALLENTUNA</t>
        </is>
      </c>
      <c r="F1541" t="inlineStr">
        <is>
          <t>Övriga Aktiebolag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31075-2021</t>
        </is>
      </c>
      <c r="B1542" s="1" t="n">
        <v>44368</v>
      </c>
      <c r="C1542" s="1" t="n">
        <v>45186</v>
      </c>
      <c r="D1542" t="inlineStr">
        <is>
          <t>STOCKHOLMS LÄN</t>
        </is>
      </c>
      <c r="E1542" t="inlineStr">
        <is>
          <t>ÖSTERÅKER</t>
        </is>
      </c>
      <c r="F1542" t="inlineStr">
        <is>
          <t>Övriga Aktiebolag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31370-2021</t>
        </is>
      </c>
      <c r="B1543" s="1" t="n">
        <v>44368</v>
      </c>
      <c r="C1543" s="1" t="n">
        <v>45186</v>
      </c>
      <c r="D1543" t="inlineStr">
        <is>
          <t>STOCKHOLMS LÄN</t>
        </is>
      </c>
      <c r="E1543" t="inlineStr">
        <is>
          <t>UPPLANDS-BRO</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31688-2021</t>
        </is>
      </c>
      <c r="B1544" s="1" t="n">
        <v>44369</v>
      </c>
      <c r="C1544" s="1" t="n">
        <v>45186</v>
      </c>
      <c r="D1544" t="inlineStr">
        <is>
          <t>STOCKHOLMS LÄN</t>
        </is>
      </c>
      <c r="E1544" t="inlineStr">
        <is>
          <t>NORRTÄLJE</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31780-2021</t>
        </is>
      </c>
      <c r="B1545" s="1" t="n">
        <v>44369</v>
      </c>
      <c r="C1545" s="1" t="n">
        <v>45186</v>
      </c>
      <c r="D1545" t="inlineStr">
        <is>
          <t>STOCKHOLMS LÄN</t>
        </is>
      </c>
      <c r="E1545" t="inlineStr">
        <is>
          <t>HANINGE</t>
        </is>
      </c>
      <c r="G1545" t="n">
        <v>11.5</v>
      </c>
      <c r="H1545" t="n">
        <v>0</v>
      </c>
      <c r="I1545" t="n">
        <v>0</v>
      </c>
      <c r="J1545" t="n">
        <v>0</v>
      </c>
      <c r="K1545" t="n">
        <v>0</v>
      </c>
      <c r="L1545" t="n">
        <v>0</v>
      </c>
      <c r="M1545" t="n">
        <v>0</v>
      </c>
      <c r="N1545" t="n">
        <v>0</v>
      </c>
      <c r="O1545" t="n">
        <v>0</v>
      </c>
      <c r="P1545" t="n">
        <v>0</v>
      </c>
      <c r="Q1545" t="n">
        <v>0</v>
      </c>
      <c r="R1545" s="2" t="inlineStr"/>
    </row>
    <row r="1546" ht="15" customHeight="1">
      <c r="A1546" t="inlineStr">
        <is>
          <t>A 32002-2021</t>
        </is>
      </c>
      <c r="B1546" s="1" t="n">
        <v>44370</v>
      </c>
      <c r="C1546" s="1" t="n">
        <v>45186</v>
      </c>
      <c r="D1546" t="inlineStr">
        <is>
          <t>STOCKHOLMS LÄN</t>
        </is>
      </c>
      <c r="E1546" t="inlineStr">
        <is>
          <t>NORRTÄLJE</t>
        </is>
      </c>
      <c r="F1546" t="inlineStr">
        <is>
          <t>Övriga Aktiebolag</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32857-2021</t>
        </is>
      </c>
      <c r="B1547" s="1" t="n">
        <v>44375</v>
      </c>
      <c r="C1547" s="1" t="n">
        <v>45186</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32561-2021</t>
        </is>
      </c>
      <c r="B1548" s="1" t="n">
        <v>44375</v>
      </c>
      <c r="C1548" s="1" t="n">
        <v>45186</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33046-2021</t>
        </is>
      </c>
      <c r="B1549" s="1" t="n">
        <v>44376</v>
      </c>
      <c r="C1549" s="1" t="n">
        <v>45186</v>
      </c>
      <c r="D1549" t="inlineStr">
        <is>
          <t>STOCKHOLMS LÄN</t>
        </is>
      </c>
      <c r="E1549" t="inlineStr">
        <is>
          <t>NORRTÄLJE</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33015-2021</t>
        </is>
      </c>
      <c r="B1550" s="1" t="n">
        <v>44376</v>
      </c>
      <c r="C1550" s="1" t="n">
        <v>45186</v>
      </c>
      <c r="D1550" t="inlineStr">
        <is>
          <t>STOCKHOLMS LÄN</t>
        </is>
      </c>
      <c r="E1550" t="inlineStr">
        <is>
          <t>BOTKYRKA</t>
        </is>
      </c>
      <c r="G1550" t="n">
        <v>48.7</v>
      </c>
      <c r="H1550" t="n">
        <v>0</v>
      </c>
      <c r="I1550" t="n">
        <v>0</v>
      </c>
      <c r="J1550" t="n">
        <v>0</v>
      </c>
      <c r="K1550" t="n">
        <v>0</v>
      </c>
      <c r="L1550" t="n">
        <v>0</v>
      </c>
      <c r="M1550" t="n">
        <v>0</v>
      </c>
      <c r="N1550" t="n">
        <v>0</v>
      </c>
      <c r="O1550" t="n">
        <v>0</v>
      </c>
      <c r="P1550" t="n">
        <v>0</v>
      </c>
      <c r="Q1550" t="n">
        <v>0</v>
      </c>
      <c r="R1550" s="2" t="inlineStr"/>
    </row>
    <row r="1551" ht="15" customHeight="1">
      <c r="A1551" t="inlineStr">
        <is>
          <t>A 33053-2021</t>
        </is>
      </c>
      <c r="B1551" s="1" t="n">
        <v>44376</v>
      </c>
      <c r="C1551" s="1" t="n">
        <v>45186</v>
      </c>
      <c r="D1551" t="inlineStr">
        <is>
          <t>STOCKHOLMS LÄN</t>
        </is>
      </c>
      <c r="E1551" t="inlineStr">
        <is>
          <t>NORRTÄLJE</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33016-2021</t>
        </is>
      </c>
      <c r="B1552" s="1" t="n">
        <v>44376</v>
      </c>
      <c r="C1552" s="1" t="n">
        <v>45186</v>
      </c>
      <c r="D1552" t="inlineStr">
        <is>
          <t>STOCKHOLMS LÄN</t>
        </is>
      </c>
      <c r="E1552" t="inlineStr">
        <is>
          <t>BOTKYRKA</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33246-2021</t>
        </is>
      </c>
      <c r="B1553" s="1" t="n">
        <v>44377</v>
      </c>
      <c r="C1553" s="1" t="n">
        <v>45186</v>
      </c>
      <c r="D1553" t="inlineStr">
        <is>
          <t>STOCKHOLMS LÄN</t>
        </is>
      </c>
      <c r="E1553" t="inlineStr">
        <is>
          <t>SALEM</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33729-2021</t>
        </is>
      </c>
      <c r="B1554" s="1" t="n">
        <v>44378</v>
      </c>
      <c r="C1554" s="1" t="n">
        <v>45186</v>
      </c>
      <c r="D1554" t="inlineStr">
        <is>
          <t>STOCKHOLMS LÄN</t>
        </is>
      </c>
      <c r="E1554" t="inlineStr">
        <is>
          <t>SALEM</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34520-2021</t>
        </is>
      </c>
      <c r="B1555" s="1" t="n">
        <v>44379</v>
      </c>
      <c r="C1555" s="1" t="n">
        <v>45186</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34436-2021</t>
        </is>
      </c>
      <c r="B1556" s="1" t="n">
        <v>44380</v>
      </c>
      <c r="C1556" s="1" t="n">
        <v>45186</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34431-2021</t>
        </is>
      </c>
      <c r="B1557" s="1" t="n">
        <v>44380</v>
      </c>
      <c r="C1557" s="1" t="n">
        <v>45186</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34452-2021</t>
        </is>
      </c>
      <c r="B1558" s="1" t="n">
        <v>44381</v>
      </c>
      <c r="C1558" s="1" t="n">
        <v>45186</v>
      </c>
      <c r="D1558" t="inlineStr">
        <is>
          <t>STOCKHOLMS LÄN</t>
        </is>
      </c>
      <c r="E1558" t="inlineStr">
        <is>
          <t>VALLENTUNA</t>
        </is>
      </c>
      <c r="G1558" t="n">
        <v>14.7</v>
      </c>
      <c r="H1558" t="n">
        <v>0</v>
      </c>
      <c r="I1558" t="n">
        <v>0</v>
      </c>
      <c r="J1558" t="n">
        <v>0</v>
      </c>
      <c r="K1558" t="n">
        <v>0</v>
      </c>
      <c r="L1558" t="n">
        <v>0</v>
      </c>
      <c r="M1558" t="n">
        <v>0</v>
      </c>
      <c r="N1558" t="n">
        <v>0</v>
      </c>
      <c r="O1558" t="n">
        <v>0</v>
      </c>
      <c r="P1558" t="n">
        <v>0</v>
      </c>
      <c r="Q1558" t="n">
        <v>0</v>
      </c>
      <c r="R1558" s="2" t="inlineStr"/>
    </row>
    <row r="1559" ht="15" customHeight="1">
      <c r="A1559" t="inlineStr">
        <is>
          <t>A 34450-2021</t>
        </is>
      </c>
      <c r="B1559" s="1" t="n">
        <v>44381</v>
      </c>
      <c r="C1559" s="1" t="n">
        <v>45186</v>
      </c>
      <c r="D1559" t="inlineStr">
        <is>
          <t>STOCKHOLMS LÄN</t>
        </is>
      </c>
      <c r="E1559" t="inlineStr">
        <is>
          <t>SÖDERTÄLJE</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34731-2021</t>
        </is>
      </c>
      <c r="B1560" s="1" t="n">
        <v>44382</v>
      </c>
      <c r="C1560" s="1" t="n">
        <v>45186</v>
      </c>
      <c r="D1560" t="inlineStr">
        <is>
          <t>STOCKHOLMS LÄN</t>
        </is>
      </c>
      <c r="E1560" t="inlineStr">
        <is>
          <t>NORRTÄLJE</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35953-2021</t>
        </is>
      </c>
      <c r="B1561" s="1" t="n">
        <v>44385</v>
      </c>
      <c r="C1561" s="1" t="n">
        <v>45186</v>
      </c>
      <c r="D1561" t="inlineStr">
        <is>
          <t>STOCKHOLMS LÄN</t>
        </is>
      </c>
      <c r="E1561" t="inlineStr">
        <is>
          <t>SIGTUNA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35492-2021</t>
        </is>
      </c>
      <c r="B1562" s="1" t="n">
        <v>44385</v>
      </c>
      <c r="C1562" s="1" t="n">
        <v>45186</v>
      </c>
      <c r="D1562" t="inlineStr">
        <is>
          <t>STOCKHOLMS LÄN</t>
        </is>
      </c>
      <c r="E1562" t="inlineStr">
        <is>
          <t>BOTKYRKA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36097-2021</t>
        </is>
      </c>
      <c r="B1563" s="1" t="n">
        <v>44389</v>
      </c>
      <c r="C1563" s="1" t="n">
        <v>45186</v>
      </c>
      <c r="D1563" t="inlineStr">
        <is>
          <t>STOCKHOLMS LÄN</t>
        </is>
      </c>
      <c r="E1563" t="inlineStr">
        <is>
          <t>BOTKYRKA</t>
        </is>
      </c>
      <c r="F1563" t="inlineStr">
        <is>
          <t>Övriga Aktiebolag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36246-2021</t>
        </is>
      </c>
      <c r="B1564" s="1" t="n">
        <v>44390</v>
      </c>
      <c r="C1564" s="1" t="n">
        <v>45186</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37095-2021</t>
        </is>
      </c>
      <c r="B1565" s="1" t="n">
        <v>44395</v>
      </c>
      <c r="C1565" s="1" t="n">
        <v>45186</v>
      </c>
      <c r="D1565" t="inlineStr">
        <is>
          <t>STOCKHOLMS LÄN</t>
        </is>
      </c>
      <c r="E1565" t="inlineStr">
        <is>
          <t>BOTKYRKA</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37097-2021</t>
        </is>
      </c>
      <c r="B1566" s="1" t="n">
        <v>44395</v>
      </c>
      <c r="C1566" s="1" t="n">
        <v>45186</v>
      </c>
      <c r="D1566" t="inlineStr">
        <is>
          <t>STOCKHOLMS LÄN</t>
        </is>
      </c>
      <c r="E1566" t="inlineStr">
        <is>
          <t>NYNÄSHAMN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37085-2021</t>
        </is>
      </c>
      <c r="B1567" s="1" t="n">
        <v>44395</v>
      </c>
      <c r="C1567" s="1" t="n">
        <v>45186</v>
      </c>
      <c r="D1567" t="inlineStr">
        <is>
          <t>STOCKHOLMS LÄN</t>
        </is>
      </c>
      <c r="E1567" t="inlineStr">
        <is>
          <t>NORRTÄLJE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37099-2021</t>
        </is>
      </c>
      <c r="B1568" s="1" t="n">
        <v>44396</v>
      </c>
      <c r="C1568" s="1" t="n">
        <v>45186</v>
      </c>
      <c r="D1568" t="inlineStr">
        <is>
          <t>STOCKHOLMS LÄN</t>
        </is>
      </c>
      <c r="E1568" t="inlineStr">
        <is>
          <t>NYNÄSHAMN</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37104-2021</t>
        </is>
      </c>
      <c r="B1569" s="1" t="n">
        <v>44396</v>
      </c>
      <c r="C1569" s="1" t="n">
        <v>45186</v>
      </c>
      <c r="D1569" t="inlineStr">
        <is>
          <t>STOCKHOLMS LÄN</t>
        </is>
      </c>
      <c r="E1569" t="inlineStr">
        <is>
          <t>NYNÄSHAMN</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37098-2021</t>
        </is>
      </c>
      <c r="B1570" s="1" t="n">
        <v>44396</v>
      </c>
      <c r="C1570" s="1" t="n">
        <v>45186</v>
      </c>
      <c r="D1570" t="inlineStr">
        <is>
          <t>STOCKHOLMS LÄN</t>
        </is>
      </c>
      <c r="E1570" t="inlineStr">
        <is>
          <t>NYNÄSHAMN</t>
        </is>
      </c>
      <c r="G1570" t="n">
        <v>12.9</v>
      </c>
      <c r="H1570" t="n">
        <v>0</v>
      </c>
      <c r="I1570" t="n">
        <v>0</v>
      </c>
      <c r="J1570" t="n">
        <v>0</v>
      </c>
      <c r="K1570" t="n">
        <v>0</v>
      </c>
      <c r="L1570" t="n">
        <v>0</v>
      </c>
      <c r="M1570" t="n">
        <v>0</v>
      </c>
      <c r="N1570" t="n">
        <v>0</v>
      </c>
      <c r="O1570" t="n">
        <v>0</v>
      </c>
      <c r="P1570" t="n">
        <v>0</v>
      </c>
      <c r="Q1570" t="n">
        <v>0</v>
      </c>
      <c r="R1570" s="2" t="inlineStr"/>
    </row>
    <row r="1571" ht="15" customHeight="1">
      <c r="A1571" t="inlineStr">
        <is>
          <t>A 37103-2021</t>
        </is>
      </c>
      <c r="B1571" s="1" t="n">
        <v>44396</v>
      </c>
      <c r="C1571" s="1" t="n">
        <v>45186</v>
      </c>
      <c r="D1571" t="inlineStr">
        <is>
          <t>STOCKHOLMS LÄN</t>
        </is>
      </c>
      <c r="E1571" t="inlineStr">
        <is>
          <t>NYNÄSHAMN</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37101-2021</t>
        </is>
      </c>
      <c r="B1572" s="1" t="n">
        <v>44396</v>
      </c>
      <c r="C1572" s="1" t="n">
        <v>45186</v>
      </c>
      <c r="D1572" t="inlineStr">
        <is>
          <t>STOCKHOLMS LÄN</t>
        </is>
      </c>
      <c r="E1572" t="inlineStr">
        <is>
          <t>NYNÄSHAMN</t>
        </is>
      </c>
      <c r="G1572" t="n">
        <v>5.9</v>
      </c>
      <c r="H1572" t="n">
        <v>0</v>
      </c>
      <c r="I1572" t="n">
        <v>0</v>
      </c>
      <c r="J1572" t="n">
        <v>0</v>
      </c>
      <c r="K1572" t="n">
        <v>0</v>
      </c>
      <c r="L1572" t="n">
        <v>0</v>
      </c>
      <c r="M1572" t="n">
        <v>0</v>
      </c>
      <c r="N1572" t="n">
        <v>0</v>
      </c>
      <c r="O1572" t="n">
        <v>0</v>
      </c>
      <c r="P1572" t="n">
        <v>0</v>
      </c>
      <c r="Q1572" t="n">
        <v>0</v>
      </c>
      <c r="R1572" s="2" t="inlineStr"/>
    </row>
    <row r="1573" ht="15" customHeight="1">
      <c r="A1573" t="inlineStr">
        <is>
          <t>A 37415-2021</t>
        </is>
      </c>
      <c r="B1573" s="1" t="n">
        <v>44397</v>
      </c>
      <c r="C1573" s="1" t="n">
        <v>45186</v>
      </c>
      <c r="D1573" t="inlineStr">
        <is>
          <t>STOCKHOLMS LÄN</t>
        </is>
      </c>
      <c r="E1573" t="inlineStr">
        <is>
          <t>NORRTÄLJE</t>
        </is>
      </c>
      <c r="F1573" t="inlineStr">
        <is>
          <t>Övriga Aktiebolag</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37335-2021</t>
        </is>
      </c>
      <c r="B1574" s="1" t="n">
        <v>44397</v>
      </c>
      <c r="C1574" s="1" t="n">
        <v>45186</v>
      </c>
      <c r="D1574" t="inlineStr">
        <is>
          <t>STOCKHOLMS LÄN</t>
        </is>
      </c>
      <c r="E1574" t="inlineStr">
        <is>
          <t>UPPLANDS-BRO</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37344-2021</t>
        </is>
      </c>
      <c r="B1575" s="1" t="n">
        <v>44397</v>
      </c>
      <c r="C1575" s="1" t="n">
        <v>45186</v>
      </c>
      <c r="D1575" t="inlineStr">
        <is>
          <t>STOCKHOLMS LÄN</t>
        </is>
      </c>
      <c r="E1575" t="inlineStr">
        <is>
          <t>NORRTÄLJE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37421-2021</t>
        </is>
      </c>
      <c r="B1576" s="1" t="n">
        <v>44397</v>
      </c>
      <c r="C1576" s="1" t="n">
        <v>45186</v>
      </c>
      <c r="D1576" t="inlineStr">
        <is>
          <t>STOCKHOLMS LÄN</t>
        </is>
      </c>
      <c r="E1576" t="inlineStr">
        <is>
          <t>UPPLANDS-BRO</t>
        </is>
      </c>
      <c r="F1576" t="inlineStr">
        <is>
          <t>Allmännings- och besparingsskogar</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37444-2021</t>
        </is>
      </c>
      <c r="B1577" s="1" t="n">
        <v>44398</v>
      </c>
      <c r="C1577" s="1" t="n">
        <v>45186</v>
      </c>
      <c r="D1577" t="inlineStr">
        <is>
          <t>STOCKHOLMS LÄN</t>
        </is>
      </c>
      <c r="E1577" t="inlineStr">
        <is>
          <t>NORRTÄLJE</t>
        </is>
      </c>
      <c r="F1577" t="inlineStr">
        <is>
          <t>Holmen skog AB</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37462-2021</t>
        </is>
      </c>
      <c r="B1578" s="1" t="n">
        <v>44398</v>
      </c>
      <c r="C1578" s="1" t="n">
        <v>45186</v>
      </c>
      <c r="D1578" t="inlineStr">
        <is>
          <t>STOCKHOLMS LÄN</t>
        </is>
      </c>
      <c r="E1578" t="inlineStr">
        <is>
          <t>NORRTÄLJE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37422-2021</t>
        </is>
      </c>
      <c r="B1579" s="1" t="n">
        <v>44398</v>
      </c>
      <c r="C1579" s="1" t="n">
        <v>45186</v>
      </c>
      <c r="D1579" t="inlineStr">
        <is>
          <t>STOCKHOLMS LÄN</t>
        </is>
      </c>
      <c r="E1579" t="inlineStr">
        <is>
          <t>NYNÄSHAMN</t>
        </is>
      </c>
      <c r="G1579" t="n">
        <v>25.8</v>
      </c>
      <c r="H1579" t="n">
        <v>0</v>
      </c>
      <c r="I1579" t="n">
        <v>0</v>
      </c>
      <c r="J1579" t="n">
        <v>0</v>
      </c>
      <c r="K1579" t="n">
        <v>0</v>
      </c>
      <c r="L1579" t="n">
        <v>0</v>
      </c>
      <c r="M1579" t="n">
        <v>0</v>
      </c>
      <c r="N1579" t="n">
        <v>0</v>
      </c>
      <c r="O1579" t="n">
        <v>0</v>
      </c>
      <c r="P1579" t="n">
        <v>0</v>
      </c>
      <c r="Q1579" t="n">
        <v>0</v>
      </c>
      <c r="R1579" s="2" t="inlineStr"/>
    </row>
    <row r="1580" ht="15" customHeight="1">
      <c r="A1580" t="inlineStr">
        <is>
          <t>A 37657-2021</t>
        </is>
      </c>
      <c r="B1580" s="1" t="n">
        <v>44400</v>
      </c>
      <c r="C1580" s="1" t="n">
        <v>45186</v>
      </c>
      <c r="D1580" t="inlineStr">
        <is>
          <t>STOCKHOLMS LÄN</t>
        </is>
      </c>
      <c r="E1580" t="inlineStr">
        <is>
          <t>VALLENTUNA</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37712-2021</t>
        </is>
      </c>
      <c r="B1581" s="1" t="n">
        <v>44400</v>
      </c>
      <c r="C1581" s="1" t="n">
        <v>45186</v>
      </c>
      <c r="D1581" t="inlineStr">
        <is>
          <t>STOCKHOLMS LÄN</t>
        </is>
      </c>
      <c r="E1581" t="inlineStr">
        <is>
          <t>NORRTÄLJE</t>
        </is>
      </c>
      <c r="G1581" t="n">
        <v>22.9</v>
      </c>
      <c r="H1581" t="n">
        <v>0</v>
      </c>
      <c r="I1581" t="n">
        <v>0</v>
      </c>
      <c r="J1581" t="n">
        <v>0</v>
      </c>
      <c r="K1581" t="n">
        <v>0</v>
      </c>
      <c r="L1581" t="n">
        <v>0</v>
      </c>
      <c r="M1581" t="n">
        <v>0</v>
      </c>
      <c r="N1581" t="n">
        <v>0</v>
      </c>
      <c r="O1581" t="n">
        <v>0</v>
      </c>
      <c r="P1581" t="n">
        <v>0</v>
      </c>
      <c r="Q1581" t="n">
        <v>0</v>
      </c>
      <c r="R1581" s="2" t="inlineStr"/>
    </row>
    <row r="1582" ht="15" customHeight="1">
      <c r="A1582" t="inlineStr">
        <is>
          <t>A 37676-2021</t>
        </is>
      </c>
      <c r="B1582" s="1" t="n">
        <v>44400</v>
      </c>
      <c r="C1582" s="1" t="n">
        <v>45186</v>
      </c>
      <c r="D1582" t="inlineStr">
        <is>
          <t>STOCKHOLMS LÄN</t>
        </is>
      </c>
      <c r="E1582" t="inlineStr">
        <is>
          <t>SÖDERTÄLJE</t>
        </is>
      </c>
      <c r="F1582" t="inlineStr">
        <is>
          <t>Sveaskog</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37681-2021</t>
        </is>
      </c>
      <c r="B1583" s="1" t="n">
        <v>44400</v>
      </c>
      <c r="C1583" s="1" t="n">
        <v>45186</v>
      </c>
      <c r="D1583" t="inlineStr">
        <is>
          <t>STOCKHOLMS LÄN</t>
        </is>
      </c>
      <c r="E1583" t="inlineStr">
        <is>
          <t>SÖDERTÄLJE</t>
        </is>
      </c>
      <c r="F1583" t="inlineStr">
        <is>
          <t>Sveaskog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37859-2021</t>
        </is>
      </c>
      <c r="B1584" s="1" t="n">
        <v>44403</v>
      </c>
      <c r="C1584" s="1" t="n">
        <v>45186</v>
      </c>
      <c r="D1584" t="inlineStr">
        <is>
          <t>STOCKHOLMS LÄN</t>
        </is>
      </c>
      <c r="E1584" t="inlineStr">
        <is>
          <t>NORRTÄLJE</t>
        </is>
      </c>
      <c r="F1584" t="inlineStr">
        <is>
          <t>Holmen skog AB</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37967-2021</t>
        </is>
      </c>
      <c r="B1585" s="1" t="n">
        <v>44403</v>
      </c>
      <c r="C1585" s="1" t="n">
        <v>45186</v>
      </c>
      <c r="D1585" t="inlineStr">
        <is>
          <t>STOCKHOLMS LÄN</t>
        </is>
      </c>
      <c r="E1585" t="inlineStr">
        <is>
          <t>NYKVARN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38595-2021</t>
        </is>
      </c>
      <c r="B1586" s="1" t="n">
        <v>44407</v>
      </c>
      <c r="C1586" s="1" t="n">
        <v>45186</v>
      </c>
      <c r="D1586" t="inlineStr">
        <is>
          <t>STOCKHOLMS LÄN</t>
        </is>
      </c>
      <c r="E1586" t="inlineStr">
        <is>
          <t>HANINGE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38771-2021</t>
        </is>
      </c>
      <c r="B1587" s="1" t="n">
        <v>44410</v>
      </c>
      <c r="C1587" s="1" t="n">
        <v>45186</v>
      </c>
      <c r="D1587" t="inlineStr">
        <is>
          <t>STOCKHOLMS LÄN</t>
        </is>
      </c>
      <c r="E1587" t="inlineStr">
        <is>
          <t>NYNÄSHAMN</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39157-2021</t>
        </is>
      </c>
      <c r="B1588" s="1" t="n">
        <v>44412</v>
      </c>
      <c r="C1588" s="1" t="n">
        <v>45186</v>
      </c>
      <c r="D1588" t="inlineStr">
        <is>
          <t>STOCKHOLMS LÄN</t>
        </is>
      </c>
      <c r="E1588" t="inlineStr">
        <is>
          <t>NORRTÄLJE</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39070-2021</t>
        </is>
      </c>
      <c r="B1589" s="1" t="n">
        <v>44412</v>
      </c>
      <c r="C1589" s="1" t="n">
        <v>45186</v>
      </c>
      <c r="D1589" t="inlineStr">
        <is>
          <t>STOCKHOLMS LÄN</t>
        </is>
      </c>
      <c r="E1589" t="inlineStr">
        <is>
          <t>VÄRMDÖ</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39133-2021</t>
        </is>
      </c>
      <c r="B1590" s="1" t="n">
        <v>44412</v>
      </c>
      <c r="C1590" s="1" t="n">
        <v>45186</v>
      </c>
      <c r="D1590" t="inlineStr">
        <is>
          <t>STOCKHOLMS LÄN</t>
        </is>
      </c>
      <c r="E1590" t="inlineStr">
        <is>
          <t>SÖDERTÄLJE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39082-2021</t>
        </is>
      </c>
      <c r="B1591" s="1" t="n">
        <v>44412</v>
      </c>
      <c r="C1591" s="1" t="n">
        <v>45186</v>
      </c>
      <c r="D1591" t="inlineStr">
        <is>
          <t>STOCKHOLMS LÄN</t>
        </is>
      </c>
      <c r="E1591" t="inlineStr">
        <is>
          <t>VÄRMDÖ</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39651-2021</t>
        </is>
      </c>
      <c r="B1592" s="1" t="n">
        <v>44417</v>
      </c>
      <c r="C1592" s="1" t="n">
        <v>45186</v>
      </c>
      <c r="D1592" t="inlineStr">
        <is>
          <t>STOCKHOLMS LÄN</t>
        </is>
      </c>
      <c r="E1592" t="inlineStr">
        <is>
          <t>HANINGE</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40158-2021</t>
        </is>
      </c>
      <c r="B1593" s="1" t="n">
        <v>44418</v>
      </c>
      <c r="C1593" s="1" t="n">
        <v>45186</v>
      </c>
      <c r="D1593" t="inlineStr">
        <is>
          <t>STOCKHOLMS LÄN</t>
        </is>
      </c>
      <c r="E1593" t="inlineStr">
        <is>
          <t>NYNÄSHAMN</t>
        </is>
      </c>
      <c r="F1593" t="inlineStr">
        <is>
          <t>Kommuner</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40143-2021</t>
        </is>
      </c>
      <c r="B1594" s="1" t="n">
        <v>44418</v>
      </c>
      <c r="C1594" s="1" t="n">
        <v>45186</v>
      </c>
      <c r="D1594" t="inlineStr">
        <is>
          <t>STOCKHOLMS LÄN</t>
        </is>
      </c>
      <c r="E1594" t="inlineStr">
        <is>
          <t>NYNÄSHAMN</t>
        </is>
      </c>
      <c r="F1594" t="inlineStr">
        <is>
          <t>Kommuner</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40183-2021</t>
        </is>
      </c>
      <c r="B1595" s="1" t="n">
        <v>44418</v>
      </c>
      <c r="C1595" s="1" t="n">
        <v>45186</v>
      </c>
      <c r="D1595" t="inlineStr">
        <is>
          <t>STOCKHOLMS LÄN</t>
        </is>
      </c>
      <c r="E1595" t="inlineStr">
        <is>
          <t>NYNÄSHAMN</t>
        </is>
      </c>
      <c r="F1595" t="inlineStr">
        <is>
          <t>Kommuner</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40425-2021</t>
        </is>
      </c>
      <c r="B1596" s="1" t="n">
        <v>44419</v>
      </c>
      <c r="C1596" s="1" t="n">
        <v>45186</v>
      </c>
      <c r="D1596" t="inlineStr">
        <is>
          <t>STOCKHOLMS LÄN</t>
        </is>
      </c>
      <c r="E1596" t="inlineStr">
        <is>
          <t>NORRTÄLJE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40542-2021</t>
        </is>
      </c>
      <c r="B1597" s="1" t="n">
        <v>44420</v>
      </c>
      <c r="C1597" s="1" t="n">
        <v>45186</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40753-2021</t>
        </is>
      </c>
      <c r="B1598" s="1" t="n">
        <v>44420</v>
      </c>
      <c r="C1598" s="1" t="n">
        <v>45186</v>
      </c>
      <c r="D1598" t="inlineStr">
        <is>
          <t>STOCKHOLMS LÄN</t>
        </is>
      </c>
      <c r="E1598" t="inlineStr">
        <is>
          <t>NYNÄSHAMN</t>
        </is>
      </c>
      <c r="F1598" t="inlineStr">
        <is>
          <t>Kommuner</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40546-2021</t>
        </is>
      </c>
      <c r="B1599" s="1" t="n">
        <v>44420</v>
      </c>
      <c r="C1599" s="1" t="n">
        <v>45186</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40514-2021</t>
        </is>
      </c>
      <c r="B1600" s="1" t="n">
        <v>44420</v>
      </c>
      <c r="C1600" s="1" t="n">
        <v>45186</v>
      </c>
      <c r="D1600" t="inlineStr">
        <is>
          <t>STOCKHOLMS LÄN</t>
        </is>
      </c>
      <c r="E1600" t="inlineStr">
        <is>
          <t>UPPLANDS-BRO</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40510-2021</t>
        </is>
      </c>
      <c r="B1601" s="1" t="n">
        <v>44420</v>
      </c>
      <c r="C1601" s="1" t="n">
        <v>45186</v>
      </c>
      <c r="D1601" t="inlineStr">
        <is>
          <t>STOCKHOLMS LÄN</t>
        </is>
      </c>
      <c r="E1601" t="inlineStr">
        <is>
          <t>UPPLANDS-BRO</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40751-2021</t>
        </is>
      </c>
      <c r="B1602" s="1" t="n">
        <v>44420</v>
      </c>
      <c r="C1602" s="1" t="n">
        <v>45186</v>
      </c>
      <c r="D1602" t="inlineStr">
        <is>
          <t>STOCKHOLMS LÄN</t>
        </is>
      </c>
      <c r="E1602" t="inlineStr">
        <is>
          <t>SÖDERTÄLJE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41465-2021</t>
        </is>
      </c>
      <c r="B1603" s="1" t="n">
        <v>44424</v>
      </c>
      <c r="C1603" s="1" t="n">
        <v>45186</v>
      </c>
      <c r="D1603" t="inlineStr">
        <is>
          <t>STOCKHOLMS LÄN</t>
        </is>
      </c>
      <c r="E1603" t="inlineStr">
        <is>
          <t>UPPLANDS-BRO</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41378-2021</t>
        </is>
      </c>
      <c r="B1604" s="1" t="n">
        <v>44424</v>
      </c>
      <c r="C1604" s="1" t="n">
        <v>45186</v>
      </c>
      <c r="D1604" t="inlineStr">
        <is>
          <t>STOCKHOLMS LÄN</t>
        </is>
      </c>
      <c r="E1604" t="inlineStr">
        <is>
          <t>NYNÄSHAMN</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41281-2021</t>
        </is>
      </c>
      <c r="B1605" s="1" t="n">
        <v>44424</v>
      </c>
      <c r="C1605" s="1" t="n">
        <v>45186</v>
      </c>
      <c r="D1605" t="inlineStr">
        <is>
          <t>STOCKHOLMS LÄN</t>
        </is>
      </c>
      <c r="E1605" t="inlineStr">
        <is>
          <t>NYNÄSHAMN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41463-2021</t>
        </is>
      </c>
      <c r="B1606" s="1" t="n">
        <v>44424</v>
      </c>
      <c r="C1606" s="1" t="n">
        <v>45186</v>
      </c>
      <c r="D1606" t="inlineStr">
        <is>
          <t>STOCKHOLMS LÄN</t>
        </is>
      </c>
      <c r="E1606" t="inlineStr">
        <is>
          <t>UPPLANDS-BRO</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41822-2021</t>
        </is>
      </c>
      <c r="B1607" s="1" t="n">
        <v>44425</v>
      </c>
      <c r="C1607" s="1" t="n">
        <v>45186</v>
      </c>
      <c r="D1607" t="inlineStr">
        <is>
          <t>STOCKHOLMS LÄN</t>
        </is>
      </c>
      <c r="E1607" t="inlineStr">
        <is>
          <t>NORRTÄLJE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41595-2021</t>
        </is>
      </c>
      <c r="B1608" s="1" t="n">
        <v>44425</v>
      </c>
      <c r="C1608" s="1" t="n">
        <v>45186</v>
      </c>
      <c r="D1608" t="inlineStr">
        <is>
          <t>STOCKHOLMS LÄN</t>
        </is>
      </c>
      <c r="E1608" t="inlineStr">
        <is>
          <t>NORRTÄLJE</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41809-2021</t>
        </is>
      </c>
      <c r="B1609" s="1" t="n">
        <v>44425</v>
      </c>
      <c r="C1609" s="1" t="n">
        <v>45186</v>
      </c>
      <c r="D1609" t="inlineStr">
        <is>
          <t>STOCKHOLMS LÄN</t>
        </is>
      </c>
      <c r="E1609" t="inlineStr">
        <is>
          <t>HANINGE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41823-2021</t>
        </is>
      </c>
      <c r="B1610" s="1" t="n">
        <v>44425</v>
      </c>
      <c r="C1610" s="1" t="n">
        <v>45186</v>
      </c>
      <c r="D1610" t="inlineStr">
        <is>
          <t>STOCKHOLMS LÄN</t>
        </is>
      </c>
      <c r="E1610" t="inlineStr">
        <is>
          <t>NORRTÄLJE</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42396-2021</t>
        </is>
      </c>
      <c r="B1611" s="1" t="n">
        <v>44427</v>
      </c>
      <c r="C1611" s="1" t="n">
        <v>45186</v>
      </c>
      <c r="D1611" t="inlineStr">
        <is>
          <t>STOCKHOLMS LÄN</t>
        </is>
      </c>
      <c r="E1611" t="inlineStr">
        <is>
          <t>NORRTÄLJE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42624-2021</t>
        </is>
      </c>
      <c r="B1612" s="1" t="n">
        <v>44428</v>
      </c>
      <c r="C1612" s="1" t="n">
        <v>45186</v>
      </c>
      <c r="D1612" t="inlineStr">
        <is>
          <t>STOCKHOLMS LÄN</t>
        </is>
      </c>
      <c r="E1612" t="inlineStr">
        <is>
          <t>VALLENTUNA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44346-2021</t>
        </is>
      </c>
      <c r="B1613" s="1" t="n">
        <v>44434</v>
      </c>
      <c r="C1613" s="1" t="n">
        <v>45186</v>
      </c>
      <c r="D1613" t="inlineStr">
        <is>
          <t>STOCKHOLMS LÄN</t>
        </is>
      </c>
      <c r="E1613" t="inlineStr">
        <is>
          <t>VALLENTUNA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43893-2021</t>
        </is>
      </c>
      <c r="B1614" s="1" t="n">
        <v>44434</v>
      </c>
      <c r="C1614" s="1" t="n">
        <v>45186</v>
      </c>
      <c r="D1614" t="inlineStr">
        <is>
          <t>STOCKHOLMS LÄN</t>
        </is>
      </c>
      <c r="E1614" t="inlineStr">
        <is>
          <t>SALEM</t>
        </is>
      </c>
      <c r="F1614" t="inlineStr">
        <is>
          <t>Kommuner</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43922-2021</t>
        </is>
      </c>
      <c r="B1615" s="1" t="n">
        <v>44434</v>
      </c>
      <c r="C1615" s="1" t="n">
        <v>45186</v>
      </c>
      <c r="D1615" t="inlineStr">
        <is>
          <t>STOCKHOLMS LÄN</t>
        </is>
      </c>
      <c r="E1615" t="inlineStr">
        <is>
          <t>NYKVARN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44274-2021</t>
        </is>
      </c>
      <c r="B1616" s="1" t="n">
        <v>44435</v>
      </c>
      <c r="C1616" s="1" t="n">
        <v>45186</v>
      </c>
      <c r="D1616" t="inlineStr">
        <is>
          <t>STOCKHOLMS LÄN</t>
        </is>
      </c>
      <c r="E1616" t="inlineStr">
        <is>
          <t>NORRTÄLJE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44650-2021</t>
        </is>
      </c>
      <c r="B1617" s="1" t="n">
        <v>44437</v>
      </c>
      <c r="C1617" s="1" t="n">
        <v>45186</v>
      </c>
      <c r="D1617" t="inlineStr">
        <is>
          <t>STOCKHOLMS LÄN</t>
        </is>
      </c>
      <c r="E1617" t="inlineStr">
        <is>
          <t>SÖDERTÄLJE</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45572-2021</t>
        </is>
      </c>
      <c r="B1618" s="1" t="n">
        <v>44440</v>
      </c>
      <c r="C1618" s="1" t="n">
        <v>45186</v>
      </c>
      <c r="D1618" t="inlineStr">
        <is>
          <t>STOCKHOLMS LÄN</t>
        </is>
      </c>
      <c r="E1618" t="inlineStr">
        <is>
          <t>VÄRMDÖ</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45395-2021</t>
        </is>
      </c>
      <c r="B1619" s="1" t="n">
        <v>44440</v>
      </c>
      <c r="C1619" s="1" t="n">
        <v>45186</v>
      </c>
      <c r="D1619" t="inlineStr">
        <is>
          <t>STOCKHOLMS LÄN</t>
        </is>
      </c>
      <c r="E1619" t="inlineStr">
        <is>
          <t>HANINGE</t>
        </is>
      </c>
      <c r="F1619" t="inlineStr">
        <is>
          <t>Övriga statliga verk och myndigheter</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45674-2021</t>
        </is>
      </c>
      <c r="B1620" s="1" t="n">
        <v>44441</v>
      </c>
      <c r="C1620" s="1" t="n">
        <v>45186</v>
      </c>
      <c r="D1620" t="inlineStr">
        <is>
          <t>STOCKHOLMS LÄN</t>
        </is>
      </c>
      <c r="E1620" t="inlineStr">
        <is>
          <t>SÖDERTÄLJE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46244-2021</t>
        </is>
      </c>
      <c r="B1621" s="1" t="n">
        <v>44442</v>
      </c>
      <c r="C1621" s="1" t="n">
        <v>45186</v>
      </c>
      <c r="D1621" t="inlineStr">
        <is>
          <t>STOCKHOLMS LÄN</t>
        </is>
      </c>
      <c r="E1621" t="inlineStr">
        <is>
          <t>UPPLANDS-BRO</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46671-2021</t>
        </is>
      </c>
      <c r="B1622" s="1" t="n">
        <v>44445</v>
      </c>
      <c r="C1622" s="1" t="n">
        <v>45186</v>
      </c>
      <c r="D1622" t="inlineStr">
        <is>
          <t>STOCKHOLMS LÄN</t>
        </is>
      </c>
      <c r="E1622" t="inlineStr">
        <is>
          <t>SÖDERTÄLJE</t>
        </is>
      </c>
      <c r="G1622" t="n">
        <v>8.1</v>
      </c>
      <c r="H1622" t="n">
        <v>0</v>
      </c>
      <c r="I1622" t="n">
        <v>0</v>
      </c>
      <c r="J1622" t="n">
        <v>0</v>
      </c>
      <c r="K1622" t="n">
        <v>0</v>
      </c>
      <c r="L1622" t="n">
        <v>0</v>
      </c>
      <c r="M1622" t="n">
        <v>0</v>
      </c>
      <c r="N1622" t="n">
        <v>0</v>
      </c>
      <c r="O1622" t="n">
        <v>0</v>
      </c>
      <c r="P1622" t="n">
        <v>0</v>
      </c>
      <c r="Q1622" t="n">
        <v>0</v>
      </c>
      <c r="R1622" s="2" t="inlineStr"/>
    </row>
    <row r="1623" ht="15" customHeight="1">
      <c r="A1623" t="inlineStr">
        <is>
          <t>A 46924-2021</t>
        </is>
      </c>
      <c r="B1623" s="1" t="n">
        <v>44446</v>
      </c>
      <c r="C1623" s="1" t="n">
        <v>45186</v>
      </c>
      <c r="D1623" t="inlineStr">
        <is>
          <t>STOCKHOLMS LÄN</t>
        </is>
      </c>
      <c r="E1623" t="inlineStr">
        <is>
          <t>VALLENTUNA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46935-2021</t>
        </is>
      </c>
      <c r="B1624" s="1" t="n">
        <v>44446</v>
      </c>
      <c r="C1624" s="1" t="n">
        <v>45186</v>
      </c>
      <c r="D1624" t="inlineStr">
        <is>
          <t>STOCKHOLMS LÄN</t>
        </is>
      </c>
      <c r="E1624" t="inlineStr">
        <is>
          <t>VALLENTUNA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47344-2021</t>
        </is>
      </c>
      <c r="B1625" s="1" t="n">
        <v>44447</v>
      </c>
      <c r="C1625" s="1" t="n">
        <v>45186</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47349-2021</t>
        </is>
      </c>
      <c r="B1626" s="1" t="n">
        <v>44447</v>
      </c>
      <c r="C1626" s="1" t="n">
        <v>45186</v>
      </c>
      <c r="D1626" t="inlineStr">
        <is>
          <t>STOCKHOLMS LÄN</t>
        </is>
      </c>
      <c r="E1626" t="inlineStr">
        <is>
          <t>NORRTÄLJE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47691-2021</t>
        </is>
      </c>
      <c r="B1627" s="1" t="n">
        <v>44448</v>
      </c>
      <c r="C1627" s="1" t="n">
        <v>45186</v>
      </c>
      <c r="D1627" t="inlineStr">
        <is>
          <t>STOCKHOLMS LÄN</t>
        </is>
      </c>
      <c r="E1627" t="inlineStr">
        <is>
          <t>NORRTÄLJE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48387-2021</t>
        </is>
      </c>
      <c r="B1628" s="1" t="n">
        <v>44451</v>
      </c>
      <c r="C1628" s="1" t="n">
        <v>45186</v>
      </c>
      <c r="D1628" t="inlineStr">
        <is>
          <t>STOCKHOLMS LÄN</t>
        </is>
      </c>
      <c r="E1628" t="inlineStr">
        <is>
          <t>SÖDERTÄLJE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48384-2021</t>
        </is>
      </c>
      <c r="B1629" s="1" t="n">
        <v>44451</v>
      </c>
      <c r="C1629" s="1" t="n">
        <v>45186</v>
      </c>
      <c r="D1629" t="inlineStr">
        <is>
          <t>STOCKHOLMS LÄN</t>
        </is>
      </c>
      <c r="E1629" t="inlineStr">
        <is>
          <t>NORRTÄLJE</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48798-2021</t>
        </is>
      </c>
      <c r="B1630" s="1" t="n">
        <v>44452</v>
      </c>
      <c r="C1630" s="1" t="n">
        <v>45186</v>
      </c>
      <c r="D1630" t="inlineStr">
        <is>
          <t>STOCKHOLMS LÄN</t>
        </is>
      </c>
      <c r="E1630" t="inlineStr">
        <is>
          <t>NORRTÄLJE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48932-2021</t>
        </is>
      </c>
      <c r="B1631" s="1" t="n">
        <v>44453</v>
      </c>
      <c r="C1631" s="1" t="n">
        <v>45186</v>
      </c>
      <c r="D1631" t="inlineStr">
        <is>
          <t>STOCKHOLMS LÄN</t>
        </is>
      </c>
      <c r="E1631" t="inlineStr">
        <is>
          <t>NORRTÄLJE</t>
        </is>
      </c>
      <c r="G1631" t="n">
        <v>11.2</v>
      </c>
      <c r="H1631" t="n">
        <v>0</v>
      </c>
      <c r="I1631" t="n">
        <v>0</v>
      </c>
      <c r="J1631" t="n">
        <v>0</v>
      </c>
      <c r="K1631" t="n">
        <v>0</v>
      </c>
      <c r="L1631" t="n">
        <v>0</v>
      </c>
      <c r="M1631" t="n">
        <v>0</v>
      </c>
      <c r="N1631" t="n">
        <v>0</v>
      </c>
      <c r="O1631" t="n">
        <v>0</v>
      </c>
      <c r="P1631" t="n">
        <v>0</v>
      </c>
      <c r="Q1631" t="n">
        <v>0</v>
      </c>
      <c r="R1631" s="2" t="inlineStr"/>
    </row>
    <row r="1632" ht="15" customHeight="1">
      <c r="A1632" t="inlineStr">
        <is>
          <t>A 49113-2021</t>
        </is>
      </c>
      <c r="B1632" s="1" t="n">
        <v>44453</v>
      </c>
      <c r="C1632" s="1" t="n">
        <v>45186</v>
      </c>
      <c r="D1632" t="inlineStr">
        <is>
          <t>STOCKHOLMS LÄN</t>
        </is>
      </c>
      <c r="E1632" t="inlineStr">
        <is>
          <t>NORRTÄLJE</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49622-2021</t>
        </is>
      </c>
      <c r="B1633" s="1" t="n">
        <v>44455</v>
      </c>
      <c r="C1633" s="1" t="n">
        <v>45186</v>
      </c>
      <c r="D1633" t="inlineStr">
        <is>
          <t>STOCKHOLMS LÄN</t>
        </is>
      </c>
      <c r="E1633" t="inlineStr">
        <is>
          <t>UPPLANDS-BRO</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50059-2021</t>
        </is>
      </c>
      <c r="B1634" s="1" t="n">
        <v>44455</v>
      </c>
      <c r="C1634" s="1" t="n">
        <v>45186</v>
      </c>
      <c r="D1634" t="inlineStr">
        <is>
          <t>STOCKHOLMS LÄN</t>
        </is>
      </c>
      <c r="E1634" t="inlineStr">
        <is>
          <t>SÖDERTÄLJE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50108-2021</t>
        </is>
      </c>
      <c r="B1635" s="1" t="n">
        <v>44456</v>
      </c>
      <c r="C1635" s="1" t="n">
        <v>45186</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50038-2021</t>
        </is>
      </c>
      <c r="B1636" s="1" t="n">
        <v>44456</v>
      </c>
      <c r="C1636" s="1" t="n">
        <v>45186</v>
      </c>
      <c r="D1636" t="inlineStr">
        <is>
          <t>STOCKHOLMS LÄN</t>
        </is>
      </c>
      <c r="E1636" t="inlineStr">
        <is>
          <t>NORRTÄLJE</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50252-2021</t>
        </is>
      </c>
      <c r="B1637" s="1" t="n">
        <v>44458</v>
      </c>
      <c r="C1637" s="1" t="n">
        <v>45186</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50602-2021</t>
        </is>
      </c>
      <c r="B1638" s="1" t="n">
        <v>44459</v>
      </c>
      <c r="C1638" s="1" t="n">
        <v>45186</v>
      </c>
      <c r="D1638" t="inlineStr">
        <is>
          <t>STOCKHOLMS LÄN</t>
        </is>
      </c>
      <c r="E1638" t="inlineStr">
        <is>
          <t>NORRTÄLJE</t>
        </is>
      </c>
      <c r="F1638" t="inlineStr">
        <is>
          <t>Holmen skog AB</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50903-2021</t>
        </is>
      </c>
      <c r="B1639" s="1" t="n">
        <v>44460</v>
      </c>
      <c r="C1639" s="1" t="n">
        <v>45186</v>
      </c>
      <c r="D1639" t="inlineStr">
        <is>
          <t>STOCKHOLMS LÄN</t>
        </is>
      </c>
      <c r="E1639" t="inlineStr">
        <is>
          <t>HANINGE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51482-2021</t>
        </is>
      </c>
      <c r="B1640" s="1" t="n">
        <v>44460</v>
      </c>
      <c r="C1640" s="1" t="n">
        <v>45186</v>
      </c>
      <c r="D1640" t="inlineStr">
        <is>
          <t>STOCKHOLMS LÄN</t>
        </is>
      </c>
      <c r="E1640" t="inlineStr">
        <is>
          <t>SÖDERTÄLJE</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51454-2021</t>
        </is>
      </c>
      <c r="B1641" s="1" t="n">
        <v>44460</v>
      </c>
      <c r="C1641" s="1" t="n">
        <v>45186</v>
      </c>
      <c r="D1641" t="inlineStr">
        <is>
          <t>STOCKHOLMS LÄN</t>
        </is>
      </c>
      <c r="E1641" t="inlineStr">
        <is>
          <t>SÖDERTÄLJE</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50692-2021</t>
        </is>
      </c>
      <c r="B1642" s="1" t="n">
        <v>44460</v>
      </c>
      <c r="C1642" s="1" t="n">
        <v>45186</v>
      </c>
      <c r="D1642" t="inlineStr">
        <is>
          <t>STOCKHOLMS LÄN</t>
        </is>
      </c>
      <c r="E1642" t="inlineStr">
        <is>
          <t>SALEM</t>
        </is>
      </c>
      <c r="F1642" t="inlineStr">
        <is>
          <t>Kommuner</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51279-2021</t>
        </is>
      </c>
      <c r="B1643" s="1" t="n">
        <v>44461</v>
      </c>
      <c r="C1643" s="1" t="n">
        <v>45186</v>
      </c>
      <c r="D1643" t="inlineStr">
        <is>
          <t>STOCKHOLMS LÄN</t>
        </is>
      </c>
      <c r="E1643" t="inlineStr">
        <is>
          <t>NORRTÄLJE</t>
        </is>
      </c>
      <c r="F1643" t="inlineStr">
        <is>
          <t>Holmen skog AB</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51315-2021</t>
        </is>
      </c>
      <c r="B1644" s="1" t="n">
        <v>44461</v>
      </c>
      <c r="C1644" s="1" t="n">
        <v>45186</v>
      </c>
      <c r="D1644" t="inlineStr">
        <is>
          <t>STOCKHOLMS LÄN</t>
        </is>
      </c>
      <c r="E1644" t="inlineStr">
        <is>
          <t>NORRTÄLJE</t>
        </is>
      </c>
      <c r="F1644" t="inlineStr">
        <is>
          <t>Holmen skog AB</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51787-2021</t>
        </is>
      </c>
      <c r="B1645" s="1" t="n">
        <v>44462</v>
      </c>
      <c r="C1645" s="1" t="n">
        <v>45186</v>
      </c>
      <c r="D1645" t="inlineStr">
        <is>
          <t>STOCKHOLMS LÄN</t>
        </is>
      </c>
      <c r="E1645" t="inlineStr">
        <is>
          <t>NYKVARN</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52214-2021</t>
        </is>
      </c>
      <c r="B1646" s="1" t="n">
        <v>44462</v>
      </c>
      <c r="C1646" s="1" t="n">
        <v>45186</v>
      </c>
      <c r="D1646" t="inlineStr">
        <is>
          <t>STOCKHOLMS LÄN</t>
        </is>
      </c>
      <c r="E1646" t="inlineStr">
        <is>
          <t>SÖDERTÄLJE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52035-2021</t>
        </is>
      </c>
      <c r="B1647" s="1" t="n">
        <v>44463</v>
      </c>
      <c r="C1647" s="1" t="n">
        <v>45186</v>
      </c>
      <c r="D1647" t="inlineStr">
        <is>
          <t>STOCKHOLMS LÄN</t>
        </is>
      </c>
      <c r="E1647" t="inlineStr">
        <is>
          <t>BOTKYRKA</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52090-2021</t>
        </is>
      </c>
      <c r="B1648" s="1" t="n">
        <v>44463</v>
      </c>
      <c r="C1648" s="1" t="n">
        <v>45186</v>
      </c>
      <c r="D1648" t="inlineStr">
        <is>
          <t>STOCKHOLMS LÄN</t>
        </is>
      </c>
      <c r="E1648" t="inlineStr">
        <is>
          <t>NORRTÄLJE</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52377-2021</t>
        </is>
      </c>
      <c r="B1649" s="1" t="n">
        <v>44465</v>
      </c>
      <c r="C1649" s="1" t="n">
        <v>45186</v>
      </c>
      <c r="D1649" t="inlineStr">
        <is>
          <t>STOCKHOLMS LÄN</t>
        </is>
      </c>
      <c r="E1649" t="inlineStr">
        <is>
          <t>VALLENTUNA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53042-2021</t>
        </is>
      </c>
      <c r="B1650" s="1" t="n">
        <v>44467</v>
      </c>
      <c r="C1650" s="1" t="n">
        <v>45186</v>
      </c>
      <c r="D1650" t="inlineStr">
        <is>
          <t>STOCKHOLMS LÄN</t>
        </is>
      </c>
      <c r="E1650" t="inlineStr">
        <is>
          <t>SÖDERTÄLJE</t>
        </is>
      </c>
      <c r="G1650" t="n">
        <v>6.8</v>
      </c>
      <c r="H1650" t="n">
        <v>0</v>
      </c>
      <c r="I1650" t="n">
        <v>0</v>
      </c>
      <c r="J1650" t="n">
        <v>0</v>
      </c>
      <c r="K1650" t="n">
        <v>0</v>
      </c>
      <c r="L1650" t="n">
        <v>0</v>
      </c>
      <c r="M1650" t="n">
        <v>0</v>
      </c>
      <c r="N1650" t="n">
        <v>0</v>
      </c>
      <c r="O1650" t="n">
        <v>0</v>
      </c>
      <c r="P1650" t="n">
        <v>0</v>
      </c>
      <c r="Q1650" t="n">
        <v>0</v>
      </c>
      <c r="R1650" s="2" t="inlineStr"/>
    </row>
    <row r="1651" ht="15" customHeight="1">
      <c r="A1651" t="inlineStr">
        <is>
          <t>A 53090-2021</t>
        </is>
      </c>
      <c r="B1651" s="1" t="n">
        <v>44467</v>
      </c>
      <c r="C1651" s="1" t="n">
        <v>45186</v>
      </c>
      <c r="D1651" t="inlineStr">
        <is>
          <t>STOCKHOLMS LÄN</t>
        </is>
      </c>
      <c r="E1651" t="inlineStr">
        <is>
          <t>SIGTUNA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53462-2021</t>
        </is>
      </c>
      <c r="B1652" s="1" t="n">
        <v>44468</v>
      </c>
      <c r="C1652" s="1" t="n">
        <v>45186</v>
      </c>
      <c r="D1652" t="inlineStr">
        <is>
          <t>STOCKHOLMS LÄN</t>
        </is>
      </c>
      <c r="E1652" t="inlineStr">
        <is>
          <t>SIGTUNA</t>
        </is>
      </c>
      <c r="F1652" t="inlineStr">
        <is>
          <t>Kyrkan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54276-2021</t>
        </is>
      </c>
      <c r="B1653" s="1" t="n">
        <v>44470</v>
      </c>
      <c r="C1653" s="1" t="n">
        <v>45186</v>
      </c>
      <c r="D1653" t="inlineStr">
        <is>
          <t>STOCKHOLMS LÄN</t>
        </is>
      </c>
      <c r="E1653" t="inlineStr">
        <is>
          <t>NORRTÄLJE</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54396-2021</t>
        </is>
      </c>
      <c r="B1654" s="1" t="n">
        <v>44472</v>
      </c>
      <c r="C1654" s="1" t="n">
        <v>45186</v>
      </c>
      <c r="D1654" t="inlineStr">
        <is>
          <t>STOCKHOLMS LÄN</t>
        </is>
      </c>
      <c r="E1654" t="inlineStr">
        <is>
          <t>NORRTÄLJE</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54418-2021</t>
        </is>
      </c>
      <c r="B1655" s="1" t="n">
        <v>44473</v>
      </c>
      <c r="C1655" s="1" t="n">
        <v>45186</v>
      </c>
      <c r="D1655" t="inlineStr">
        <is>
          <t>STOCKHOLMS LÄN</t>
        </is>
      </c>
      <c r="E1655" t="inlineStr">
        <is>
          <t>NYKVARN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55112-2021</t>
        </is>
      </c>
      <c r="B1656" s="1" t="n">
        <v>44474</v>
      </c>
      <c r="C1656" s="1" t="n">
        <v>45186</v>
      </c>
      <c r="D1656" t="inlineStr">
        <is>
          <t>STOCKHOLMS LÄN</t>
        </is>
      </c>
      <c r="E1656" t="inlineStr">
        <is>
          <t>SIGTUNA</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55861-2021</t>
        </is>
      </c>
      <c r="B1657" s="1" t="n">
        <v>44476</v>
      </c>
      <c r="C1657" s="1" t="n">
        <v>45186</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55853-2021</t>
        </is>
      </c>
      <c r="B1658" s="1" t="n">
        <v>44476</v>
      </c>
      <c r="C1658" s="1" t="n">
        <v>45186</v>
      </c>
      <c r="D1658" t="inlineStr">
        <is>
          <t>STOCKHOLMS LÄN</t>
        </is>
      </c>
      <c r="E1658" t="inlineStr">
        <is>
          <t>HANINGE</t>
        </is>
      </c>
      <c r="F1658" t="inlineStr">
        <is>
          <t>Kommuner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55857-2021</t>
        </is>
      </c>
      <c r="B1659" s="1" t="n">
        <v>44476</v>
      </c>
      <c r="C1659" s="1" t="n">
        <v>45186</v>
      </c>
      <c r="D1659" t="inlineStr">
        <is>
          <t>STOCKHOLMS LÄN</t>
        </is>
      </c>
      <c r="E1659" t="inlineStr">
        <is>
          <t>HANINGE</t>
        </is>
      </c>
      <c r="F1659" t="inlineStr">
        <is>
          <t>Kommuner</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56219-2021</t>
        </is>
      </c>
      <c r="B1660" s="1" t="n">
        <v>44477</v>
      </c>
      <c r="C1660" s="1" t="n">
        <v>45186</v>
      </c>
      <c r="D1660" t="inlineStr">
        <is>
          <t>STOCKHOLMS LÄN</t>
        </is>
      </c>
      <c r="E1660" t="inlineStr">
        <is>
          <t>NORRTÄLJE</t>
        </is>
      </c>
      <c r="F1660" t="inlineStr">
        <is>
          <t>Kommuner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56724-2021</t>
        </is>
      </c>
      <c r="B1661" s="1" t="n">
        <v>44480</v>
      </c>
      <c r="C1661" s="1" t="n">
        <v>45186</v>
      </c>
      <c r="D1661" t="inlineStr">
        <is>
          <t>STOCKHOLMS LÄN</t>
        </is>
      </c>
      <c r="E1661" t="inlineStr">
        <is>
          <t>SIGTUNA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56756-2021</t>
        </is>
      </c>
      <c r="B1662" s="1" t="n">
        <v>44481</v>
      </c>
      <c r="C1662" s="1" t="n">
        <v>45186</v>
      </c>
      <c r="D1662" t="inlineStr">
        <is>
          <t>STOCKHOLMS LÄN</t>
        </is>
      </c>
      <c r="E1662" t="inlineStr">
        <is>
          <t>UPPLANDS-BRO</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56816-2021</t>
        </is>
      </c>
      <c r="B1663" s="1" t="n">
        <v>44481</v>
      </c>
      <c r="C1663" s="1" t="n">
        <v>45186</v>
      </c>
      <c r="D1663" t="inlineStr">
        <is>
          <t>STOCKHOLMS LÄN</t>
        </is>
      </c>
      <c r="E1663" t="inlineStr">
        <is>
          <t>BOTKYRKA</t>
        </is>
      </c>
      <c r="G1663" t="n">
        <v>10.9</v>
      </c>
      <c r="H1663" t="n">
        <v>0</v>
      </c>
      <c r="I1663" t="n">
        <v>0</v>
      </c>
      <c r="J1663" t="n">
        <v>0</v>
      </c>
      <c r="K1663" t="n">
        <v>0</v>
      </c>
      <c r="L1663" t="n">
        <v>0</v>
      </c>
      <c r="M1663" t="n">
        <v>0</v>
      </c>
      <c r="N1663" t="n">
        <v>0</v>
      </c>
      <c r="O1663" t="n">
        <v>0</v>
      </c>
      <c r="P1663" t="n">
        <v>0</v>
      </c>
      <c r="Q1663" t="n">
        <v>0</v>
      </c>
      <c r="R1663" s="2" t="inlineStr"/>
    </row>
    <row r="1664" ht="15" customHeight="1">
      <c r="A1664" t="inlineStr">
        <is>
          <t>A 56878-2021</t>
        </is>
      </c>
      <c r="B1664" s="1" t="n">
        <v>44481</v>
      </c>
      <c r="C1664" s="1" t="n">
        <v>45186</v>
      </c>
      <c r="D1664" t="inlineStr">
        <is>
          <t>STOCKHOLMS LÄN</t>
        </is>
      </c>
      <c r="E1664" t="inlineStr">
        <is>
          <t>NORRTÄLJE</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57039-2021</t>
        </is>
      </c>
      <c r="B1665" s="1" t="n">
        <v>44482</v>
      </c>
      <c r="C1665" s="1" t="n">
        <v>45186</v>
      </c>
      <c r="D1665" t="inlineStr">
        <is>
          <t>STOCKHOLMS LÄN</t>
        </is>
      </c>
      <c r="E1665" t="inlineStr">
        <is>
          <t>SÖDERTÄLJE</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57442-2021</t>
        </is>
      </c>
      <c r="B1666" s="1" t="n">
        <v>44483</v>
      </c>
      <c r="C1666" s="1" t="n">
        <v>45186</v>
      </c>
      <c r="D1666" t="inlineStr">
        <is>
          <t>STOCKHOLMS LÄN</t>
        </is>
      </c>
      <c r="E1666" t="inlineStr">
        <is>
          <t>NORRTÄLJE</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57507-2021</t>
        </is>
      </c>
      <c r="B1667" s="1" t="n">
        <v>44483</v>
      </c>
      <c r="C1667" s="1" t="n">
        <v>45186</v>
      </c>
      <c r="D1667" t="inlineStr">
        <is>
          <t>STOCKHOLMS LÄN</t>
        </is>
      </c>
      <c r="E1667" t="inlineStr">
        <is>
          <t>NORRTÄLJE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57884-2021</t>
        </is>
      </c>
      <c r="B1668" s="1" t="n">
        <v>44485</v>
      </c>
      <c r="C1668" s="1" t="n">
        <v>45186</v>
      </c>
      <c r="D1668" t="inlineStr">
        <is>
          <t>STOCKHOLMS LÄN</t>
        </is>
      </c>
      <c r="E1668" t="inlineStr">
        <is>
          <t>SÖDERTÄLJE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57993-2021</t>
        </is>
      </c>
      <c r="B1669" s="1" t="n">
        <v>44487</v>
      </c>
      <c r="C1669" s="1" t="n">
        <v>45186</v>
      </c>
      <c r="D1669" t="inlineStr">
        <is>
          <t>STOCKHOLMS LÄN</t>
        </is>
      </c>
      <c r="E1669" t="inlineStr">
        <is>
          <t>UPPLANDS-BRO</t>
        </is>
      </c>
      <c r="F1669" t="inlineStr">
        <is>
          <t>Övriga statliga verk och myndigheter</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58011-2021</t>
        </is>
      </c>
      <c r="B1670" s="1" t="n">
        <v>44487</v>
      </c>
      <c r="C1670" s="1" t="n">
        <v>45186</v>
      </c>
      <c r="D1670" t="inlineStr">
        <is>
          <t>STOCKHOLMS LÄN</t>
        </is>
      </c>
      <c r="E1670" t="inlineStr">
        <is>
          <t>UPPLANDS-BRO</t>
        </is>
      </c>
      <c r="F1670" t="inlineStr">
        <is>
          <t>Övriga statliga verk och myndigheter</t>
        </is>
      </c>
      <c r="G1670" t="n">
        <v>9.199999999999999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58669-2021</t>
        </is>
      </c>
      <c r="B1671" s="1" t="n">
        <v>44489</v>
      </c>
      <c r="C1671" s="1" t="n">
        <v>45186</v>
      </c>
      <c r="D1671" t="inlineStr">
        <is>
          <t>STOCKHOLMS LÄN</t>
        </is>
      </c>
      <c r="E1671" t="inlineStr">
        <is>
          <t>UPPLANDS-BRO</t>
        </is>
      </c>
      <c r="F1671" t="inlineStr">
        <is>
          <t>Övriga statliga verk och myndigheter</t>
        </is>
      </c>
      <c r="G1671" t="n">
        <v>20.7</v>
      </c>
      <c r="H1671" t="n">
        <v>0</v>
      </c>
      <c r="I1671" t="n">
        <v>0</v>
      </c>
      <c r="J1671" t="n">
        <v>0</v>
      </c>
      <c r="K1671" t="n">
        <v>0</v>
      </c>
      <c r="L1671" t="n">
        <v>0</v>
      </c>
      <c r="M1671" t="n">
        <v>0</v>
      </c>
      <c r="N1671" t="n">
        <v>0</v>
      </c>
      <c r="O1671" t="n">
        <v>0</v>
      </c>
      <c r="P1671" t="n">
        <v>0</v>
      </c>
      <c r="Q1671" t="n">
        <v>0</v>
      </c>
      <c r="R1671" s="2" t="inlineStr"/>
    </row>
    <row r="1672" ht="15" customHeight="1">
      <c r="A1672" t="inlineStr">
        <is>
          <t>A 58663-2021</t>
        </is>
      </c>
      <c r="B1672" s="1" t="n">
        <v>44489</v>
      </c>
      <c r="C1672" s="1" t="n">
        <v>45186</v>
      </c>
      <c r="D1672" t="inlineStr">
        <is>
          <t>STOCKHOLMS LÄN</t>
        </is>
      </c>
      <c r="E1672" t="inlineStr">
        <is>
          <t>UPPLANDS-BRO</t>
        </is>
      </c>
      <c r="F1672" t="inlineStr">
        <is>
          <t>Övriga statliga verk och myndigheter</t>
        </is>
      </c>
      <c r="G1672" t="n">
        <v>4.3</v>
      </c>
      <c r="H1672" t="n">
        <v>0</v>
      </c>
      <c r="I1672" t="n">
        <v>0</v>
      </c>
      <c r="J1672" t="n">
        <v>0</v>
      </c>
      <c r="K1672" t="n">
        <v>0</v>
      </c>
      <c r="L1672" t="n">
        <v>0</v>
      </c>
      <c r="M1672" t="n">
        <v>0</v>
      </c>
      <c r="N1672" t="n">
        <v>0</v>
      </c>
      <c r="O1672" t="n">
        <v>0</v>
      </c>
      <c r="P1672" t="n">
        <v>0</v>
      </c>
      <c r="Q1672" t="n">
        <v>0</v>
      </c>
      <c r="R1672" s="2" t="inlineStr"/>
    </row>
    <row r="1673" ht="15" customHeight="1">
      <c r="A1673" t="inlineStr">
        <is>
          <t>A 59235-2021</t>
        </is>
      </c>
      <c r="B1673" s="1" t="n">
        <v>44490</v>
      </c>
      <c r="C1673" s="1" t="n">
        <v>45186</v>
      </c>
      <c r="D1673" t="inlineStr">
        <is>
          <t>STOCKHOLMS LÄN</t>
        </is>
      </c>
      <c r="E1673" t="inlineStr">
        <is>
          <t>SÖDERTÄLJE</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59700-2021</t>
        </is>
      </c>
      <c r="B1674" s="1" t="n">
        <v>44494</v>
      </c>
      <c r="C1674" s="1" t="n">
        <v>45186</v>
      </c>
      <c r="D1674" t="inlineStr">
        <is>
          <t>STOCKHOLMS LÄN</t>
        </is>
      </c>
      <c r="E1674" t="inlineStr">
        <is>
          <t>UPPLANDS-BRO</t>
        </is>
      </c>
      <c r="F1674" t="inlineStr">
        <is>
          <t>Övriga statliga verk och myndigheter</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59732-2021</t>
        </is>
      </c>
      <c r="B1675" s="1" t="n">
        <v>44494</v>
      </c>
      <c r="C1675" s="1" t="n">
        <v>45186</v>
      </c>
      <c r="D1675" t="inlineStr">
        <is>
          <t>STOCKHOLMS LÄN</t>
        </is>
      </c>
      <c r="E1675" t="inlineStr">
        <is>
          <t>UPPLANDS-BRO</t>
        </is>
      </c>
      <c r="F1675" t="inlineStr">
        <is>
          <t>Övriga statliga verk och myndigheter</t>
        </is>
      </c>
      <c r="G1675" t="n">
        <v>17.2</v>
      </c>
      <c r="H1675" t="n">
        <v>0</v>
      </c>
      <c r="I1675" t="n">
        <v>0</v>
      </c>
      <c r="J1675" t="n">
        <v>0</v>
      </c>
      <c r="K1675" t="n">
        <v>0</v>
      </c>
      <c r="L1675" t="n">
        <v>0</v>
      </c>
      <c r="M1675" t="n">
        <v>0</v>
      </c>
      <c r="N1675" t="n">
        <v>0</v>
      </c>
      <c r="O1675" t="n">
        <v>0</v>
      </c>
      <c r="P1675" t="n">
        <v>0</v>
      </c>
      <c r="Q1675" t="n">
        <v>0</v>
      </c>
      <c r="R1675" s="2" t="inlineStr"/>
    </row>
    <row r="1676" ht="15" customHeight="1">
      <c r="A1676" t="inlineStr">
        <is>
          <t>A 60186-2021</t>
        </is>
      </c>
      <c r="B1676" s="1" t="n">
        <v>44495</v>
      </c>
      <c r="C1676" s="1" t="n">
        <v>45186</v>
      </c>
      <c r="D1676" t="inlineStr">
        <is>
          <t>STOCKHOLMS LÄN</t>
        </is>
      </c>
      <c r="E1676" t="inlineStr">
        <is>
          <t>NORRTÄLJE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60184-2021</t>
        </is>
      </c>
      <c r="B1677" s="1" t="n">
        <v>44495</v>
      </c>
      <c r="C1677" s="1" t="n">
        <v>45186</v>
      </c>
      <c r="D1677" t="inlineStr">
        <is>
          <t>STOCKHOLMS LÄN</t>
        </is>
      </c>
      <c r="E1677" t="inlineStr">
        <is>
          <t>NORRTÄLJE</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60209-2021</t>
        </is>
      </c>
      <c r="B1678" s="1" t="n">
        <v>44495</v>
      </c>
      <c r="C1678" s="1" t="n">
        <v>45186</v>
      </c>
      <c r="D1678" t="inlineStr">
        <is>
          <t>STOCKHOLMS LÄN</t>
        </is>
      </c>
      <c r="E1678" t="inlineStr">
        <is>
          <t>NORRTÄLJE</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60813-2021</t>
        </is>
      </c>
      <c r="B1679" s="1" t="n">
        <v>44496</v>
      </c>
      <c r="C1679" s="1" t="n">
        <v>45186</v>
      </c>
      <c r="D1679" t="inlineStr">
        <is>
          <t>STOCKHOLMS LÄN</t>
        </is>
      </c>
      <c r="E1679" t="inlineStr">
        <is>
          <t>NORRTÄLJE</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60671-2021</t>
        </is>
      </c>
      <c r="B1680" s="1" t="n">
        <v>44496</v>
      </c>
      <c r="C1680" s="1" t="n">
        <v>45186</v>
      </c>
      <c r="D1680" t="inlineStr">
        <is>
          <t>STOCKHOLMS LÄN</t>
        </is>
      </c>
      <c r="E1680" t="inlineStr">
        <is>
          <t>NORRTÄLJE</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60822-2021</t>
        </is>
      </c>
      <c r="B1681" s="1" t="n">
        <v>44496</v>
      </c>
      <c r="C1681" s="1" t="n">
        <v>45186</v>
      </c>
      <c r="D1681" t="inlineStr">
        <is>
          <t>STOCKHOLMS LÄN</t>
        </is>
      </c>
      <c r="E1681" t="inlineStr">
        <is>
          <t>NORRTÄLJE</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60838-2021</t>
        </is>
      </c>
      <c r="B1682" s="1" t="n">
        <v>44497</v>
      </c>
      <c r="C1682" s="1" t="n">
        <v>45186</v>
      </c>
      <c r="D1682" t="inlineStr">
        <is>
          <t>STOCKHOLMS LÄN</t>
        </is>
      </c>
      <c r="E1682" t="inlineStr">
        <is>
          <t>SIGTUNA</t>
        </is>
      </c>
      <c r="G1682" t="n">
        <v>13.7</v>
      </c>
      <c r="H1682" t="n">
        <v>0</v>
      </c>
      <c r="I1682" t="n">
        <v>0</v>
      </c>
      <c r="J1682" t="n">
        <v>0</v>
      </c>
      <c r="K1682" t="n">
        <v>0</v>
      </c>
      <c r="L1682" t="n">
        <v>0</v>
      </c>
      <c r="M1682" t="n">
        <v>0</v>
      </c>
      <c r="N1682" t="n">
        <v>0</v>
      </c>
      <c r="O1682" t="n">
        <v>0</v>
      </c>
      <c r="P1682" t="n">
        <v>0</v>
      </c>
      <c r="Q1682" t="n">
        <v>0</v>
      </c>
      <c r="R1682" s="2" t="inlineStr"/>
    </row>
    <row r="1683" ht="15" customHeight="1">
      <c r="A1683" t="inlineStr">
        <is>
          <t>A 61196-2021</t>
        </is>
      </c>
      <c r="B1683" s="1" t="n">
        <v>44498</v>
      </c>
      <c r="C1683" s="1" t="n">
        <v>45186</v>
      </c>
      <c r="D1683" t="inlineStr">
        <is>
          <t>STOCKHOLMS LÄN</t>
        </is>
      </c>
      <c r="E1683" t="inlineStr">
        <is>
          <t>EKERÖ</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62030-2021</t>
        </is>
      </c>
      <c r="B1684" s="1" t="n">
        <v>44502</v>
      </c>
      <c r="C1684" s="1" t="n">
        <v>45186</v>
      </c>
      <c r="D1684" t="inlineStr">
        <is>
          <t>STOCKHOLMS LÄN</t>
        </is>
      </c>
      <c r="E1684" t="inlineStr">
        <is>
          <t>NORRTÄLJE</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61919-2021</t>
        </is>
      </c>
      <c r="B1685" s="1" t="n">
        <v>44502</v>
      </c>
      <c r="C1685" s="1" t="n">
        <v>45186</v>
      </c>
      <c r="D1685" t="inlineStr">
        <is>
          <t>STOCKHOLMS LÄN</t>
        </is>
      </c>
      <c r="E1685" t="inlineStr">
        <is>
          <t>SIGTUNA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61937-2021</t>
        </is>
      </c>
      <c r="B1686" s="1" t="n">
        <v>44502</v>
      </c>
      <c r="C1686" s="1" t="n">
        <v>45186</v>
      </c>
      <c r="D1686" t="inlineStr">
        <is>
          <t>STOCKHOLMS LÄN</t>
        </is>
      </c>
      <c r="E1686" t="inlineStr">
        <is>
          <t>SIGTUNA</t>
        </is>
      </c>
      <c r="G1686" t="n">
        <v>14.7</v>
      </c>
      <c r="H1686" t="n">
        <v>0</v>
      </c>
      <c r="I1686" t="n">
        <v>0</v>
      </c>
      <c r="J1686" t="n">
        <v>0</v>
      </c>
      <c r="K1686" t="n">
        <v>0</v>
      </c>
      <c r="L1686" t="n">
        <v>0</v>
      </c>
      <c r="M1686" t="n">
        <v>0</v>
      </c>
      <c r="N1686" t="n">
        <v>0</v>
      </c>
      <c r="O1686" t="n">
        <v>0</v>
      </c>
      <c r="P1686" t="n">
        <v>0</v>
      </c>
      <c r="Q1686" t="n">
        <v>0</v>
      </c>
      <c r="R1686" s="2" t="inlineStr"/>
    </row>
    <row r="1687" ht="15" customHeight="1">
      <c r="A1687" t="inlineStr">
        <is>
          <t>A 63644-2021</t>
        </is>
      </c>
      <c r="B1687" s="1" t="n">
        <v>44508</v>
      </c>
      <c r="C1687" s="1" t="n">
        <v>45186</v>
      </c>
      <c r="D1687" t="inlineStr">
        <is>
          <t>STOCKHOLMS LÄN</t>
        </is>
      </c>
      <c r="E1687" t="inlineStr">
        <is>
          <t>SÖDERTÄLJE</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63931-2021</t>
        </is>
      </c>
      <c r="B1688" s="1" t="n">
        <v>44509</v>
      </c>
      <c r="C1688" s="1" t="n">
        <v>45186</v>
      </c>
      <c r="D1688" t="inlineStr">
        <is>
          <t>STOCKHOLMS LÄN</t>
        </is>
      </c>
      <c r="E1688" t="inlineStr">
        <is>
          <t>NYNÄSHAMN</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64111-2021</t>
        </is>
      </c>
      <c r="B1689" s="1" t="n">
        <v>44509</v>
      </c>
      <c r="C1689" s="1" t="n">
        <v>45186</v>
      </c>
      <c r="D1689" t="inlineStr">
        <is>
          <t>STOCKHOLMS LÄN</t>
        </is>
      </c>
      <c r="E1689" t="inlineStr">
        <is>
          <t>SÖDERTÄLJE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64074-2021</t>
        </is>
      </c>
      <c r="B1690" s="1" t="n">
        <v>44510</v>
      </c>
      <c r="C1690" s="1" t="n">
        <v>45186</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64145-2021</t>
        </is>
      </c>
      <c r="B1691" s="1" t="n">
        <v>44510</v>
      </c>
      <c r="C1691" s="1" t="n">
        <v>45186</v>
      </c>
      <c r="D1691" t="inlineStr">
        <is>
          <t>STOCKHOLMS LÄN</t>
        </is>
      </c>
      <c r="E1691" t="inlineStr">
        <is>
          <t>NORRTÄLJE</t>
        </is>
      </c>
      <c r="F1691" t="inlineStr">
        <is>
          <t>Holmen skog AB</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64212-2021</t>
        </is>
      </c>
      <c r="B1692" s="1" t="n">
        <v>44510</v>
      </c>
      <c r="C1692" s="1" t="n">
        <v>45186</v>
      </c>
      <c r="D1692" t="inlineStr">
        <is>
          <t>STOCKHOLMS LÄN</t>
        </is>
      </c>
      <c r="E1692" t="inlineStr">
        <is>
          <t>NORRTÄLJE</t>
        </is>
      </c>
      <c r="G1692" t="n">
        <v>28.7</v>
      </c>
      <c r="H1692" t="n">
        <v>0</v>
      </c>
      <c r="I1692" t="n">
        <v>0</v>
      </c>
      <c r="J1692" t="n">
        <v>0</v>
      </c>
      <c r="K1692" t="n">
        <v>0</v>
      </c>
      <c r="L1692" t="n">
        <v>0</v>
      </c>
      <c r="M1692" t="n">
        <v>0</v>
      </c>
      <c r="N1692" t="n">
        <v>0</v>
      </c>
      <c r="O1692" t="n">
        <v>0</v>
      </c>
      <c r="P1692" t="n">
        <v>0</v>
      </c>
      <c r="Q1692" t="n">
        <v>0</v>
      </c>
      <c r="R1692" s="2" t="inlineStr"/>
    </row>
    <row r="1693" ht="15" customHeight="1">
      <c r="A1693" t="inlineStr">
        <is>
          <t>A 64628-2021</t>
        </is>
      </c>
      <c r="B1693" s="1" t="n">
        <v>44511</v>
      </c>
      <c r="C1693" s="1" t="n">
        <v>45186</v>
      </c>
      <c r="D1693" t="inlineStr">
        <is>
          <t>STOCKHOLMS LÄN</t>
        </is>
      </c>
      <c r="E1693" t="inlineStr">
        <is>
          <t>NORRTÄLJE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65340-2021</t>
        </is>
      </c>
      <c r="B1694" s="1" t="n">
        <v>44515</v>
      </c>
      <c r="C1694" s="1" t="n">
        <v>45186</v>
      </c>
      <c r="D1694" t="inlineStr">
        <is>
          <t>STOCKHOLMS LÄN</t>
        </is>
      </c>
      <c r="E1694" t="inlineStr">
        <is>
          <t>SIGTUNA</t>
        </is>
      </c>
      <c r="F1694" t="inlineStr">
        <is>
          <t>Kyrkan</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65359-2021</t>
        </is>
      </c>
      <c r="B1695" s="1" t="n">
        <v>44515</v>
      </c>
      <c r="C1695" s="1" t="n">
        <v>45186</v>
      </c>
      <c r="D1695" t="inlineStr">
        <is>
          <t>STOCKHOLMS LÄN</t>
        </is>
      </c>
      <c r="E1695" t="inlineStr">
        <is>
          <t>NORRTÄLJE</t>
        </is>
      </c>
      <c r="F1695" t="inlineStr">
        <is>
          <t>Kyrkan</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65129-2021</t>
        </is>
      </c>
      <c r="B1696" s="1" t="n">
        <v>44515</v>
      </c>
      <c r="C1696" s="1" t="n">
        <v>45186</v>
      </c>
      <c r="D1696" t="inlineStr">
        <is>
          <t>STOCKHOLMS LÄN</t>
        </is>
      </c>
      <c r="E1696" t="inlineStr">
        <is>
          <t>EKERÖ</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65499-2021</t>
        </is>
      </c>
      <c r="B1697" s="1" t="n">
        <v>44516</v>
      </c>
      <c r="C1697" s="1" t="n">
        <v>45186</v>
      </c>
      <c r="D1697" t="inlineStr">
        <is>
          <t>STOCKHOLMS LÄN</t>
        </is>
      </c>
      <c r="E1697" t="inlineStr">
        <is>
          <t>NORRTÄLJE</t>
        </is>
      </c>
      <c r="F1697" t="inlineStr">
        <is>
          <t>Kommuner</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66450-2021</t>
        </is>
      </c>
      <c r="B1698" s="1" t="n">
        <v>44518</v>
      </c>
      <c r="C1698" s="1" t="n">
        <v>45186</v>
      </c>
      <c r="D1698" t="inlineStr">
        <is>
          <t>STOCKHOLMS LÄN</t>
        </is>
      </c>
      <c r="E1698" t="inlineStr">
        <is>
          <t>NORRTÄLJE</t>
        </is>
      </c>
      <c r="G1698" t="n">
        <v>9.1</v>
      </c>
      <c r="H1698" t="n">
        <v>0</v>
      </c>
      <c r="I1698" t="n">
        <v>0</v>
      </c>
      <c r="J1698" t="n">
        <v>0</v>
      </c>
      <c r="K1698" t="n">
        <v>0</v>
      </c>
      <c r="L1698" t="n">
        <v>0</v>
      </c>
      <c r="M1698" t="n">
        <v>0</v>
      </c>
      <c r="N1698" t="n">
        <v>0</v>
      </c>
      <c r="O1698" t="n">
        <v>0</v>
      </c>
      <c r="P1698" t="n">
        <v>0</v>
      </c>
      <c r="Q1698" t="n">
        <v>0</v>
      </c>
      <c r="R1698" s="2" t="inlineStr"/>
    </row>
    <row r="1699" ht="15" customHeight="1">
      <c r="A1699" t="inlineStr">
        <is>
          <t>A 66608-2021</t>
        </is>
      </c>
      <c r="B1699" s="1" t="n">
        <v>44519</v>
      </c>
      <c r="C1699" s="1" t="n">
        <v>45186</v>
      </c>
      <c r="D1699" t="inlineStr">
        <is>
          <t>STOCKHOLMS LÄN</t>
        </is>
      </c>
      <c r="E1699" t="inlineStr">
        <is>
          <t>NORRTÄLJE</t>
        </is>
      </c>
      <c r="F1699" t="inlineStr">
        <is>
          <t>Sveaskog</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66592-2021</t>
        </is>
      </c>
      <c r="B1700" s="1" t="n">
        <v>44519</v>
      </c>
      <c r="C1700" s="1" t="n">
        <v>45186</v>
      </c>
      <c r="D1700" t="inlineStr">
        <is>
          <t>STOCKHOLMS LÄN</t>
        </is>
      </c>
      <c r="E1700" t="inlineStr">
        <is>
          <t>NORRTÄLJE</t>
        </is>
      </c>
      <c r="F1700" t="inlineStr">
        <is>
          <t>Sveaskog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66769-2021</t>
        </is>
      </c>
      <c r="B1701" s="1" t="n">
        <v>44521</v>
      </c>
      <c r="C1701" s="1" t="n">
        <v>45186</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67220-2021</t>
        </is>
      </c>
      <c r="B1702" s="1" t="n">
        <v>44523</v>
      </c>
      <c r="C1702" s="1" t="n">
        <v>45186</v>
      </c>
      <c r="D1702" t="inlineStr">
        <is>
          <t>STOCKHOLMS LÄN</t>
        </is>
      </c>
      <c r="E1702" t="inlineStr">
        <is>
          <t>NYKVARN</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67244-2021</t>
        </is>
      </c>
      <c r="B1703" s="1" t="n">
        <v>44523</v>
      </c>
      <c r="C1703" s="1" t="n">
        <v>45186</v>
      </c>
      <c r="D1703" t="inlineStr">
        <is>
          <t>STOCKHOLMS LÄN</t>
        </is>
      </c>
      <c r="E1703" t="inlineStr">
        <is>
          <t>ÖSTERÅKER</t>
        </is>
      </c>
      <c r="F1703" t="inlineStr">
        <is>
          <t>Kommuner</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67598-2021</t>
        </is>
      </c>
      <c r="B1704" s="1" t="n">
        <v>44524</v>
      </c>
      <c r="C1704" s="1" t="n">
        <v>45186</v>
      </c>
      <c r="D1704" t="inlineStr">
        <is>
          <t>STOCKHOLMS LÄN</t>
        </is>
      </c>
      <c r="E1704" t="inlineStr">
        <is>
          <t>NORRTÄLJE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67756-2021</t>
        </is>
      </c>
      <c r="B1705" s="1" t="n">
        <v>44524</v>
      </c>
      <c r="C1705" s="1" t="n">
        <v>45186</v>
      </c>
      <c r="D1705" t="inlineStr">
        <is>
          <t>STOCKHOLMS LÄN</t>
        </is>
      </c>
      <c r="E1705" t="inlineStr">
        <is>
          <t>VAXHOLM</t>
        </is>
      </c>
      <c r="F1705" t="inlineStr">
        <is>
          <t>Övriga statliga verk och myndigheter</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67525-2021</t>
        </is>
      </c>
      <c r="B1706" s="1" t="n">
        <v>44524</v>
      </c>
      <c r="C1706" s="1" t="n">
        <v>45186</v>
      </c>
      <c r="D1706" t="inlineStr">
        <is>
          <t>STOCKHOLMS LÄN</t>
        </is>
      </c>
      <c r="E1706" t="inlineStr">
        <is>
          <t>NORRTÄLJE</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67993-2021</t>
        </is>
      </c>
      <c r="B1707" s="1" t="n">
        <v>44525</v>
      </c>
      <c r="C1707" s="1" t="n">
        <v>45186</v>
      </c>
      <c r="D1707" t="inlineStr">
        <is>
          <t>STOCKHOLMS LÄN</t>
        </is>
      </c>
      <c r="E1707" t="inlineStr">
        <is>
          <t>NORRTÄLJE</t>
        </is>
      </c>
      <c r="F1707" t="inlineStr">
        <is>
          <t>Sveaskog</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67921-2021</t>
        </is>
      </c>
      <c r="B1708" s="1" t="n">
        <v>44525</v>
      </c>
      <c r="C1708" s="1" t="n">
        <v>45186</v>
      </c>
      <c r="D1708" t="inlineStr">
        <is>
          <t>STOCKHOLMS LÄN</t>
        </is>
      </c>
      <c r="E1708" t="inlineStr">
        <is>
          <t>NORRTÄLJE</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67990-2021</t>
        </is>
      </c>
      <c r="B1709" s="1" t="n">
        <v>44525</v>
      </c>
      <c r="C1709" s="1" t="n">
        <v>45186</v>
      </c>
      <c r="D1709" t="inlineStr">
        <is>
          <t>STOCKHOLMS LÄN</t>
        </is>
      </c>
      <c r="E1709" t="inlineStr">
        <is>
          <t>NORRTÄLJE</t>
        </is>
      </c>
      <c r="F1709" t="inlineStr">
        <is>
          <t>Sveaskog</t>
        </is>
      </c>
      <c r="G1709" t="n">
        <v>7.8</v>
      </c>
      <c r="H1709" t="n">
        <v>0</v>
      </c>
      <c r="I1709" t="n">
        <v>0</v>
      </c>
      <c r="J1709" t="n">
        <v>0</v>
      </c>
      <c r="K1709" t="n">
        <v>0</v>
      </c>
      <c r="L1709" t="n">
        <v>0</v>
      </c>
      <c r="M1709" t="n">
        <v>0</v>
      </c>
      <c r="N1709" t="n">
        <v>0</v>
      </c>
      <c r="O1709" t="n">
        <v>0</v>
      </c>
      <c r="P1709" t="n">
        <v>0</v>
      </c>
      <c r="Q1709" t="n">
        <v>0</v>
      </c>
      <c r="R1709" s="2" t="inlineStr"/>
    </row>
    <row r="1710" ht="15" customHeight="1">
      <c r="A1710" t="inlineStr">
        <is>
          <t>A 68273-2021</t>
        </is>
      </c>
      <c r="B1710" s="1" t="n">
        <v>44526</v>
      </c>
      <c r="C1710" s="1" t="n">
        <v>45186</v>
      </c>
      <c r="D1710" t="inlineStr">
        <is>
          <t>STOCKHOLMS LÄN</t>
        </is>
      </c>
      <c r="E1710" t="inlineStr">
        <is>
          <t>NORRTÄLJE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68894-2021</t>
        </is>
      </c>
      <c r="B1711" s="1" t="n">
        <v>44526</v>
      </c>
      <c r="C1711" s="1" t="n">
        <v>45186</v>
      </c>
      <c r="D1711" t="inlineStr">
        <is>
          <t>STOCKHOLMS LÄN</t>
        </is>
      </c>
      <c r="E1711" t="inlineStr">
        <is>
          <t>HANINGE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68896-2021</t>
        </is>
      </c>
      <c r="B1712" s="1" t="n">
        <v>44526</v>
      </c>
      <c r="C1712" s="1" t="n">
        <v>45186</v>
      </c>
      <c r="D1712" t="inlineStr">
        <is>
          <t>STOCKHOLMS LÄN</t>
        </is>
      </c>
      <c r="E1712" t="inlineStr">
        <is>
          <t>HANINGE</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68904-2021</t>
        </is>
      </c>
      <c r="B1713" s="1" t="n">
        <v>44526</v>
      </c>
      <c r="C1713" s="1" t="n">
        <v>45186</v>
      </c>
      <c r="D1713" t="inlineStr">
        <is>
          <t>STOCKHOLMS LÄN</t>
        </is>
      </c>
      <c r="E1713" t="inlineStr">
        <is>
          <t>HANINGE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68554-2021</t>
        </is>
      </c>
      <c r="B1714" s="1" t="n">
        <v>44529</v>
      </c>
      <c r="C1714" s="1" t="n">
        <v>45186</v>
      </c>
      <c r="D1714" t="inlineStr">
        <is>
          <t>STOCKHOLMS LÄN</t>
        </is>
      </c>
      <c r="E1714" t="inlineStr">
        <is>
          <t>UPPLANDS-BRO</t>
        </is>
      </c>
      <c r="F1714" t="inlineStr">
        <is>
          <t>Övriga statliga verk och myndigheter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68564-2021</t>
        </is>
      </c>
      <c r="B1715" s="1" t="n">
        <v>44529</v>
      </c>
      <c r="C1715" s="1" t="n">
        <v>45186</v>
      </c>
      <c r="D1715" t="inlineStr">
        <is>
          <t>STOCKHOLMS LÄN</t>
        </is>
      </c>
      <c r="E1715" t="inlineStr">
        <is>
          <t>UPPLANDS-BRO</t>
        </is>
      </c>
      <c r="F1715" t="inlineStr">
        <is>
          <t>Övriga statliga verk och myndigheter</t>
        </is>
      </c>
      <c r="G1715" t="n">
        <v>6.9</v>
      </c>
      <c r="H1715" t="n">
        <v>0</v>
      </c>
      <c r="I1715" t="n">
        <v>0</v>
      </c>
      <c r="J1715" t="n">
        <v>0</v>
      </c>
      <c r="K1715" t="n">
        <v>0</v>
      </c>
      <c r="L1715" t="n">
        <v>0</v>
      </c>
      <c r="M1715" t="n">
        <v>0</v>
      </c>
      <c r="N1715" t="n">
        <v>0</v>
      </c>
      <c r="O1715" t="n">
        <v>0</v>
      </c>
      <c r="P1715" t="n">
        <v>0</v>
      </c>
      <c r="Q1715" t="n">
        <v>0</v>
      </c>
      <c r="R1715" s="2" t="inlineStr"/>
    </row>
    <row r="1716" ht="15" customHeight="1">
      <c r="A1716" t="inlineStr">
        <is>
          <t>A 69034-2021</t>
        </is>
      </c>
      <c r="B1716" s="1" t="n">
        <v>44529</v>
      </c>
      <c r="C1716" s="1" t="n">
        <v>45186</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68700-2021</t>
        </is>
      </c>
      <c r="B1717" s="1" t="n">
        <v>44529</v>
      </c>
      <c r="C1717" s="1" t="n">
        <v>45186</v>
      </c>
      <c r="D1717" t="inlineStr">
        <is>
          <t>STOCKHOLMS LÄN</t>
        </is>
      </c>
      <c r="E1717" t="inlineStr">
        <is>
          <t>SALEM</t>
        </is>
      </c>
      <c r="F1717" t="inlineStr">
        <is>
          <t>Kommuner</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69539-2021</t>
        </is>
      </c>
      <c r="B1718" s="1" t="n">
        <v>44531</v>
      </c>
      <c r="C1718" s="1" t="n">
        <v>45186</v>
      </c>
      <c r="D1718" t="inlineStr">
        <is>
          <t>STOCKHOLMS LÄN</t>
        </is>
      </c>
      <c r="E1718" t="inlineStr">
        <is>
          <t>NORRTÄLJE</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69816-2021</t>
        </is>
      </c>
      <c r="B1719" s="1" t="n">
        <v>44532</v>
      </c>
      <c r="C1719" s="1" t="n">
        <v>45186</v>
      </c>
      <c r="D1719" t="inlineStr">
        <is>
          <t>STOCKHOLMS LÄN</t>
        </is>
      </c>
      <c r="E1719" t="inlineStr">
        <is>
          <t>NORRTÄLJE</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70170-2021</t>
        </is>
      </c>
      <c r="B1720" s="1" t="n">
        <v>44533</v>
      </c>
      <c r="C1720" s="1" t="n">
        <v>45186</v>
      </c>
      <c r="D1720" t="inlineStr">
        <is>
          <t>STOCKHOLMS LÄN</t>
        </is>
      </c>
      <c r="E1720" t="inlineStr">
        <is>
          <t>NORRTÄLJE</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70201-2021</t>
        </is>
      </c>
      <c r="B1721" s="1" t="n">
        <v>44534</v>
      </c>
      <c r="C1721" s="1" t="n">
        <v>45186</v>
      </c>
      <c r="D1721" t="inlineStr">
        <is>
          <t>STOCKHOLMS LÄN</t>
        </is>
      </c>
      <c r="E1721" t="inlineStr">
        <is>
          <t>SÖDERTÄLJE</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70608-2021</t>
        </is>
      </c>
      <c r="B1722" s="1" t="n">
        <v>44536</v>
      </c>
      <c r="C1722" s="1" t="n">
        <v>45186</v>
      </c>
      <c r="D1722" t="inlineStr">
        <is>
          <t>STOCKHOLMS LÄN</t>
        </is>
      </c>
      <c r="E1722" t="inlineStr">
        <is>
          <t>VALLENTUNA</t>
        </is>
      </c>
      <c r="G1722" t="n">
        <v>10.4</v>
      </c>
      <c r="H1722" t="n">
        <v>0</v>
      </c>
      <c r="I1722" t="n">
        <v>0</v>
      </c>
      <c r="J1722" t="n">
        <v>0</v>
      </c>
      <c r="K1722" t="n">
        <v>0</v>
      </c>
      <c r="L1722" t="n">
        <v>0</v>
      </c>
      <c r="M1722" t="n">
        <v>0</v>
      </c>
      <c r="N1722" t="n">
        <v>0</v>
      </c>
      <c r="O1722" t="n">
        <v>0</v>
      </c>
      <c r="P1722" t="n">
        <v>0</v>
      </c>
      <c r="Q1722" t="n">
        <v>0</v>
      </c>
      <c r="R1722" s="2" t="inlineStr"/>
    </row>
    <row r="1723" ht="15" customHeight="1">
      <c r="A1723" t="inlineStr">
        <is>
          <t>A 70469-2021</t>
        </is>
      </c>
      <c r="B1723" s="1" t="n">
        <v>44536</v>
      </c>
      <c r="C1723" s="1" t="n">
        <v>45186</v>
      </c>
      <c r="D1723" t="inlineStr">
        <is>
          <t>STOCKHOLMS LÄN</t>
        </is>
      </c>
      <c r="E1723" t="inlineStr">
        <is>
          <t>NORRTÄLJE</t>
        </is>
      </c>
      <c r="F1723" t="inlineStr">
        <is>
          <t>Holmen skog AB</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70850-2021</t>
        </is>
      </c>
      <c r="B1724" s="1" t="n">
        <v>44538</v>
      </c>
      <c r="C1724" s="1" t="n">
        <v>45186</v>
      </c>
      <c r="D1724" t="inlineStr">
        <is>
          <t>STOCKHOLMS LÄN</t>
        </is>
      </c>
      <c r="E1724" t="inlineStr">
        <is>
          <t>NYNÄSHAMN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71325-2021</t>
        </is>
      </c>
      <c r="B1725" s="1" t="n">
        <v>44539</v>
      </c>
      <c r="C1725" s="1" t="n">
        <v>45186</v>
      </c>
      <c r="D1725" t="inlineStr">
        <is>
          <t>STOCKHOLMS LÄN</t>
        </is>
      </c>
      <c r="E1725" t="inlineStr">
        <is>
          <t>NORRTÄLJE</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71479-2021</t>
        </is>
      </c>
      <c r="B1726" s="1" t="n">
        <v>44540</v>
      </c>
      <c r="C1726" s="1" t="n">
        <v>45186</v>
      </c>
      <c r="D1726" t="inlineStr">
        <is>
          <t>STOCKHOLMS LÄN</t>
        </is>
      </c>
      <c r="E1726" t="inlineStr">
        <is>
          <t>NORRTÄLJE</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71540-2021</t>
        </is>
      </c>
      <c r="B1727" s="1" t="n">
        <v>44540</v>
      </c>
      <c r="C1727" s="1" t="n">
        <v>45186</v>
      </c>
      <c r="D1727" t="inlineStr">
        <is>
          <t>STOCKHOLMS LÄN</t>
        </is>
      </c>
      <c r="E1727" t="inlineStr">
        <is>
          <t>NYKVARN</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71551-2021</t>
        </is>
      </c>
      <c r="B1728" s="1" t="n">
        <v>44540</v>
      </c>
      <c r="C1728" s="1" t="n">
        <v>45186</v>
      </c>
      <c r="D1728" t="inlineStr">
        <is>
          <t>STOCKHOLMS LÄN</t>
        </is>
      </c>
      <c r="E1728" t="inlineStr">
        <is>
          <t>NORRTÄLJE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71543-2021</t>
        </is>
      </c>
      <c r="B1729" s="1" t="n">
        <v>44540</v>
      </c>
      <c r="C1729" s="1" t="n">
        <v>45186</v>
      </c>
      <c r="D1729" t="inlineStr">
        <is>
          <t>STOCKHOLMS LÄN</t>
        </is>
      </c>
      <c r="E1729" t="inlineStr">
        <is>
          <t>NORRTÄLJE</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71552-2021</t>
        </is>
      </c>
      <c r="B1730" s="1" t="n">
        <v>44540</v>
      </c>
      <c r="C1730" s="1" t="n">
        <v>45186</v>
      </c>
      <c r="D1730" t="inlineStr">
        <is>
          <t>STOCKHOLMS LÄN</t>
        </is>
      </c>
      <c r="E1730" t="inlineStr">
        <is>
          <t>NORRTÄLJE</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71878-2021</t>
        </is>
      </c>
      <c r="B1731" s="1" t="n">
        <v>44543</v>
      </c>
      <c r="C1731" s="1" t="n">
        <v>45186</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71871-2021</t>
        </is>
      </c>
      <c r="B1732" s="1" t="n">
        <v>44543</v>
      </c>
      <c r="C1732" s="1" t="n">
        <v>45186</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71880-2021</t>
        </is>
      </c>
      <c r="B1733" s="1" t="n">
        <v>44543</v>
      </c>
      <c r="C1733" s="1" t="n">
        <v>45186</v>
      </c>
      <c r="D1733" t="inlineStr">
        <is>
          <t>STOCKHOLMS LÄN</t>
        </is>
      </c>
      <c r="E1733" t="inlineStr">
        <is>
          <t>NORRTÄLJE</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71873-2021</t>
        </is>
      </c>
      <c r="B1734" s="1" t="n">
        <v>44543</v>
      </c>
      <c r="C1734" s="1" t="n">
        <v>45186</v>
      </c>
      <c r="D1734" t="inlineStr">
        <is>
          <t>STOCKHOLMS LÄN</t>
        </is>
      </c>
      <c r="E1734" t="inlineStr">
        <is>
          <t>NORRTÄLJE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71876-2021</t>
        </is>
      </c>
      <c r="B1735" s="1" t="n">
        <v>44543</v>
      </c>
      <c r="C1735" s="1" t="n">
        <v>45186</v>
      </c>
      <c r="D1735" t="inlineStr">
        <is>
          <t>STOCKHOLMS LÄN</t>
        </is>
      </c>
      <c r="E1735" t="inlineStr">
        <is>
          <t>NORRTÄLJE</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72085-2021</t>
        </is>
      </c>
      <c r="B1736" s="1" t="n">
        <v>44544</v>
      </c>
      <c r="C1736" s="1" t="n">
        <v>45186</v>
      </c>
      <c r="D1736" t="inlineStr">
        <is>
          <t>STOCKHOLMS LÄN</t>
        </is>
      </c>
      <c r="E1736" t="inlineStr">
        <is>
          <t>NORRTÄLJE</t>
        </is>
      </c>
      <c r="G1736" t="n">
        <v>4.9</v>
      </c>
      <c r="H1736" t="n">
        <v>0</v>
      </c>
      <c r="I1736" t="n">
        <v>0</v>
      </c>
      <c r="J1736" t="n">
        <v>0</v>
      </c>
      <c r="K1736" t="n">
        <v>0</v>
      </c>
      <c r="L1736" t="n">
        <v>0</v>
      </c>
      <c r="M1736" t="n">
        <v>0</v>
      </c>
      <c r="N1736" t="n">
        <v>0</v>
      </c>
      <c r="O1736" t="n">
        <v>0</v>
      </c>
      <c r="P1736" t="n">
        <v>0</v>
      </c>
      <c r="Q1736" t="n">
        <v>0</v>
      </c>
      <c r="R1736" s="2" t="inlineStr"/>
    </row>
    <row r="1737" ht="15" customHeight="1">
      <c r="A1737" t="inlineStr">
        <is>
          <t>A 72176-2021</t>
        </is>
      </c>
      <c r="B1737" s="1" t="n">
        <v>44544</v>
      </c>
      <c r="C1737" s="1" t="n">
        <v>45186</v>
      </c>
      <c r="D1737" t="inlineStr">
        <is>
          <t>STOCKHOLMS LÄN</t>
        </is>
      </c>
      <c r="E1737" t="inlineStr">
        <is>
          <t>VÄRMDÖ</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72097-2021</t>
        </is>
      </c>
      <c r="B1738" s="1" t="n">
        <v>44544</v>
      </c>
      <c r="C1738" s="1" t="n">
        <v>45186</v>
      </c>
      <c r="D1738" t="inlineStr">
        <is>
          <t>STOCKHOLMS LÄN</t>
        </is>
      </c>
      <c r="E1738" t="inlineStr">
        <is>
          <t>VÄRMDÖ</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72202-2021</t>
        </is>
      </c>
      <c r="B1739" s="1" t="n">
        <v>44544</v>
      </c>
      <c r="C1739" s="1" t="n">
        <v>45186</v>
      </c>
      <c r="D1739" t="inlineStr">
        <is>
          <t>STOCKHOLMS LÄN</t>
        </is>
      </c>
      <c r="E1739" t="inlineStr">
        <is>
          <t>NORRTÄLJE</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72108-2021</t>
        </is>
      </c>
      <c r="B1740" s="1" t="n">
        <v>44544</v>
      </c>
      <c r="C1740" s="1" t="n">
        <v>45186</v>
      </c>
      <c r="D1740" t="inlineStr">
        <is>
          <t>STOCKHOLMS LÄN</t>
        </is>
      </c>
      <c r="E1740" t="inlineStr">
        <is>
          <t>VÄRMDÖ</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72508-2021</t>
        </is>
      </c>
      <c r="B1741" s="1" t="n">
        <v>44544</v>
      </c>
      <c r="C1741" s="1" t="n">
        <v>45186</v>
      </c>
      <c r="D1741" t="inlineStr">
        <is>
          <t>STOCKHOLMS LÄN</t>
        </is>
      </c>
      <c r="E1741" t="inlineStr">
        <is>
          <t>ÖSTERÅKER</t>
        </is>
      </c>
      <c r="F1741" t="inlineStr">
        <is>
          <t>Övriga Aktiebolag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72343-2021</t>
        </is>
      </c>
      <c r="B1742" s="1" t="n">
        <v>44545</v>
      </c>
      <c r="C1742" s="1" t="n">
        <v>45186</v>
      </c>
      <c r="D1742" t="inlineStr">
        <is>
          <t>STOCKHOLMS LÄN</t>
        </is>
      </c>
      <c r="E1742" t="inlineStr">
        <is>
          <t>NORRTÄLJE</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72355-2021</t>
        </is>
      </c>
      <c r="B1743" s="1" t="n">
        <v>44545</v>
      </c>
      <c r="C1743" s="1" t="n">
        <v>45186</v>
      </c>
      <c r="D1743" t="inlineStr">
        <is>
          <t>STOCKHOLMS LÄN</t>
        </is>
      </c>
      <c r="E1743" t="inlineStr">
        <is>
          <t>NORRTÄLJE</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72357-2021</t>
        </is>
      </c>
      <c r="B1744" s="1" t="n">
        <v>44545</v>
      </c>
      <c r="C1744" s="1" t="n">
        <v>45186</v>
      </c>
      <c r="D1744" t="inlineStr">
        <is>
          <t>STOCKHOLMS LÄN</t>
        </is>
      </c>
      <c r="E1744" t="inlineStr">
        <is>
          <t>NORRTÄLJE</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72524-2021</t>
        </is>
      </c>
      <c r="B1745" s="1" t="n">
        <v>44546</v>
      </c>
      <c r="C1745" s="1" t="n">
        <v>45186</v>
      </c>
      <c r="D1745" t="inlineStr">
        <is>
          <t>STOCKHOLMS LÄN</t>
        </is>
      </c>
      <c r="E1745" t="inlineStr">
        <is>
          <t>UPPLANDS-BRO</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72747-2021</t>
        </is>
      </c>
      <c r="B1746" s="1" t="n">
        <v>44546</v>
      </c>
      <c r="C1746" s="1" t="n">
        <v>45186</v>
      </c>
      <c r="D1746" t="inlineStr">
        <is>
          <t>STOCKHOLMS LÄN</t>
        </is>
      </c>
      <c r="E1746" t="inlineStr">
        <is>
          <t>NORRTÄLJE</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72515-2021</t>
        </is>
      </c>
      <c r="B1747" s="1" t="n">
        <v>44546</v>
      </c>
      <c r="C1747" s="1" t="n">
        <v>45186</v>
      </c>
      <c r="D1747" t="inlineStr">
        <is>
          <t>STOCKHOLMS LÄN</t>
        </is>
      </c>
      <c r="E1747" t="inlineStr">
        <is>
          <t>ÖSTERÅKER</t>
        </is>
      </c>
      <c r="F1747" t="inlineStr">
        <is>
          <t>Övriga Aktiebolag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72704-2021</t>
        </is>
      </c>
      <c r="B1748" s="1" t="n">
        <v>44546</v>
      </c>
      <c r="C1748" s="1" t="n">
        <v>45186</v>
      </c>
      <c r="D1748" t="inlineStr">
        <is>
          <t>STOCKHOLMS LÄN</t>
        </is>
      </c>
      <c r="E1748" t="inlineStr">
        <is>
          <t>NORRTÄLJE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72523-2021</t>
        </is>
      </c>
      <c r="B1749" s="1" t="n">
        <v>44546</v>
      </c>
      <c r="C1749" s="1" t="n">
        <v>45186</v>
      </c>
      <c r="D1749" t="inlineStr">
        <is>
          <t>STOCKHOLMS LÄN</t>
        </is>
      </c>
      <c r="E1749" t="inlineStr">
        <is>
          <t>UPPLANDS-BRO</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72530-2021</t>
        </is>
      </c>
      <c r="B1750" s="1" t="n">
        <v>44546</v>
      </c>
      <c r="C1750" s="1" t="n">
        <v>45186</v>
      </c>
      <c r="D1750" t="inlineStr">
        <is>
          <t>STOCKHOLMS LÄN</t>
        </is>
      </c>
      <c r="E1750" t="inlineStr">
        <is>
          <t>SIGTUNA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72872-2021</t>
        </is>
      </c>
      <c r="B1751" s="1" t="n">
        <v>44547</v>
      </c>
      <c r="C1751" s="1" t="n">
        <v>45186</v>
      </c>
      <c r="D1751" t="inlineStr">
        <is>
          <t>STOCKHOLMS LÄN</t>
        </is>
      </c>
      <c r="E1751" t="inlineStr">
        <is>
          <t>NORRTÄLJE</t>
        </is>
      </c>
      <c r="G1751" t="n">
        <v>4.8</v>
      </c>
      <c r="H1751" t="n">
        <v>0</v>
      </c>
      <c r="I1751" t="n">
        <v>0</v>
      </c>
      <c r="J1751" t="n">
        <v>0</v>
      </c>
      <c r="K1751" t="n">
        <v>0</v>
      </c>
      <c r="L1751" t="n">
        <v>0</v>
      </c>
      <c r="M1751" t="n">
        <v>0</v>
      </c>
      <c r="N1751" t="n">
        <v>0</v>
      </c>
      <c r="O1751" t="n">
        <v>0</v>
      </c>
      <c r="P1751" t="n">
        <v>0</v>
      </c>
      <c r="Q1751" t="n">
        <v>0</v>
      </c>
      <c r="R1751" s="2" t="inlineStr"/>
    </row>
    <row r="1752" ht="15" customHeight="1">
      <c r="A1752" t="inlineStr">
        <is>
          <t>A 73300-2021</t>
        </is>
      </c>
      <c r="B1752" s="1" t="n">
        <v>44547</v>
      </c>
      <c r="C1752" s="1" t="n">
        <v>45186</v>
      </c>
      <c r="D1752" t="inlineStr">
        <is>
          <t>STOCKHOLMS LÄN</t>
        </is>
      </c>
      <c r="E1752" t="inlineStr">
        <is>
          <t>VAXHOLM</t>
        </is>
      </c>
      <c r="F1752" t="inlineStr">
        <is>
          <t>Övriga statliga verk och myndigheter</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73307-2021</t>
        </is>
      </c>
      <c r="B1753" s="1" t="n">
        <v>44549</v>
      </c>
      <c r="C1753" s="1" t="n">
        <v>45186</v>
      </c>
      <c r="D1753" t="inlineStr">
        <is>
          <t>STOCKHOLMS LÄN</t>
        </is>
      </c>
      <c r="E1753" t="inlineStr">
        <is>
          <t>NORRTÄLJE</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73311-2021</t>
        </is>
      </c>
      <c r="B1754" s="1" t="n">
        <v>44549</v>
      </c>
      <c r="C1754" s="1" t="n">
        <v>45186</v>
      </c>
      <c r="D1754" t="inlineStr">
        <is>
          <t>STOCKHOLMS LÄN</t>
        </is>
      </c>
      <c r="E1754" t="inlineStr">
        <is>
          <t>NORRTÄLJE</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73155-2021</t>
        </is>
      </c>
      <c r="B1755" s="1" t="n">
        <v>44550</v>
      </c>
      <c r="C1755" s="1" t="n">
        <v>45186</v>
      </c>
      <c r="D1755" t="inlineStr">
        <is>
          <t>STOCKHOLMS LÄN</t>
        </is>
      </c>
      <c r="E1755" t="inlineStr">
        <is>
          <t>BOTKYRKA</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73212-2021</t>
        </is>
      </c>
      <c r="B1756" s="1" t="n">
        <v>44550</v>
      </c>
      <c r="C1756" s="1" t="n">
        <v>45186</v>
      </c>
      <c r="D1756" t="inlineStr">
        <is>
          <t>STOCKHOLMS LÄN</t>
        </is>
      </c>
      <c r="E1756" t="inlineStr">
        <is>
          <t>NYKVARN</t>
        </is>
      </c>
      <c r="F1756" t="inlineStr">
        <is>
          <t>Allmännings- och besparingsskogar</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73504-2021</t>
        </is>
      </c>
      <c r="B1757" s="1" t="n">
        <v>44551</v>
      </c>
      <c r="C1757" s="1" t="n">
        <v>45186</v>
      </c>
      <c r="D1757" t="inlineStr">
        <is>
          <t>STOCKHOLMS LÄN</t>
        </is>
      </c>
      <c r="E1757" t="inlineStr">
        <is>
          <t>NORRTÄLJE</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73772-2021</t>
        </is>
      </c>
      <c r="B1758" s="1" t="n">
        <v>44552</v>
      </c>
      <c r="C1758" s="1" t="n">
        <v>45186</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73855-2021</t>
        </is>
      </c>
      <c r="B1759" s="1" t="n">
        <v>44552</v>
      </c>
      <c r="C1759" s="1" t="n">
        <v>45186</v>
      </c>
      <c r="D1759" t="inlineStr">
        <is>
          <t>STOCKHOLMS LÄN</t>
        </is>
      </c>
      <c r="E1759" t="inlineStr">
        <is>
          <t>NORRTÄLJE</t>
        </is>
      </c>
      <c r="F1759" t="inlineStr">
        <is>
          <t>Övriga Aktiebolag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73993-2021</t>
        </is>
      </c>
      <c r="B1760" s="1" t="n">
        <v>44556</v>
      </c>
      <c r="C1760" s="1" t="n">
        <v>45186</v>
      </c>
      <c r="D1760" t="inlineStr">
        <is>
          <t>STOCKHOLMS LÄN</t>
        </is>
      </c>
      <c r="E1760" t="inlineStr">
        <is>
          <t>NORRTÄLJE</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73992-2021</t>
        </is>
      </c>
      <c r="B1761" s="1" t="n">
        <v>44556</v>
      </c>
      <c r="C1761" s="1" t="n">
        <v>45186</v>
      </c>
      <c r="D1761" t="inlineStr">
        <is>
          <t>STOCKHOLMS LÄN</t>
        </is>
      </c>
      <c r="E1761" t="inlineStr">
        <is>
          <t>NORRTÄLJE</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74167-2021</t>
        </is>
      </c>
      <c r="B1762" s="1" t="n">
        <v>44557</v>
      </c>
      <c r="C1762" s="1" t="n">
        <v>45186</v>
      </c>
      <c r="D1762" t="inlineStr">
        <is>
          <t>STOCKHOLMS LÄN</t>
        </is>
      </c>
      <c r="E1762" t="inlineStr">
        <is>
          <t>SIGTUNA</t>
        </is>
      </c>
      <c r="G1762" t="n">
        <v>5.4</v>
      </c>
      <c r="H1762" t="n">
        <v>0</v>
      </c>
      <c r="I1762" t="n">
        <v>0</v>
      </c>
      <c r="J1762" t="n">
        <v>0</v>
      </c>
      <c r="K1762" t="n">
        <v>0</v>
      </c>
      <c r="L1762" t="n">
        <v>0</v>
      </c>
      <c r="M1762" t="n">
        <v>0</v>
      </c>
      <c r="N1762" t="n">
        <v>0</v>
      </c>
      <c r="O1762" t="n">
        <v>0</v>
      </c>
      <c r="P1762" t="n">
        <v>0</v>
      </c>
      <c r="Q1762" t="n">
        <v>0</v>
      </c>
      <c r="R1762" s="2" t="inlineStr"/>
    </row>
    <row r="1763" ht="15" customHeight="1">
      <c r="A1763" t="inlineStr">
        <is>
          <t>A 74170-2021</t>
        </is>
      </c>
      <c r="B1763" s="1" t="n">
        <v>44557</v>
      </c>
      <c r="C1763" s="1" t="n">
        <v>45186</v>
      </c>
      <c r="D1763" t="inlineStr">
        <is>
          <t>STOCKHOLMS LÄN</t>
        </is>
      </c>
      <c r="E1763" t="inlineStr">
        <is>
          <t>SIGTUNA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74173-2021</t>
        </is>
      </c>
      <c r="B1764" s="1" t="n">
        <v>44558</v>
      </c>
      <c r="C1764" s="1" t="n">
        <v>45186</v>
      </c>
      <c r="D1764" t="inlineStr">
        <is>
          <t>STOCKHOLMS LÄN</t>
        </is>
      </c>
      <c r="E1764" t="inlineStr">
        <is>
          <t>NYKVARN</t>
        </is>
      </c>
      <c r="F1764" t="inlineStr">
        <is>
          <t>Allmännings- och besparingsskogar</t>
        </is>
      </c>
      <c r="G1764" t="n">
        <v>5.5</v>
      </c>
      <c r="H1764" t="n">
        <v>0</v>
      </c>
      <c r="I1764" t="n">
        <v>0</v>
      </c>
      <c r="J1764" t="n">
        <v>0</v>
      </c>
      <c r="K1764" t="n">
        <v>0</v>
      </c>
      <c r="L1764" t="n">
        <v>0</v>
      </c>
      <c r="M1764" t="n">
        <v>0</v>
      </c>
      <c r="N1764" t="n">
        <v>0</v>
      </c>
      <c r="O1764" t="n">
        <v>0</v>
      </c>
      <c r="P1764" t="n">
        <v>0</v>
      </c>
      <c r="Q1764" t="n">
        <v>0</v>
      </c>
      <c r="R1764" s="2" t="inlineStr"/>
    </row>
    <row r="1765" ht="15" customHeight="1">
      <c r="A1765" t="inlineStr">
        <is>
          <t>A 236-2022</t>
        </is>
      </c>
      <c r="B1765" s="1" t="n">
        <v>44560</v>
      </c>
      <c r="C1765" s="1" t="n">
        <v>45186</v>
      </c>
      <c r="D1765" t="inlineStr">
        <is>
          <t>STOCKHOLMS LÄN</t>
        </is>
      </c>
      <c r="E1765" t="inlineStr">
        <is>
          <t>VALLENTUNA</t>
        </is>
      </c>
      <c r="F1765" t="inlineStr">
        <is>
          <t>Övriga Aktiebolag</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74468-2021</t>
        </is>
      </c>
      <c r="B1766" s="1" t="n">
        <v>44560</v>
      </c>
      <c r="C1766" s="1" t="n">
        <v>45186</v>
      </c>
      <c r="D1766" t="inlineStr">
        <is>
          <t>STOCKHOLMS LÄN</t>
        </is>
      </c>
      <c r="E1766" t="inlineStr">
        <is>
          <t>NORRTÄLJE</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178-2022</t>
        </is>
      </c>
      <c r="B1767" s="1" t="n">
        <v>44560</v>
      </c>
      <c r="C1767" s="1" t="n">
        <v>45186</v>
      </c>
      <c r="D1767" t="inlineStr">
        <is>
          <t>STOCKHOLMS LÄN</t>
        </is>
      </c>
      <c r="E1767" t="inlineStr">
        <is>
          <t>VALLENTUNA</t>
        </is>
      </c>
      <c r="F1767" t="inlineStr">
        <is>
          <t>Övriga Aktiebolag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242-2022</t>
        </is>
      </c>
      <c r="B1768" s="1" t="n">
        <v>44560</v>
      </c>
      <c r="C1768" s="1" t="n">
        <v>45186</v>
      </c>
      <c r="D1768" t="inlineStr">
        <is>
          <t>STOCKHOLMS LÄN</t>
        </is>
      </c>
      <c r="E1768" t="inlineStr">
        <is>
          <t>VALLENTUNA</t>
        </is>
      </c>
      <c r="F1768" t="inlineStr">
        <is>
          <t>Övriga Aktiebolag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314-2022</t>
        </is>
      </c>
      <c r="B1769" s="1" t="n">
        <v>44564</v>
      </c>
      <c r="C1769" s="1" t="n">
        <v>45186</v>
      </c>
      <c r="D1769" t="inlineStr">
        <is>
          <t>STOCKHOLMS LÄN</t>
        </is>
      </c>
      <c r="E1769" t="inlineStr">
        <is>
          <t>SÖDERTÄLJE</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187-2022</t>
        </is>
      </c>
      <c r="B1770" s="1" t="n">
        <v>44564</v>
      </c>
      <c r="C1770" s="1" t="n">
        <v>45186</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459-2022</t>
        </is>
      </c>
      <c r="B1771" s="1" t="n">
        <v>44565</v>
      </c>
      <c r="C1771" s="1" t="n">
        <v>45186</v>
      </c>
      <c r="D1771" t="inlineStr">
        <is>
          <t>STOCKHOLMS LÄN</t>
        </is>
      </c>
      <c r="E1771" t="inlineStr">
        <is>
          <t>NORRTÄLJE</t>
        </is>
      </c>
      <c r="F1771" t="inlineStr">
        <is>
          <t>Övriga Aktiebolag</t>
        </is>
      </c>
      <c r="G1771" t="n">
        <v>17.3</v>
      </c>
      <c r="H1771" t="n">
        <v>0</v>
      </c>
      <c r="I1771" t="n">
        <v>0</v>
      </c>
      <c r="J1771" t="n">
        <v>0</v>
      </c>
      <c r="K1771" t="n">
        <v>0</v>
      </c>
      <c r="L1771" t="n">
        <v>0</v>
      </c>
      <c r="M1771" t="n">
        <v>0</v>
      </c>
      <c r="N1771" t="n">
        <v>0</v>
      </c>
      <c r="O1771" t="n">
        <v>0</v>
      </c>
      <c r="P1771" t="n">
        <v>0</v>
      </c>
      <c r="Q1771" t="n">
        <v>0</v>
      </c>
      <c r="R1771" s="2" t="inlineStr"/>
    </row>
    <row r="1772" ht="15" customHeight="1">
      <c r="A1772" t="inlineStr">
        <is>
          <t>A 386-2022</t>
        </is>
      </c>
      <c r="B1772" s="1" t="n">
        <v>44565</v>
      </c>
      <c r="C1772" s="1" t="n">
        <v>45186</v>
      </c>
      <c r="D1772" t="inlineStr">
        <is>
          <t>STOCKHOLMS LÄN</t>
        </is>
      </c>
      <c r="E1772" t="inlineStr">
        <is>
          <t>SÖDERTÄLJE</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456-2022</t>
        </is>
      </c>
      <c r="B1773" s="1" t="n">
        <v>44565</v>
      </c>
      <c r="C1773" s="1" t="n">
        <v>45186</v>
      </c>
      <c r="D1773" t="inlineStr">
        <is>
          <t>STOCKHOLMS LÄN</t>
        </is>
      </c>
      <c r="E1773" t="inlineStr">
        <is>
          <t>ÖSTERÅKER</t>
        </is>
      </c>
      <c r="F1773" t="inlineStr">
        <is>
          <t>Övriga Aktiebolag</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470-2022</t>
        </is>
      </c>
      <c r="B1774" s="1" t="n">
        <v>44565</v>
      </c>
      <c r="C1774" s="1" t="n">
        <v>45186</v>
      </c>
      <c r="D1774" t="inlineStr">
        <is>
          <t>STOCKHOLMS LÄN</t>
        </is>
      </c>
      <c r="E1774" t="inlineStr">
        <is>
          <t>ÖSTERÅKER</t>
        </is>
      </c>
      <c r="F1774" t="inlineStr">
        <is>
          <t>Övriga Aktiebolag</t>
        </is>
      </c>
      <c r="G1774" t="n">
        <v>4.6</v>
      </c>
      <c r="H1774" t="n">
        <v>0</v>
      </c>
      <c r="I1774" t="n">
        <v>0</v>
      </c>
      <c r="J1774" t="n">
        <v>0</v>
      </c>
      <c r="K1774" t="n">
        <v>0</v>
      </c>
      <c r="L1774" t="n">
        <v>0</v>
      </c>
      <c r="M1774" t="n">
        <v>0</v>
      </c>
      <c r="N1774" t="n">
        <v>0</v>
      </c>
      <c r="O1774" t="n">
        <v>0</v>
      </c>
      <c r="P1774" t="n">
        <v>0</v>
      </c>
      <c r="Q1774" t="n">
        <v>0</v>
      </c>
      <c r="R1774" s="2" t="inlineStr"/>
    </row>
    <row r="1775" ht="15" customHeight="1">
      <c r="A1775" t="inlineStr">
        <is>
          <t>A 464-2022</t>
        </is>
      </c>
      <c r="B1775" s="1" t="n">
        <v>44565</v>
      </c>
      <c r="C1775" s="1" t="n">
        <v>45186</v>
      </c>
      <c r="D1775" t="inlineStr">
        <is>
          <t>STOCKHOLMS LÄN</t>
        </is>
      </c>
      <c r="E1775" t="inlineStr">
        <is>
          <t>ÖSTERÅKER</t>
        </is>
      </c>
      <c r="F1775" t="inlineStr">
        <is>
          <t>Övriga Aktiebolag</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838-2022</t>
        </is>
      </c>
      <c r="B1776" s="1" t="n">
        <v>44569</v>
      </c>
      <c r="C1776" s="1" t="n">
        <v>45186</v>
      </c>
      <c r="D1776" t="inlineStr">
        <is>
          <t>STOCKHOLMS LÄN</t>
        </is>
      </c>
      <c r="E1776" t="inlineStr">
        <is>
          <t>ÖSTERÅKER</t>
        </is>
      </c>
      <c r="F1776" t="inlineStr">
        <is>
          <t>Övriga Aktiebolag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848-2022</t>
        </is>
      </c>
      <c r="B1777" s="1" t="n">
        <v>44569</v>
      </c>
      <c r="C1777" s="1" t="n">
        <v>45186</v>
      </c>
      <c r="D1777" t="inlineStr">
        <is>
          <t>STOCKHOLMS LÄN</t>
        </is>
      </c>
      <c r="E1777" t="inlineStr">
        <is>
          <t>ÖSTERÅKER</t>
        </is>
      </c>
      <c r="F1777" t="inlineStr">
        <is>
          <t>Övriga Aktiebolag</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844-2022</t>
        </is>
      </c>
      <c r="B1778" s="1" t="n">
        <v>44569</v>
      </c>
      <c r="C1778" s="1" t="n">
        <v>45186</v>
      </c>
      <c r="D1778" t="inlineStr">
        <is>
          <t>STOCKHOLMS LÄN</t>
        </is>
      </c>
      <c r="E1778" t="inlineStr">
        <is>
          <t>ÖSTERÅKER</t>
        </is>
      </c>
      <c r="F1778" t="inlineStr">
        <is>
          <t>Övriga Aktiebolag</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865-2022</t>
        </is>
      </c>
      <c r="B1779" s="1" t="n">
        <v>44569</v>
      </c>
      <c r="C1779" s="1" t="n">
        <v>45186</v>
      </c>
      <c r="D1779" t="inlineStr">
        <is>
          <t>STOCKHOLMS LÄN</t>
        </is>
      </c>
      <c r="E1779" t="inlineStr">
        <is>
          <t>ÖSTERÅKER</t>
        </is>
      </c>
      <c r="F1779" t="inlineStr">
        <is>
          <t>Övriga Aktiebolag</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1016-2022</t>
        </is>
      </c>
      <c r="B1780" s="1" t="n">
        <v>44571</v>
      </c>
      <c r="C1780" s="1" t="n">
        <v>45186</v>
      </c>
      <c r="D1780" t="inlineStr">
        <is>
          <t>STOCKHOLMS LÄN</t>
        </is>
      </c>
      <c r="E1780" t="inlineStr">
        <is>
          <t>SÖDERTÄLJE</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1053-2022</t>
        </is>
      </c>
      <c r="B1781" s="1" t="n">
        <v>44571</v>
      </c>
      <c r="C1781" s="1" t="n">
        <v>45186</v>
      </c>
      <c r="D1781" t="inlineStr">
        <is>
          <t>STOCKHOLMS LÄN</t>
        </is>
      </c>
      <c r="E1781" t="inlineStr">
        <is>
          <t>UPPLANDS VÄSBY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1051-2022</t>
        </is>
      </c>
      <c r="B1782" s="1" t="n">
        <v>44571</v>
      </c>
      <c r="C1782" s="1" t="n">
        <v>45186</v>
      </c>
      <c r="D1782" t="inlineStr">
        <is>
          <t>STOCKHOLMS LÄN</t>
        </is>
      </c>
      <c r="E1782" t="inlineStr">
        <is>
          <t>NORRTÄLJE</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862-2022</t>
        </is>
      </c>
      <c r="B1783" s="1" t="n">
        <v>44571</v>
      </c>
      <c r="C1783" s="1" t="n">
        <v>45186</v>
      </c>
      <c r="D1783" t="inlineStr">
        <is>
          <t>STOCKHOLMS LÄN</t>
        </is>
      </c>
      <c r="E1783" t="inlineStr">
        <is>
          <t>SIGTUNA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1054-2022</t>
        </is>
      </c>
      <c r="B1784" s="1" t="n">
        <v>44571</v>
      </c>
      <c r="C1784" s="1" t="n">
        <v>45186</v>
      </c>
      <c r="D1784" t="inlineStr">
        <is>
          <t>STOCKHOLMS LÄN</t>
        </is>
      </c>
      <c r="E1784" t="inlineStr">
        <is>
          <t>NORRTÄLJE</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1229-2022</t>
        </is>
      </c>
      <c r="B1785" s="1" t="n">
        <v>44572</v>
      </c>
      <c r="C1785" s="1" t="n">
        <v>45186</v>
      </c>
      <c r="D1785" t="inlineStr">
        <is>
          <t>STOCKHOLMS LÄN</t>
        </is>
      </c>
      <c r="E1785" t="inlineStr">
        <is>
          <t>NORRTÄLJE</t>
        </is>
      </c>
      <c r="G1785" t="n">
        <v>11.5</v>
      </c>
      <c r="H1785" t="n">
        <v>0</v>
      </c>
      <c r="I1785" t="n">
        <v>0</v>
      </c>
      <c r="J1785" t="n">
        <v>0</v>
      </c>
      <c r="K1785" t="n">
        <v>0</v>
      </c>
      <c r="L1785" t="n">
        <v>0</v>
      </c>
      <c r="M1785" t="n">
        <v>0</v>
      </c>
      <c r="N1785" t="n">
        <v>0</v>
      </c>
      <c r="O1785" t="n">
        <v>0</v>
      </c>
      <c r="P1785" t="n">
        <v>0</v>
      </c>
      <c r="Q1785" t="n">
        <v>0</v>
      </c>
      <c r="R1785" s="2" t="inlineStr"/>
    </row>
    <row r="1786" ht="15" customHeight="1">
      <c r="A1786" t="inlineStr">
        <is>
          <t>A 1353-2022</t>
        </is>
      </c>
      <c r="B1786" s="1" t="n">
        <v>44572</v>
      </c>
      <c r="C1786" s="1" t="n">
        <v>45186</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1658-2022</t>
        </is>
      </c>
      <c r="B1787" s="1" t="n">
        <v>44574</v>
      </c>
      <c r="C1787" s="1" t="n">
        <v>45186</v>
      </c>
      <c r="D1787" t="inlineStr">
        <is>
          <t>STOCKHOLMS LÄN</t>
        </is>
      </c>
      <c r="E1787" t="inlineStr">
        <is>
          <t>NYNÄSHAMN</t>
        </is>
      </c>
      <c r="F1787" t="inlineStr">
        <is>
          <t>Kommuner</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1910-2022</t>
        </is>
      </c>
      <c r="B1788" s="1" t="n">
        <v>44575</v>
      </c>
      <c r="C1788" s="1" t="n">
        <v>45186</v>
      </c>
      <c r="D1788" t="inlineStr">
        <is>
          <t>STOCKHOLMS LÄN</t>
        </is>
      </c>
      <c r="E1788" t="inlineStr">
        <is>
          <t>ÖSTERÅKER</t>
        </is>
      </c>
      <c r="F1788" t="inlineStr">
        <is>
          <t>Övriga Aktiebolag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2148-2022</t>
        </is>
      </c>
      <c r="B1789" s="1" t="n">
        <v>44575</v>
      </c>
      <c r="C1789" s="1" t="n">
        <v>45186</v>
      </c>
      <c r="D1789" t="inlineStr">
        <is>
          <t>STOCKHOLMS LÄN</t>
        </is>
      </c>
      <c r="E1789" t="inlineStr">
        <is>
          <t>ÖSTERÅKER</t>
        </is>
      </c>
      <c r="F1789" t="inlineStr">
        <is>
          <t>Övriga Aktiebolag</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2182-2022</t>
        </is>
      </c>
      <c r="B1790" s="1" t="n">
        <v>44578</v>
      </c>
      <c r="C1790" s="1" t="n">
        <v>45186</v>
      </c>
      <c r="D1790" t="inlineStr">
        <is>
          <t>STOCKHOLMS LÄN</t>
        </is>
      </c>
      <c r="E1790" t="inlineStr">
        <is>
          <t>NORRTÄLJE</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2180-2022</t>
        </is>
      </c>
      <c r="B1791" s="1" t="n">
        <v>44578</v>
      </c>
      <c r="C1791" s="1" t="n">
        <v>45186</v>
      </c>
      <c r="D1791" t="inlineStr">
        <is>
          <t>STOCKHOLMS LÄN</t>
        </is>
      </c>
      <c r="E1791" t="inlineStr">
        <is>
          <t>VALLENTUNA</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2732-2022</t>
        </is>
      </c>
      <c r="B1792" s="1" t="n">
        <v>44580</v>
      </c>
      <c r="C1792" s="1" t="n">
        <v>45186</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2549-2022</t>
        </is>
      </c>
      <c r="B1793" s="1" t="n">
        <v>44580</v>
      </c>
      <c r="C1793" s="1" t="n">
        <v>45186</v>
      </c>
      <c r="D1793" t="inlineStr">
        <is>
          <t>STOCKHOLMS LÄN</t>
        </is>
      </c>
      <c r="E1793" t="inlineStr">
        <is>
          <t>NORRTÄLJE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2570-2022</t>
        </is>
      </c>
      <c r="B1794" s="1" t="n">
        <v>44580</v>
      </c>
      <c r="C1794" s="1" t="n">
        <v>45186</v>
      </c>
      <c r="D1794" t="inlineStr">
        <is>
          <t>STOCKHOLMS LÄN</t>
        </is>
      </c>
      <c r="E1794" t="inlineStr">
        <is>
          <t>ÖSTERÅKER</t>
        </is>
      </c>
      <c r="F1794" t="inlineStr">
        <is>
          <t>Övriga Aktiebolag</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2867-2022</t>
        </is>
      </c>
      <c r="B1795" s="1" t="n">
        <v>44581</v>
      </c>
      <c r="C1795" s="1" t="n">
        <v>45186</v>
      </c>
      <c r="D1795" t="inlineStr">
        <is>
          <t>STOCKHOLMS LÄN</t>
        </is>
      </c>
      <c r="E1795" t="inlineStr">
        <is>
          <t>VALLENTUNA</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2888-2022</t>
        </is>
      </c>
      <c r="B1796" s="1" t="n">
        <v>44581</v>
      </c>
      <c r="C1796" s="1" t="n">
        <v>45186</v>
      </c>
      <c r="D1796" t="inlineStr">
        <is>
          <t>STOCKHOLMS LÄN</t>
        </is>
      </c>
      <c r="E1796" t="inlineStr">
        <is>
          <t>NORRTÄLJE</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3222-2022</t>
        </is>
      </c>
      <c r="B1797" s="1" t="n">
        <v>44582</v>
      </c>
      <c r="C1797" s="1" t="n">
        <v>45186</v>
      </c>
      <c r="D1797" t="inlineStr">
        <is>
          <t>STOCKHOLMS LÄN</t>
        </is>
      </c>
      <c r="E1797" t="inlineStr">
        <is>
          <t>EKERÖ</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3057-2022</t>
        </is>
      </c>
      <c r="B1798" s="1" t="n">
        <v>44582</v>
      </c>
      <c r="C1798" s="1" t="n">
        <v>45186</v>
      </c>
      <c r="D1798" t="inlineStr">
        <is>
          <t>STOCKHOLMS LÄN</t>
        </is>
      </c>
      <c r="E1798" t="inlineStr">
        <is>
          <t>VÄRMDÖ</t>
        </is>
      </c>
      <c r="G1798" t="n">
        <v>7.4</v>
      </c>
      <c r="H1798" t="n">
        <v>0</v>
      </c>
      <c r="I1798" t="n">
        <v>0</v>
      </c>
      <c r="J1798" t="n">
        <v>0</v>
      </c>
      <c r="K1798" t="n">
        <v>0</v>
      </c>
      <c r="L1798" t="n">
        <v>0</v>
      </c>
      <c r="M1798" t="n">
        <v>0</v>
      </c>
      <c r="N1798" t="n">
        <v>0</v>
      </c>
      <c r="O1798" t="n">
        <v>0</v>
      </c>
      <c r="P1798" t="n">
        <v>0</v>
      </c>
      <c r="Q1798" t="n">
        <v>0</v>
      </c>
      <c r="R1798" s="2" t="inlineStr"/>
    </row>
    <row r="1799" ht="15" customHeight="1">
      <c r="A1799" t="inlineStr">
        <is>
          <t>A 3219-2022</t>
        </is>
      </c>
      <c r="B1799" s="1" t="n">
        <v>44582</v>
      </c>
      <c r="C1799" s="1" t="n">
        <v>45186</v>
      </c>
      <c r="D1799" t="inlineStr">
        <is>
          <t>STOCKHOLMS LÄN</t>
        </is>
      </c>
      <c r="E1799" t="inlineStr">
        <is>
          <t>EKERÖ</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3154-2022</t>
        </is>
      </c>
      <c r="B1800" s="1" t="n">
        <v>44582</v>
      </c>
      <c r="C1800" s="1" t="n">
        <v>45186</v>
      </c>
      <c r="D1800" t="inlineStr">
        <is>
          <t>STOCKHOLMS LÄN</t>
        </is>
      </c>
      <c r="E1800" t="inlineStr">
        <is>
          <t>ÖSTERÅKER</t>
        </is>
      </c>
      <c r="F1800" t="inlineStr">
        <is>
          <t>Övriga Aktiebolag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3326-2022</t>
        </is>
      </c>
      <c r="B1801" s="1" t="n">
        <v>44583</v>
      </c>
      <c r="C1801" s="1" t="n">
        <v>45186</v>
      </c>
      <c r="D1801" t="inlineStr">
        <is>
          <t>STOCKHOLMS LÄN</t>
        </is>
      </c>
      <c r="E1801" t="inlineStr">
        <is>
          <t>ÖSTERÅKER</t>
        </is>
      </c>
      <c r="F1801" t="inlineStr">
        <is>
          <t>Övriga Aktiebolag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3310-2022</t>
        </is>
      </c>
      <c r="B1802" s="1" t="n">
        <v>44584</v>
      </c>
      <c r="C1802" s="1" t="n">
        <v>45186</v>
      </c>
      <c r="D1802" t="inlineStr">
        <is>
          <t>STOCKHOLMS LÄN</t>
        </is>
      </c>
      <c r="E1802" t="inlineStr">
        <is>
          <t>NORRTÄLJE</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3509-2022</t>
        </is>
      </c>
      <c r="B1803" s="1" t="n">
        <v>44585</v>
      </c>
      <c r="C1803" s="1" t="n">
        <v>45186</v>
      </c>
      <c r="D1803" t="inlineStr">
        <is>
          <t>STOCKHOLMS LÄN</t>
        </is>
      </c>
      <c r="E1803" t="inlineStr">
        <is>
          <t>NORRTÄLJE</t>
        </is>
      </c>
      <c r="F1803" t="inlineStr">
        <is>
          <t>Kommuner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3396-2022</t>
        </is>
      </c>
      <c r="B1804" s="1" t="n">
        <v>44585</v>
      </c>
      <c r="C1804" s="1" t="n">
        <v>45186</v>
      </c>
      <c r="D1804" t="inlineStr">
        <is>
          <t>STOCKHOLMS LÄN</t>
        </is>
      </c>
      <c r="E1804" t="inlineStr">
        <is>
          <t>NORRTÄLJE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3596-2022</t>
        </is>
      </c>
      <c r="B1805" s="1" t="n">
        <v>44586</v>
      </c>
      <c r="C1805" s="1" t="n">
        <v>45186</v>
      </c>
      <c r="D1805" t="inlineStr">
        <is>
          <t>STOCKHOLMS LÄN</t>
        </is>
      </c>
      <c r="E1805" t="inlineStr">
        <is>
          <t>SÖDERTÄLJE</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3698-2022</t>
        </is>
      </c>
      <c r="B1806" s="1" t="n">
        <v>44586</v>
      </c>
      <c r="C1806" s="1" t="n">
        <v>45186</v>
      </c>
      <c r="D1806" t="inlineStr">
        <is>
          <t>STOCKHOLMS LÄN</t>
        </is>
      </c>
      <c r="E1806" t="inlineStr">
        <is>
          <t>VALLENTUNA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3726-2022</t>
        </is>
      </c>
      <c r="B1807" s="1" t="n">
        <v>44586</v>
      </c>
      <c r="C1807" s="1" t="n">
        <v>45186</v>
      </c>
      <c r="D1807" t="inlineStr">
        <is>
          <t>STOCKHOLMS LÄN</t>
        </is>
      </c>
      <c r="E1807" t="inlineStr">
        <is>
          <t>BOTKYRKA</t>
        </is>
      </c>
      <c r="G1807" t="n">
        <v>17.1</v>
      </c>
      <c r="H1807" t="n">
        <v>0</v>
      </c>
      <c r="I1807" t="n">
        <v>0</v>
      </c>
      <c r="J1807" t="n">
        <v>0</v>
      </c>
      <c r="K1807" t="n">
        <v>0</v>
      </c>
      <c r="L1807" t="n">
        <v>0</v>
      </c>
      <c r="M1807" t="n">
        <v>0</v>
      </c>
      <c r="N1807" t="n">
        <v>0</v>
      </c>
      <c r="O1807" t="n">
        <v>0</v>
      </c>
      <c r="P1807" t="n">
        <v>0</v>
      </c>
      <c r="Q1807" t="n">
        <v>0</v>
      </c>
      <c r="R1807" s="2" t="inlineStr"/>
    </row>
    <row r="1808" ht="15" customHeight="1">
      <c r="A1808" t="inlineStr">
        <is>
          <t>A 3585-2022</t>
        </is>
      </c>
      <c r="B1808" s="1" t="n">
        <v>44586</v>
      </c>
      <c r="C1808" s="1" t="n">
        <v>45186</v>
      </c>
      <c r="D1808" t="inlineStr">
        <is>
          <t>STOCKHOLMS LÄN</t>
        </is>
      </c>
      <c r="E1808" t="inlineStr">
        <is>
          <t>SÖDERTÄLJE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3681-2022</t>
        </is>
      </c>
      <c r="B1809" s="1" t="n">
        <v>44586</v>
      </c>
      <c r="C1809" s="1" t="n">
        <v>45186</v>
      </c>
      <c r="D1809" t="inlineStr">
        <is>
          <t>STOCKHOLMS LÄN</t>
        </is>
      </c>
      <c r="E1809" t="inlineStr">
        <is>
          <t>BOTKYRKA</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3706-2022</t>
        </is>
      </c>
      <c r="B1810" s="1" t="n">
        <v>44586</v>
      </c>
      <c r="C1810" s="1" t="n">
        <v>45186</v>
      </c>
      <c r="D1810" t="inlineStr">
        <is>
          <t>STOCKHOLMS LÄN</t>
        </is>
      </c>
      <c r="E1810" t="inlineStr">
        <is>
          <t>HANINGE</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3671-2022</t>
        </is>
      </c>
      <c r="B1811" s="1" t="n">
        <v>44586</v>
      </c>
      <c r="C1811" s="1" t="n">
        <v>45186</v>
      </c>
      <c r="D1811" t="inlineStr">
        <is>
          <t>STOCKHOLMS LÄN</t>
        </is>
      </c>
      <c r="E1811" t="inlineStr">
        <is>
          <t>BOTKYRKA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3937-2022</t>
        </is>
      </c>
      <c r="B1812" s="1" t="n">
        <v>44587</v>
      </c>
      <c r="C1812" s="1" t="n">
        <v>45186</v>
      </c>
      <c r="D1812" t="inlineStr">
        <is>
          <t>STOCKHOLMS LÄN</t>
        </is>
      </c>
      <c r="E1812" t="inlineStr">
        <is>
          <t>VALLENTUNA</t>
        </is>
      </c>
      <c r="G1812" t="n">
        <v>6.6</v>
      </c>
      <c r="H1812" t="n">
        <v>0</v>
      </c>
      <c r="I1812" t="n">
        <v>0</v>
      </c>
      <c r="J1812" t="n">
        <v>0</v>
      </c>
      <c r="K1812" t="n">
        <v>0</v>
      </c>
      <c r="L1812" t="n">
        <v>0</v>
      </c>
      <c r="M1812" t="n">
        <v>0</v>
      </c>
      <c r="N1812" t="n">
        <v>0</v>
      </c>
      <c r="O1812" t="n">
        <v>0</v>
      </c>
      <c r="P1812" t="n">
        <v>0</v>
      </c>
      <c r="Q1812" t="n">
        <v>0</v>
      </c>
      <c r="R1812" s="2" t="inlineStr"/>
    </row>
    <row r="1813" ht="15" customHeight="1">
      <c r="A1813" t="inlineStr">
        <is>
          <t>A 3827-2022</t>
        </is>
      </c>
      <c r="B1813" s="1" t="n">
        <v>44587</v>
      </c>
      <c r="C1813" s="1" t="n">
        <v>45186</v>
      </c>
      <c r="D1813" t="inlineStr">
        <is>
          <t>STOCKHOLMS LÄN</t>
        </is>
      </c>
      <c r="E1813" t="inlineStr">
        <is>
          <t>VÄRMDÖ</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4860-2022</t>
        </is>
      </c>
      <c r="B1814" s="1" t="n">
        <v>44592</v>
      </c>
      <c r="C1814" s="1" t="n">
        <v>45186</v>
      </c>
      <c r="D1814" t="inlineStr">
        <is>
          <t>STOCKHOLMS LÄN</t>
        </is>
      </c>
      <c r="E1814" t="inlineStr">
        <is>
          <t>NORRTÄLJE</t>
        </is>
      </c>
      <c r="G1814" t="n">
        <v>22.3</v>
      </c>
      <c r="H1814" t="n">
        <v>0</v>
      </c>
      <c r="I1814" t="n">
        <v>0</v>
      </c>
      <c r="J1814" t="n">
        <v>0</v>
      </c>
      <c r="K1814" t="n">
        <v>0</v>
      </c>
      <c r="L1814" t="n">
        <v>0</v>
      </c>
      <c r="M1814" t="n">
        <v>0</v>
      </c>
      <c r="N1814" t="n">
        <v>0</v>
      </c>
      <c r="O1814" t="n">
        <v>0</v>
      </c>
      <c r="P1814" t="n">
        <v>0</v>
      </c>
      <c r="Q1814" t="n">
        <v>0</v>
      </c>
      <c r="R1814" s="2" t="inlineStr"/>
    </row>
    <row r="1815" ht="15" customHeight="1">
      <c r="A1815" t="inlineStr">
        <is>
          <t>A 5513-2022</t>
        </is>
      </c>
      <c r="B1815" s="1" t="n">
        <v>44595</v>
      </c>
      <c r="C1815" s="1" t="n">
        <v>45186</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5611-2022</t>
        </is>
      </c>
      <c r="B1816" s="1" t="n">
        <v>44595</v>
      </c>
      <c r="C1816" s="1" t="n">
        <v>45186</v>
      </c>
      <c r="D1816" t="inlineStr">
        <is>
          <t>STOCKHOLMS LÄN</t>
        </is>
      </c>
      <c r="E1816" t="inlineStr">
        <is>
          <t>NORRTÄLJE</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5831-2022</t>
        </is>
      </c>
      <c r="B1817" s="1" t="n">
        <v>44596</v>
      </c>
      <c r="C1817" s="1" t="n">
        <v>45186</v>
      </c>
      <c r="D1817" t="inlineStr">
        <is>
          <t>STOCKHOLMS LÄN</t>
        </is>
      </c>
      <c r="E1817" t="inlineStr">
        <is>
          <t>NORRTÄLJE</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5910-2022</t>
        </is>
      </c>
      <c r="B1818" s="1" t="n">
        <v>44597</v>
      </c>
      <c r="C1818" s="1" t="n">
        <v>45186</v>
      </c>
      <c r="D1818" t="inlineStr">
        <is>
          <t>STOCKHOLMS LÄN</t>
        </is>
      </c>
      <c r="E1818" t="inlineStr">
        <is>
          <t>VALLENTUNA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6015-2022</t>
        </is>
      </c>
      <c r="B1819" s="1" t="n">
        <v>44599</v>
      </c>
      <c r="C1819" s="1" t="n">
        <v>45186</v>
      </c>
      <c r="D1819" t="inlineStr">
        <is>
          <t>STOCKHOLMS LÄN</t>
        </is>
      </c>
      <c r="E1819" t="inlineStr">
        <is>
          <t>VAXHOLM</t>
        </is>
      </c>
      <c r="F1819" t="inlineStr">
        <is>
          <t>Övriga statliga verk och myndigheter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6059-2022</t>
        </is>
      </c>
      <c r="B1820" s="1" t="n">
        <v>44599</v>
      </c>
      <c r="C1820" s="1" t="n">
        <v>45186</v>
      </c>
      <c r="D1820" t="inlineStr">
        <is>
          <t>STOCKHOLMS LÄN</t>
        </is>
      </c>
      <c r="E1820" t="inlineStr">
        <is>
          <t>BOTKYRKA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6332-2022</t>
        </is>
      </c>
      <c r="B1821" s="1" t="n">
        <v>44600</v>
      </c>
      <c r="C1821" s="1" t="n">
        <v>45186</v>
      </c>
      <c r="D1821" t="inlineStr">
        <is>
          <t>STOCKHOLMS LÄN</t>
        </is>
      </c>
      <c r="E1821" t="inlineStr">
        <is>
          <t>NORRTÄLJE</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6295-2022</t>
        </is>
      </c>
      <c r="B1822" s="1" t="n">
        <v>44600</v>
      </c>
      <c r="C1822" s="1" t="n">
        <v>45186</v>
      </c>
      <c r="D1822" t="inlineStr">
        <is>
          <t>STOCKHOLMS LÄN</t>
        </is>
      </c>
      <c r="E1822" t="inlineStr">
        <is>
          <t>SÖDERTÄLJE</t>
        </is>
      </c>
      <c r="G1822" t="n">
        <v>11.4</v>
      </c>
      <c r="H1822" t="n">
        <v>0</v>
      </c>
      <c r="I1822" t="n">
        <v>0</v>
      </c>
      <c r="J1822" t="n">
        <v>0</v>
      </c>
      <c r="K1822" t="n">
        <v>0</v>
      </c>
      <c r="L1822" t="n">
        <v>0</v>
      </c>
      <c r="M1822" t="n">
        <v>0</v>
      </c>
      <c r="N1822" t="n">
        <v>0</v>
      </c>
      <c r="O1822" t="n">
        <v>0</v>
      </c>
      <c r="P1822" t="n">
        <v>0</v>
      </c>
      <c r="Q1822" t="n">
        <v>0</v>
      </c>
      <c r="R1822" s="2" t="inlineStr"/>
    </row>
    <row r="1823" ht="15" customHeight="1">
      <c r="A1823" t="inlineStr">
        <is>
          <t>A 6886-2022</t>
        </is>
      </c>
      <c r="B1823" s="1" t="n">
        <v>44602</v>
      </c>
      <c r="C1823" s="1" t="n">
        <v>45186</v>
      </c>
      <c r="D1823" t="inlineStr">
        <is>
          <t>STOCKHOLMS LÄN</t>
        </is>
      </c>
      <c r="E1823" t="inlineStr">
        <is>
          <t>SÖDERTÄLJE</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6740-2022</t>
        </is>
      </c>
      <c r="B1824" s="1" t="n">
        <v>44602</v>
      </c>
      <c r="C1824" s="1" t="n">
        <v>45186</v>
      </c>
      <c r="D1824" t="inlineStr">
        <is>
          <t>STOCKHOLMS LÄN</t>
        </is>
      </c>
      <c r="E1824" t="inlineStr">
        <is>
          <t>SÖDERTÄLJE</t>
        </is>
      </c>
      <c r="G1824" t="n">
        <v>7.1</v>
      </c>
      <c r="H1824" t="n">
        <v>0</v>
      </c>
      <c r="I1824" t="n">
        <v>0</v>
      </c>
      <c r="J1824" t="n">
        <v>0</v>
      </c>
      <c r="K1824" t="n">
        <v>0</v>
      </c>
      <c r="L1824" t="n">
        <v>0</v>
      </c>
      <c r="M1824" t="n">
        <v>0</v>
      </c>
      <c r="N1824" t="n">
        <v>0</v>
      </c>
      <c r="O1824" t="n">
        <v>0</v>
      </c>
      <c r="P1824" t="n">
        <v>0</v>
      </c>
      <c r="Q1824" t="n">
        <v>0</v>
      </c>
      <c r="R1824" s="2" t="inlineStr"/>
    </row>
    <row r="1825" ht="15" customHeight="1">
      <c r="A1825" t="inlineStr">
        <is>
          <t>A 6854-2022</t>
        </is>
      </c>
      <c r="B1825" s="1" t="n">
        <v>44602</v>
      </c>
      <c r="C1825" s="1" t="n">
        <v>45186</v>
      </c>
      <c r="D1825" t="inlineStr">
        <is>
          <t>STOCKHOLMS LÄN</t>
        </is>
      </c>
      <c r="E1825" t="inlineStr">
        <is>
          <t>NYKVARN</t>
        </is>
      </c>
      <c r="F1825" t="inlineStr">
        <is>
          <t>Kommuner</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6867-2022</t>
        </is>
      </c>
      <c r="B1826" s="1" t="n">
        <v>44602</v>
      </c>
      <c r="C1826" s="1" t="n">
        <v>45186</v>
      </c>
      <c r="D1826" t="inlineStr">
        <is>
          <t>STOCKHOLMS LÄN</t>
        </is>
      </c>
      <c r="E1826" t="inlineStr">
        <is>
          <t>NYKVARN</t>
        </is>
      </c>
      <c r="F1826" t="inlineStr">
        <is>
          <t>Kommuner</t>
        </is>
      </c>
      <c r="G1826" t="n">
        <v>8.4</v>
      </c>
      <c r="H1826" t="n">
        <v>0</v>
      </c>
      <c r="I1826" t="n">
        <v>0</v>
      </c>
      <c r="J1826" t="n">
        <v>0</v>
      </c>
      <c r="K1826" t="n">
        <v>0</v>
      </c>
      <c r="L1826" t="n">
        <v>0</v>
      </c>
      <c r="M1826" t="n">
        <v>0</v>
      </c>
      <c r="N1826" t="n">
        <v>0</v>
      </c>
      <c r="O1826" t="n">
        <v>0</v>
      </c>
      <c r="P1826" t="n">
        <v>0</v>
      </c>
      <c r="Q1826" t="n">
        <v>0</v>
      </c>
      <c r="R1826" s="2" t="inlineStr"/>
    </row>
    <row r="1827" ht="15" customHeight="1">
      <c r="A1827" t="inlineStr">
        <is>
          <t>A 6876-2022</t>
        </is>
      </c>
      <c r="B1827" s="1" t="n">
        <v>44602</v>
      </c>
      <c r="C1827" s="1" t="n">
        <v>45186</v>
      </c>
      <c r="D1827" t="inlineStr">
        <is>
          <t>STOCKHOLMS LÄN</t>
        </is>
      </c>
      <c r="E1827" t="inlineStr">
        <is>
          <t>NYKVARN</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6846-2022</t>
        </is>
      </c>
      <c r="B1828" s="1" t="n">
        <v>44602</v>
      </c>
      <c r="C1828" s="1" t="n">
        <v>45186</v>
      </c>
      <c r="D1828" t="inlineStr">
        <is>
          <t>STOCKHOLMS LÄN</t>
        </is>
      </c>
      <c r="E1828" t="inlineStr">
        <is>
          <t>NYNÄSHAMN</t>
        </is>
      </c>
      <c r="G1828" t="n">
        <v>9.4</v>
      </c>
      <c r="H1828" t="n">
        <v>0</v>
      </c>
      <c r="I1828" t="n">
        <v>0</v>
      </c>
      <c r="J1828" t="n">
        <v>0</v>
      </c>
      <c r="K1828" t="n">
        <v>0</v>
      </c>
      <c r="L1828" t="n">
        <v>0</v>
      </c>
      <c r="M1828" t="n">
        <v>0</v>
      </c>
      <c r="N1828" t="n">
        <v>0</v>
      </c>
      <c r="O1828" t="n">
        <v>0</v>
      </c>
      <c r="P1828" t="n">
        <v>0</v>
      </c>
      <c r="Q1828" t="n">
        <v>0</v>
      </c>
      <c r="R1828" s="2" t="inlineStr"/>
    </row>
    <row r="1829" ht="15" customHeight="1">
      <c r="A1829" t="inlineStr">
        <is>
          <t>A 6982-2022</t>
        </is>
      </c>
      <c r="B1829" s="1" t="n">
        <v>44603</v>
      </c>
      <c r="C1829" s="1" t="n">
        <v>45186</v>
      </c>
      <c r="D1829" t="inlineStr">
        <is>
          <t>STOCKHOLMS LÄN</t>
        </is>
      </c>
      <c r="E1829" t="inlineStr">
        <is>
          <t>UPPLANDS-BRO</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7085-2022</t>
        </is>
      </c>
      <c r="B1830" s="1" t="n">
        <v>44603</v>
      </c>
      <c r="C1830" s="1" t="n">
        <v>45186</v>
      </c>
      <c r="D1830" t="inlineStr">
        <is>
          <t>STOCKHOLMS LÄN</t>
        </is>
      </c>
      <c r="E1830" t="inlineStr">
        <is>
          <t>VALLENTUNA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7073-2022</t>
        </is>
      </c>
      <c r="B1831" s="1" t="n">
        <v>44603</v>
      </c>
      <c r="C1831" s="1" t="n">
        <v>45186</v>
      </c>
      <c r="D1831" t="inlineStr">
        <is>
          <t>STOCKHOLMS LÄN</t>
        </is>
      </c>
      <c r="E1831" t="inlineStr">
        <is>
          <t>VALLENTUNA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7275-2022</t>
        </is>
      </c>
      <c r="B1832" s="1" t="n">
        <v>44606</v>
      </c>
      <c r="C1832" s="1" t="n">
        <v>45186</v>
      </c>
      <c r="D1832" t="inlineStr">
        <is>
          <t>STOCKHOLMS LÄN</t>
        </is>
      </c>
      <c r="E1832" t="inlineStr">
        <is>
          <t>UPPLANDS-BRO</t>
        </is>
      </c>
      <c r="F1832" t="inlineStr">
        <is>
          <t>Övriga statliga verk och myndigheter</t>
        </is>
      </c>
      <c r="G1832" t="n">
        <v>9.6</v>
      </c>
      <c r="H1832" t="n">
        <v>0</v>
      </c>
      <c r="I1832" t="n">
        <v>0</v>
      </c>
      <c r="J1832" t="n">
        <v>0</v>
      </c>
      <c r="K1832" t="n">
        <v>0</v>
      </c>
      <c r="L1832" t="n">
        <v>0</v>
      </c>
      <c r="M1832" t="n">
        <v>0</v>
      </c>
      <c r="N1832" t="n">
        <v>0</v>
      </c>
      <c r="O1832" t="n">
        <v>0</v>
      </c>
      <c r="P1832" t="n">
        <v>0</v>
      </c>
      <c r="Q1832" t="n">
        <v>0</v>
      </c>
      <c r="R1832" s="2" t="inlineStr"/>
    </row>
    <row r="1833" ht="15" customHeight="1">
      <c r="A1833" t="inlineStr">
        <is>
          <t>A 7280-2022</t>
        </is>
      </c>
      <c r="B1833" s="1" t="n">
        <v>44606</v>
      </c>
      <c r="C1833" s="1" t="n">
        <v>45186</v>
      </c>
      <c r="D1833" t="inlineStr">
        <is>
          <t>STOCKHOLMS LÄN</t>
        </is>
      </c>
      <c r="E1833" t="inlineStr">
        <is>
          <t>SIGTUNA</t>
        </is>
      </c>
      <c r="F1833" t="inlineStr">
        <is>
          <t>Övriga statliga verk och myndigheter</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7264-2022</t>
        </is>
      </c>
      <c r="B1834" s="1" t="n">
        <v>44606</v>
      </c>
      <c r="C1834" s="1" t="n">
        <v>45186</v>
      </c>
      <c r="D1834" t="inlineStr">
        <is>
          <t>STOCKHOLMS LÄN</t>
        </is>
      </c>
      <c r="E1834" t="inlineStr">
        <is>
          <t>VALLENTUNA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7276-2022</t>
        </is>
      </c>
      <c r="B1835" s="1" t="n">
        <v>44606</v>
      </c>
      <c r="C1835" s="1" t="n">
        <v>45186</v>
      </c>
      <c r="D1835" t="inlineStr">
        <is>
          <t>STOCKHOLMS LÄN</t>
        </is>
      </c>
      <c r="E1835" t="inlineStr">
        <is>
          <t>VALLENTUNA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7565-2022</t>
        </is>
      </c>
      <c r="B1836" s="1" t="n">
        <v>44607</v>
      </c>
      <c r="C1836" s="1" t="n">
        <v>45186</v>
      </c>
      <c r="D1836" t="inlineStr">
        <is>
          <t>STOCKHOLMS LÄN</t>
        </is>
      </c>
      <c r="E1836" t="inlineStr">
        <is>
          <t>NORRTÄLJE</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7834-2022</t>
        </is>
      </c>
      <c r="B1837" s="1" t="n">
        <v>44608</v>
      </c>
      <c r="C1837" s="1" t="n">
        <v>45186</v>
      </c>
      <c r="D1837" t="inlineStr">
        <is>
          <t>STOCKHOLMS LÄN</t>
        </is>
      </c>
      <c r="E1837" t="inlineStr">
        <is>
          <t>ÖSTERÅKER</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8024-2022</t>
        </is>
      </c>
      <c r="B1838" s="1" t="n">
        <v>44609</v>
      </c>
      <c r="C1838" s="1" t="n">
        <v>45186</v>
      </c>
      <c r="D1838" t="inlineStr">
        <is>
          <t>STOCKHOLMS LÄN</t>
        </is>
      </c>
      <c r="E1838" t="inlineStr">
        <is>
          <t>NORRTÄLJE</t>
        </is>
      </c>
      <c r="F1838" t="inlineStr">
        <is>
          <t>Kyrkan</t>
        </is>
      </c>
      <c r="G1838" t="n">
        <v>28.2</v>
      </c>
      <c r="H1838" t="n">
        <v>0</v>
      </c>
      <c r="I1838" t="n">
        <v>0</v>
      </c>
      <c r="J1838" t="n">
        <v>0</v>
      </c>
      <c r="K1838" t="n">
        <v>0</v>
      </c>
      <c r="L1838" t="n">
        <v>0</v>
      </c>
      <c r="M1838" t="n">
        <v>0</v>
      </c>
      <c r="N1838" t="n">
        <v>0</v>
      </c>
      <c r="O1838" t="n">
        <v>0</v>
      </c>
      <c r="P1838" t="n">
        <v>0</v>
      </c>
      <c r="Q1838" t="n">
        <v>0</v>
      </c>
      <c r="R1838" s="2" t="inlineStr"/>
    </row>
    <row r="1839" ht="15" customHeight="1">
      <c r="A1839" t="inlineStr">
        <is>
          <t>A 8065-2022</t>
        </is>
      </c>
      <c r="B1839" s="1" t="n">
        <v>44609</v>
      </c>
      <c r="C1839" s="1" t="n">
        <v>45186</v>
      </c>
      <c r="D1839" t="inlineStr">
        <is>
          <t>STOCKHOLMS LÄN</t>
        </is>
      </c>
      <c r="E1839" t="inlineStr">
        <is>
          <t>VALLENTUNA</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8077-2022</t>
        </is>
      </c>
      <c r="B1840" s="1" t="n">
        <v>44609</v>
      </c>
      <c r="C1840" s="1" t="n">
        <v>45186</v>
      </c>
      <c r="D1840" t="inlineStr">
        <is>
          <t>STOCKHOLMS LÄN</t>
        </is>
      </c>
      <c r="E1840" t="inlineStr">
        <is>
          <t>VALLENTUNA</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8160-2022</t>
        </is>
      </c>
      <c r="B1841" s="1" t="n">
        <v>44609</v>
      </c>
      <c r="C1841" s="1" t="n">
        <v>45186</v>
      </c>
      <c r="D1841" t="inlineStr">
        <is>
          <t>STOCKHOLMS LÄN</t>
        </is>
      </c>
      <c r="E1841" t="inlineStr">
        <is>
          <t>NORRTÄLJE</t>
        </is>
      </c>
      <c r="G1841" t="n">
        <v>3.9</v>
      </c>
      <c r="H1841" t="n">
        <v>0</v>
      </c>
      <c r="I1841" t="n">
        <v>0</v>
      </c>
      <c r="J1841" t="n">
        <v>0</v>
      </c>
      <c r="K1841" t="n">
        <v>0</v>
      </c>
      <c r="L1841" t="n">
        <v>0</v>
      </c>
      <c r="M1841" t="n">
        <v>0</v>
      </c>
      <c r="N1841" t="n">
        <v>0</v>
      </c>
      <c r="O1841" t="n">
        <v>0</v>
      </c>
      <c r="P1841" t="n">
        <v>0</v>
      </c>
      <c r="Q1841" t="n">
        <v>0</v>
      </c>
      <c r="R1841" s="2" t="inlineStr"/>
    </row>
    <row r="1842" ht="15" customHeight="1">
      <c r="A1842" t="inlineStr">
        <is>
          <t>A 8261-2022</t>
        </is>
      </c>
      <c r="B1842" s="1" t="n">
        <v>44609</v>
      </c>
      <c r="C1842" s="1" t="n">
        <v>45186</v>
      </c>
      <c r="D1842" t="inlineStr">
        <is>
          <t>STOCKHOLMS LÄN</t>
        </is>
      </c>
      <c r="E1842" t="inlineStr">
        <is>
          <t>UPPLANDS-BRO</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8295-2022</t>
        </is>
      </c>
      <c r="B1843" s="1" t="n">
        <v>44610</v>
      </c>
      <c r="C1843" s="1" t="n">
        <v>45186</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8433-2022</t>
        </is>
      </c>
      <c r="B1844" s="1" t="n">
        <v>44611</v>
      </c>
      <c r="C1844" s="1" t="n">
        <v>45186</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8644-2022</t>
        </is>
      </c>
      <c r="B1845" s="1" t="n">
        <v>44613</v>
      </c>
      <c r="C1845" s="1" t="n">
        <v>45186</v>
      </c>
      <c r="D1845" t="inlineStr">
        <is>
          <t>STOCKHOLMS LÄN</t>
        </is>
      </c>
      <c r="E1845" t="inlineStr">
        <is>
          <t>NORRTÄLJE</t>
        </is>
      </c>
      <c r="G1845" t="n">
        <v>5.7</v>
      </c>
      <c r="H1845" t="n">
        <v>0</v>
      </c>
      <c r="I1845" t="n">
        <v>0</v>
      </c>
      <c r="J1845" t="n">
        <v>0</v>
      </c>
      <c r="K1845" t="n">
        <v>0</v>
      </c>
      <c r="L1845" t="n">
        <v>0</v>
      </c>
      <c r="M1845" t="n">
        <v>0</v>
      </c>
      <c r="N1845" t="n">
        <v>0</v>
      </c>
      <c r="O1845" t="n">
        <v>0</v>
      </c>
      <c r="P1845" t="n">
        <v>0</v>
      </c>
      <c r="Q1845" t="n">
        <v>0</v>
      </c>
      <c r="R1845" s="2" t="inlineStr"/>
    </row>
    <row r="1846" ht="15" customHeight="1">
      <c r="A1846" t="inlineStr">
        <is>
          <t>A 8725-2022</t>
        </is>
      </c>
      <c r="B1846" s="1" t="n">
        <v>44613</v>
      </c>
      <c r="C1846" s="1" t="n">
        <v>45186</v>
      </c>
      <c r="D1846" t="inlineStr">
        <is>
          <t>STOCKHOLMS LÄN</t>
        </is>
      </c>
      <c r="E1846" t="inlineStr">
        <is>
          <t>NORRTÄLJE</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8746-2022</t>
        </is>
      </c>
      <c r="B1847" s="1" t="n">
        <v>44613</v>
      </c>
      <c r="C1847" s="1" t="n">
        <v>45186</v>
      </c>
      <c r="D1847" t="inlineStr">
        <is>
          <t>STOCKHOLMS LÄN</t>
        </is>
      </c>
      <c r="E1847" t="inlineStr">
        <is>
          <t>UPPLANDS VÄSBY</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8748-2022</t>
        </is>
      </c>
      <c r="B1848" s="1" t="n">
        <v>44613</v>
      </c>
      <c r="C1848" s="1" t="n">
        <v>45186</v>
      </c>
      <c r="D1848" t="inlineStr">
        <is>
          <t>STOCKHOLMS LÄN</t>
        </is>
      </c>
      <c r="E1848" t="inlineStr">
        <is>
          <t>UPPLANDS VÄSBY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9019-2022</t>
        </is>
      </c>
      <c r="B1849" s="1" t="n">
        <v>44615</v>
      </c>
      <c r="C1849" s="1" t="n">
        <v>45186</v>
      </c>
      <c r="D1849" t="inlineStr">
        <is>
          <t>STOCKHOLMS LÄN</t>
        </is>
      </c>
      <c r="E1849" t="inlineStr">
        <is>
          <t>VÄRMDÖ</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9442-2022</t>
        </is>
      </c>
      <c r="B1850" s="1" t="n">
        <v>44616</v>
      </c>
      <c r="C1850" s="1" t="n">
        <v>45186</v>
      </c>
      <c r="D1850" t="inlineStr">
        <is>
          <t>STOCKHOLMS LÄN</t>
        </is>
      </c>
      <c r="E1850" t="inlineStr">
        <is>
          <t>VALLENTUNA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9408-2022</t>
        </is>
      </c>
      <c r="B1851" s="1" t="n">
        <v>44616</v>
      </c>
      <c r="C1851" s="1" t="n">
        <v>45186</v>
      </c>
      <c r="D1851" t="inlineStr">
        <is>
          <t>STOCKHOLMS LÄN</t>
        </is>
      </c>
      <c r="E1851" t="inlineStr">
        <is>
          <t>NYKVARN</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9654-2022</t>
        </is>
      </c>
      <c r="B1852" s="1" t="n">
        <v>44617</v>
      </c>
      <c r="C1852" s="1" t="n">
        <v>45186</v>
      </c>
      <c r="D1852" t="inlineStr">
        <is>
          <t>STOCKHOLMS LÄN</t>
        </is>
      </c>
      <c r="E1852" t="inlineStr">
        <is>
          <t>NORRTÄLJE</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9748-2022</t>
        </is>
      </c>
      <c r="B1853" s="1" t="n">
        <v>44618</v>
      </c>
      <c r="C1853" s="1" t="n">
        <v>45186</v>
      </c>
      <c r="D1853" t="inlineStr">
        <is>
          <t>STOCKHOLMS LÄN</t>
        </is>
      </c>
      <c r="E1853" t="inlineStr">
        <is>
          <t>VALLENTUNA</t>
        </is>
      </c>
      <c r="G1853" t="n">
        <v>11.6</v>
      </c>
      <c r="H1853" t="n">
        <v>0</v>
      </c>
      <c r="I1853" t="n">
        <v>0</v>
      </c>
      <c r="J1853" t="n">
        <v>0</v>
      </c>
      <c r="K1853" t="n">
        <v>0</v>
      </c>
      <c r="L1853" t="n">
        <v>0</v>
      </c>
      <c r="M1853" t="n">
        <v>0</v>
      </c>
      <c r="N1853" t="n">
        <v>0</v>
      </c>
      <c r="O1853" t="n">
        <v>0</v>
      </c>
      <c r="P1853" t="n">
        <v>0</v>
      </c>
      <c r="Q1853" t="n">
        <v>0</v>
      </c>
      <c r="R1853" s="2" t="inlineStr"/>
    </row>
    <row r="1854" ht="15" customHeight="1">
      <c r="A1854" t="inlineStr">
        <is>
          <t>A 9745-2022</t>
        </is>
      </c>
      <c r="B1854" s="1" t="n">
        <v>44618</v>
      </c>
      <c r="C1854" s="1" t="n">
        <v>45186</v>
      </c>
      <c r="D1854" t="inlineStr">
        <is>
          <t>STOCKHOLMS LÄN</t>
        </is>
      </c>
      <c r="E1854" t="inlineStr">
        <is>
          <t>VALLENTUNA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9767-2022</t>
        </is>
      </c>
      <c r="B1855" s="1" t="n">
        <v>44619</v>
      </c>
      <c r="C1855" s="1" t="n">
        <v>45186</v>
      </c>
      <c r="D1855" t="inlineStr">
        <is>
          <t>STOCKHOLMS LÄN</t>
        </is>
      </c>
      <c r="E1855" t="inlineStr">
        <is>
          <t>SIGTUNA</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9964-2022</t>
        </is>
      </c>
      <c r="B1856" s="1" t="n">
        <v>44621</v>
      </c>
      <c r="C1856" s="1" t="n">
        <v>45186</v>
      </c>
      <c r="D1856" t="inlineStr">
        <is>
          <t>STOCKHOLMS LÄN</t>
        </is>
      </c>
      <c r="E1856" t="inlineStr">
        <is>
          <t>NYNÄSHAMN</t>
        </is>
      </c>
      <c r="G1856" t="n">
        <v>4.3</v>
      </c>
      <c r="H1856" t="n">
        <v>0</v>
      </c>
      <c r="I1856" t="n">
        <v>0</v>
      </c>
      <c r="J1856" t="n">
        <v>0</v>
      </c>
      <c r="K1856" t="n">
        <v>0</v>
      </c>
      <c r="L1856" t="n">
        <v>0</v>
      </c>
      <c r="M1856" t="n">
        <v>0</v>
      </c>
      <c r="N1856" t="n">
        <v>0</v>
      </c>
      <c r="O1856" t="n">
        <v>0</v>
      </c>
      <c r="P1856" t="n">
        <v>0</v>
      </c>
      <c r="Q1856" t="n">
        <v>0</v>
      </c>
      <c r="R1856" s="2" t="inlineStr"/>
    </row>
    <row r="1857" ht="15" customHeight="1">
      <c r="A1857" t="inlineStr">
        <is>
          <t>A 10098-2022</t>
        </is>
      </c>
      <c r="B1857" s="1" t="n">
        <v>44621</v>
      </c>
      <c r="C1857" s="1" t="n">
        <v>45186</v>
      </c>
      <c r="D1857" t="inlineStr">
        <is>
          <t>STOCKHOLMS LÄN</t>
        </is>
      </c>
      <c r="E1857" t="inlineStr">
        <is>
          <t>NORRTÄLJE</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10059-2022</t>
        </is>
      </c>
      <c r="B1858" s="1" t="n">
        <v>44621</v>
      </c>
      <c r="C1858" s="1" t="n">
        <v>45186</v>
      </c>
      <c r="D1858" t="inlineStr">
        <is>
          <t>STOCKHOLMS LÄN</t>
        </is>
      </c>
      <c r="E1858" t="inlineStr">
        <is>
          <t>NYNÄSHAMN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10082-2022</t>
        </is>
      </c>
      <c r="B1859" s="1" t="n">
        <v>44621</v>
      </c>
      <c r="C1859" s="1" t="n">
        <v>45186</v>
      </c>
      <c r="D1859" t="inlineStr">
        <is>
          <t>STOCKHOLMS LÄN</t>
        </is>
      </c>
      <c r="E1859" t="inlineStr">
        <is>
          <t>ÖSTERÅKER</t>
        </is>
      </c>
      <c r="G1859" t="n">
        <v>6</v>
      </c>
      <c r="H1859" t="n">
        <v>0</v>
      </c>
      <c r="I1859" t="n">
        <v>0</v>
      </c>
      <c r="J1859" t="n">
        <v>0</v>
      </c>
      <c r="K1859" t="n">
        <v>0</v>
      </c>
      <c r="L1859" t="n">
        <v>0</v>
      </c>
      <c r="M1859" t="n">
        <v>0</v>
      </c>
      <c r="N1859" t="n">
        <v>0</v>
      </c>
      <c r="O1859" t="n">
        <v>0</v>
      </c>
      <c r="P1859" t="n">
        <v>0</v>
      </c>
      <c r="Q1859" t="n">
        <v>0</v>
      </c>
      <c r="R1859" s="2" t="inlineStr"/>
    </row>
    <row r="1860" ht="15" customHeight="1">
      <c r="A1860" t="inlineStr">
        <is>
          <t>A 9988-2022</t>
        </is>
      </c>
      <c r="B1860" s="1" t="n">
        <v>44621</v>
      </c>
      <c r="C1860" s="1" t="n">
        <v>45186</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10090-2022</t>
        </is>
      </c>
      <c r="B1861" s="1" t="n">
        <v>44621</v>
      </c>
      <c r="C1861" s="1" t="n">
        <v>45186</v>
      </c>
      <c r="D1861" t="inlineStr">
        <is>
          <t>STOCKHOLMS LÄN</t>
        </is>
      </c>
      <c r="E1861" t="inlineStr">
        <is>
          <t>NORRTÄLJE</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10521-2022</t>
        </is>
      </c>
      <c r="B1862" s="1" t="n">
        <v>44623</v>
      </c>
      <c r="C1862" s="1" t="n">
        <v>45186</v>
      </c>
      <c r="D1862" t="inlineStr">
        <is>
          <t>STOCKHOLMS LÄN</t>
        </is>
      </c>
      <c r="E1862" t="inlineStr">
        <is>
          <t>NORRTÄLJE</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10711-2022</t>
        </is>
      </c>
      <c r="B1863" s="1" t="n">
        <v>44626</v>
      </c>
      <c r="C1863" s="1" t="n">
        <v>45186</v>
      </c>
      <c r="D1863" t="inlineStr">
        <is>
          <t>STOCKHOLMS LÄN</t>
        </is>
      </c>
      <c r="E1863" t="inlineStr">
        <is>
          <t>NORRTÄLJE</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10710-2022</t>
        </is>
      </c>
      <c r="B1864" s="1" t="n">
        <v>44626</v>
      </c>
      <c r="C1864" s="1" t="n">
        <v>45186</v>
      </c>
      <c r="D1864" t="inlineStr">
        <is>
          <t>STOCKHOLMS LÄN</t>
        </is>
      </c>
      <c r="E1864" t="inlineStr">
        <is>
          <t>NORRTÄLJE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11095-2022</t>
        </is>
      </c>
      <c r="B1865" s="1" t="n">
        <v>44628</v>
      </c>
      <c r="C1865" s="1" t="n">
        <v>45186</v>
      </c>
      <c r="D1865" t="inlineStr">
        <is>
          <t>STOCKHOLMS LÄN</t>
        </is>
      </c>
      <c r="E1865" t="inlineStr">
        <is>
          <t>BOTKYRKA</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11150-2022</t>
        </is>
      </c>
      <c r="B1866" s="1" t="n">
        <v>44629</v>
      </c>
      <c r="C1866" s="1" t="n">
        <v>45186</v>
      </c>
      <c r="D1866" t="inlineStr">
        <is>
          <t>STOCKHOLMS LÄN</t>
        </is>
      </c>
      <c r="E1866" t="inlineStr">
        <is>
          <t>NORRTÄLJE</t>
        </is>
      </c>
      <c r="F1866" t="inlineStr">
        <is>
          <t>Övriga Aktiebolag</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11229-2022</t>
        </is>
      </c>
      <c r="B1867" s="1" t="n">
        <v>44629</v>
      </c>
      <c r="C1867" s="1" t="n">
        <v>45186</v>
      </c>
      <c r="D1867" t="inlineStr">
        <is>
          <t>STOCKHOLMS LÄN</t>
        </is>
      </c>
      <c r="E1867" t="inlineStr">
        <is>
          <t>NORRTÄLJE</t>
        </is>
      </c>
      <c r="F1867" t="inlineStr">
        <is>
          <t>Övriga Aktiebolag</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11393-2022</t>
        </is>
      </c>
      <c r="B1868" s="1" t="n">
        <v>44630</v>
      </c>
      <c r="C1868" s="1" t="n">
        <v>45186</v>
      </c>
      <c r="D1868" t="inlineStr">
        <is>
          <t>STOCKHOLMS LÄN</t>
        </is>
      </c>
      <c r="E1868" t="inlineStr">
        <is>
          <t>NYKVARN</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11533-2022</t>
        </is>
      </c>
      <c r="B1869" s="1" t="n">
        <v>44631</v>
      </c>
      <c r="C1869" s="1" t="n">
        <v>45186</v>
      </c>
      <c r="D1869" t="inlineStr">
        <is>
          <t>STOCKHOLMS LÄN</t>
        </is>
      </c>
      <c r="E1869" t="inlineStr">
        <is>
          <t>NORRTÄLJE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11821-2022</t>
        </is>
      </c>
      <c r="B1870" s="1" t="n">
        <v>44634</v>
      </c>
      <c r="C1870" s="1" t="n">
        <v>45186</v>
      </c>
      <c r="D1870" t="inlineStr">
        <is>
          <t>STOCKHOLMS LÄN</t>
        </is>
      </c>
      <c r="E1870" t="inlineStr">
        <is>
          <t>NORRTÄLJE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11764-2022</t>
        </is>
      </c>
      <c r="B1871" s="1" t="n">
        <v>44634</v>
      </c>
      <c r="C1871" s="1" t="n">
        <v>45186</v>
      </c>
      <c r="D1871" t="inlineStr">
        <is>
          <t>STOCKHOLMS LÄN</t>
        </is>
      </c>
      <c r="E1871" t="inlineStr">
        <is>
          <t>BOTKYRKA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11900-2022</t>
        </is>
      </c>
      <c r="B1872" s="1" t="n">
        <v>44635</v>
      </c>
      <c r="C1872" s="1" t="n">
        <v>45186</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11996-2022</t>
        </is>
      </c>
      <c r="B1873" s="1" t="n">
        <v>44635</v>
      </c>
      <c r="C1873" s="1" t="n">
        <v>45186</v>
      </c>
      <c r="D1873" t="inlineStr">
        <is>
          <t>STOCKHOLMS LÄN</t>
        </is>
      </c>
      <c r="E1873" t="inlineStr">
        <is>
          <t>NYKVARN</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12270-2022</t>
        </is>
      </c>
      <c r="B1874" s="1" t="n">
        <v>44637</v>
      </c>
      <c r="C1874" s="1" t="n">
        <v>45186</v>
      </c>
      <c r="D1874" t="inlineStr">
        <is>
          <t>STOCKHOLMS LÄN</t>
        </is>
      </c>
      <c r="E1874" t="inlineStr">
        <is>
          <t>NORRTÄLJE</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12355-2022</t>
        </is>
      </c>
      <c r="B1875" s="1" t="n">
        <v>44637</v>
      </c>
      <c r="C1875" s="1" t="n">
        <v>45186</v>
      </c>
      <c r="D1875" t="inlineStr">
        <is>
          <t>STOCKHOLMS LÄN</t>
        </is>
      </c>
      <c r="E1875" t="inlineStr">
        <is>
          <t>NORRTÄLJE</t>
        </is>
      </c>
      <c r="G1875" t="n">
        <v>10.4</v>
      </c>
      <c r="H1875" t="n">
        <v>0</v>
      </c>
      <c r="I1875" t="n">
        <v>0</v>
      </c>
      <c r="J1875" t="n">
        <v>0</v>
      </c>
      <c r="K1875" t="n">
        <v>0</v>
      </c>
      <c r="L1875" t="n">
        <v>0</v>
      </c>
      <c r="M1875" t="n">
        <v>0</v>
      </c>
      <c r="N1875" t="n">
        <v>0</v>
      </c>
      <c r="O1875" t="n">
        <v>0</v>
      </c>
      <c r="P1875" t="n">
        <v>0</v>
      </c>
      <c r="Q1875" t="n">
        <v>0</v>
      </c>
      <c r="R1875" s="2" t="inlineStr"/>
    </row>
    <row r="1876" ht="15" customHeight="1">
      <c r="A1876" t="inlineStr">
        <is>
          <t>A 12234-2022</t>
        </is>
      </c>
      <c r="B1876" s="1" t="n">
        <v>44637</v>
      </c>
      <c r="C1876" s="1" t="n">
        <v>45186</v>
      </c>
      <c r="D1876" t="inlineStr">
        <is>
          <t>STOCKHOLMS LÄN</t>
        </is>
      </c>
      <c r="E1876" t="inlineStr">
        <is>
          <t>VALLENTUNA</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12357-2022</t>
        </is>
      </c>
      <c r="B1877" s="1" t="n">
        <v>44637</v>
      </c>
      <c r="C1877" s="1" t="n">
        <v>45186</v>
      </c>
      <c r="D1877" t="inlineStr">
        <is>
          <t>STOCKHOLMS LÄN</t>
        </is>
      </c>
      <c r="E1877" t="inlineStr">
        <is>
          <t>NORRTÄLJE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12314-2022</t>
        </is>
      </c>
      <c r="B1878" s="1" t="n">
        <v>44637</v>
      </c>
      <c r="C1878" s="1" t="n">
        <v>45186</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62765-2022</t>
        </is>
      </c>
      <c r="B1879" s="1" t="n">
        <v>44637</v>
      </c>
      <c r="C1879" s="1" t="n">
        <v>45186</v>
      </c>
      <c r="D1879" t="inlineStr">
        <is>
          <t>STOCKHOLMS LÄN</t>
        </is>
      </c>
      <c r="E1879" t="inlineStr">
        <is>
          <t>NORRTÄLJE</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12268-2022</t>
        </is>
      </c>
      <c r="B1880" s="1" t="n">
        <v>44637</v>
      </c>
      <c r="C1880" s="1" t="n">
        <v>45186</v>
      </c>
      <c r="D1880" t="inlineStr">
        <is>
          <t>STOCKHOLMS LÄN</t>
        </is>
      </c>
      <c r="E1880" t="inlineStr">
        <is>
          <t>NORRTÄLJE</t>
        </is>
      </c>
      <c r="F1880" t="inlineStr">
        <is>
          <t>Sveaskog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12578-2022</t>
        </is>
      </c>
      <c r="B1881" s="1" t="n">
        <v>44638</v>
      </c>
      <c r="C1881" s="1" t="n">
        <v>45186</v>
      </c>
      <c r="D1881" t="inlineStr">
        <is>
          <t>STOCKHOLMS LÄN</t>
        </is>
      </c>
      <c r="E1881" t="inlineStr">
        <is>
          <t>NYKVARN</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12691-2022</t>
        </is>
      </c>
      <c r="B1882" s="1" t="n">
        <v>44641</v>
      </c>
      <c r="C1882" s="1" t="n">
        <v>45186</v>
      </c>
      <c r="D1882" t="inlineStr">
        <is>
          <t>STOCKHOLMS LÄN</t>
        </is>
      </c>
      <c r="E1882" t="inlineStr">
        <is>
          <t>SÖDERTÄLJE</t>
        </is>
      </c>
      <c r="F1882" t="inlineStr">
        <is>
          <t>Övriga Aktiebolag</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12816-2022</t>
        </is>
      </c>
      <c r="B1883" s="1" t="n">
        <v>44642</v>
      </c>
      <c r="C1883" s="1" t="n">
        <v>45186</v>
      </c>
      <c r="D1883" t="inlineStr">
        <is>
          <t>STOCKHOLMS LÄN</t>
        </is>
      </c>
      <c r="E1883" t="inlineStr">
        <is>
          <t>NORRTÄLJE</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12931-2022</t>
        </is>
      </c>
      <c r="B1884" s="1" t="n">
        <v>44642</v>
      </c>
      <c r="C1884" s="1" t="n">
        <v>45186</v>
      </c>
      <c r="D1884" t="inlineStr">
        <is>
          <t>STOCKHOLMS LÄN</t>
        </is>
      </c>
      <c r="E1884" t="inlineStr">
        <is>
          <t>SIGTUNA</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12900-2022</t>
        </is>
      </c>
      <c r="B1885" s="1" t="n">
        <v>44642</v>
      </c>
      <c r="C1885" s="1" t="n">
        <v>45186</v>
      </c>
      <c r="D1885" t="inlineStr">
        <is>
          <t>STOCKHOLMS LÄN</t>
        </is>
      </c>
      <c r="E1885" t="inlineStr">
        <is>
          <t>SIGTUNA</t>
        </is>
      </c>
      <c r="G1885" t="n">
        <v>5.6</v>
      </c>
      <c r="H1885" t="n">
        <v>0</v>
      </c>
      <c r="I1885" t="n">
        <v>0</v>
      </c>
      <c r="J1885" t="n">
        <v>0</v>
      </c>
      <c r="K1885" t="n">
        <v>0</v>
      </c>
      <c r="L1885" t="n">
        <v>0</v>
      </c>
      <c r="M1885" t="n">
        <v>0</v>
      </c>
      <c r="N1885" t="n">
        <v>0</v>
      </c>
      <c r="O1885" t="n">
        <v>0</v>
      </c>
      <c r="P1885" t="n">
        <v>0</v>
      </c>
      <c r="Q1885" t="n">
        <v>0</v>
      </c>
      <c r="R1885" s="2" t="inlineStr"/>
      <c r="U1885">
        <f>HYPERLINK("https://klasma.github.io/Logging_SIGTUNA/knärot/A 12900-2022.png", "A 12900-2022")</f>
        <v/>
      </c>
      <c r="V1885">
        <f>HYPERLINK("https://klasma.github.io/Logging_SIGTUNA/klagomål/A 12900-2022.docx", "A 12900-2022")</f>
        <v/>
      </c>
      <c r="W1885">
        <f>HYPERLINK("https://klasma.github.io/Logging_SIGTUNA/klagomålsmail/A 12900-2022.docx", "A 12900-2022")</f>
        <v/>
      </c>
      <c r="X1885">
        <f>HYPERLINK("https://klasma.github.io/Logging_SIGTUNA/tillsyn/A 12900-2022.docx", "A 12900-2022")</f>
        <v/>
      </c>
      <c r="Y1885">
        <f>HYPERLINK("https://klasma.github.io/Logging_SIGTUNA/tillsynsmail/A 12900-2022.docx", "A 12900-2022")</f>
        <v/>
      </c>
    </row>
    <row r="1886" ht="15" customHeight="1">
      <c r="A1886" t="inlineStr">
        <is>
          <t>A 12877-2022</t>
        </is>
      </c>
      <c r="B1886" s="1" t="n">
        <v>44642</v>
      </c>
      <c r="C1886" s="1" t="n">
        <v>45186</v>
      </c>
      <c r="D1886" t="inlineStr">
        <is>
          <t>STOCKHOLMS LÄN</t>
        </is>
      </c>
      <c r="E1886" t="inlineStr">
        <is>
          <t>NORRTÄLJE</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13137-2022</t>
        </is>
      </c>
      <c r="B1887" s="1" t="n">
        <v>44643</v>
      </c>
      <c r="C1887" s="1" t="n">
        <v>45186</v>
      </c>
      <c r="D1887" t="inlineStr">
        <is>
          <t>STOCKHOLMS LÄN</t>
        </is>
      </c>
      <c r="E1887" t="inlineStr">
        <is>
          <t>HANINGE</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13053-2022</t>
        </is>
      </c>
      <c r="B1888" s="1" t="n">
        <v>44643</v>
      </c>
      <c r="C1888" s="1" t="n">
        <v>45186</v>
      </c>
      <c r="D1888" t="inlineStr">
        <is>
          <t>STOCKHOLMS LÄN</t>
        </is>
      </c>
      <c r="E1888" t="inlineStr">
        <is>
          <t>NORRTÄLJE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13077-2022</t>
        </is>
      </c>
      <c r="B1889" s="1" t="n">
        <v>44643</v>
      </c>
      <c r="C1889" s="1" t="n">
        <v>45186</v>
      </c>
      <c r="D1889" t="inlineStr">
        <is>
          <t>STOCKHOLMS LÄN</t>
        </is>
      </c>
      <c r="E1889" t="inlineStr">
        <is>
          <t>NORRTÄLJE</t>
        </is>
      </c>
      <c r="G1889" t="n">
        <v>8.199999999999999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13089-2022</t>
        </is>
      </c>
      <c r="B1890" s="1" t="n">
        <v>44643</v>
      </c>
      <c r="C1890" s="1" t="n">
        <v>45186</v>
      </c>
      <c r="D1890" t="inlineStr">
        <is>
          <t>STOCKHOLMS LÄN</t>
        </is>
      </c>
      <c r="E1890" t="inlineStr">
        <is>
          <t>NORRTÄLJE</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13135-2022</t>
        </is>
      </c>
      <c r="B1891" s="1" t="n">
        <v>44643</v>
      </c>
      <c r="C1891" s="1" t="n">
        <v>45186</v>
      </c>
      <c r="D1891" t="inlineStr">
        <is>
          <t>STOCKHOLMS LÄN</t>
        </is>
      </c>
      <c r="E1891" t="inlineStr">
        <is>
          <t>HANINGE</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13106-2022</t>
        </is>
      </c>
      <c r="B1892" s="1" t="n">
        <v>44644</v>
      </c>
      <c r="C1892" s="1" t="n">
        <v>45186</v>
      </c>
      <c r="D1892" t="inlineStr">
        <is>
          <t>STOCKHOLMS LÄN</t>
        </is>
      </c>
      <c r="E1892" t="inlineStr">
        <is>
          <t>NORRTÄLJE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13278-2022</t>
        </is>
      </c>
      <c r="B1893" s="1" t="n">
        <v>44644</v>
      </c>
      <c r="C1893" s="1" t="n">
        <v>45186</v>
      </c>
      <c r="D1893" t="inlineStr">
        <is>
          <t>STOCKHOLMS LÄN</t>
        </is>
      </c>
      <c r="E1893" t="inlineStr">
        <is>
          <t>NORRTÄLJE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13276-2022</t>
        </is>
      </c>
      <c r="B1894" s="1" t="n">
        <v>44644</v>
      </c>
      <c r="C1894" s="1" t="n">
        <v>45186</v>
      </c>
      <c r="D1894" t="inlineStr">
        <is>
          <t>STOCKHOLMS LÄN</t>
        </is>
      </c>
      <c r="E1894" t="inlineStr">
        <is>
          <t>NORRTÄLJE</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13395-2022</t>
        </is>
      </c>
      <c r="B1895" s="1" t="n">
        <v>44645</v>
      </c>
      <c r="C1895" s="1" t="n">
        <v>45186</v>
      </c>
      <c r="D1895" t="inlineStr">
        <is>
          <t>STOCKHOLMS LÄN</t>
        </is>
      </c>
      <c r="E1895" t="inlineStr">
        <is>
          <t>NORRTÄLJE</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13701-2022</t>
        </is>
      </c>
      <c r="B1896" s="1" t="n">
        <v>44648</v>
      </c>
      <c r="C1896" s="1" t="n">
        <v>45186</v>
      </c>
      <c r="D1896" t="inlineStr">
        <is>
          <t>STOCKHOLMS LÄN</t>
        </is>
      </c>
      <c r="E1896" t="inlineStr">
        <is>
          <t>NORRTÄLJE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13718-2022</t>
        </is>
      </c>
      <c r="B1897" s="1" t="n">
        <v>44649</v>
      </c>
      <c r="C1897" s="1" t="n">
        <v>45186</v>
      </c>
      <c r="D1897" t="inlineStr">
        <is>
          <t>STOCKHOLMS LÄN</t>
        </is>
      </c>
      <c r="E1897" t="inlineStr">
        <is>
          <t>NORRTÄLJE</t>
        </is>
      </c>
      <c r="G1897" t="n">
        <v>8.800000000000001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13836-2022</t>
        </is>
      </c>
      <c r="B1898" s="1" t="n">
        <v>44649</v>
      </c>
      <c r="C1898" s="1" t="n">
        <v>45186</v>
      </c>
      <c r="D1898" t="inlineStr">
        <is>
          <t>STOCKHOLMS LÄN</t>
        </is>
      </c>
      <c r="E1898" t="inlineStr">
        <is>
          <t>VALLENTUNA</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14725-2022</t>
        </is>
      </c>
      <c r="B1899" s="1" t="n">
        <v>44655</v>
      </c>
      <c r="C1899" s="1" t="n">
        <v>45186</v>
      </c>
      <c r="D1899" t="inlineStr">
        <is>
          <t>STOCKHOLMS LÄN</t>
        </is>
      </c>
      <c r="E1899" t="inlineStr">
        <is>
          <t>VALLENTUNA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14719-2022</t>
        </is>
      </c>
      <c r="B1900" s="1" t="n">
        <v>44655</v>
      </c>
      <c r="C1900" s="1" t="n">
        <v>45186</v>
      </c>
      <c r="D1900" t="inlineStr">
        <is>
          <t>STOCKHOLMS LÄN</t>
        </is>
      </c>
      <c r="E1900" t="inlineStr">
        <is>
          <t>UPPLANDS-BRO</t>
        </is>
      </c>
      <c r="F1900" t="inlineStr">
        <is>
          <t>Allmännings- och besparingsskogar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14724-2022</t>
        </is>
      </c>
      <c r="B1901" s="1" t="n">
        <v>44656</v>
      </c>
      <c r="C1901" s="1" t="n">
        <v>45186</v>
      </c>
      <c r="D1901" t="inlineStr">
        <is>
          <t>STOCKHOLMS LÄN</t>
        </is>
      </c>
      <c r="E1901" t="inlineStr">
        <is>
          <t>NORRTÄLJE</t>
        </is>
      </c>
      <c r="F1901" t="inlineStr">
        <is>
          <t>Sveaskog</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14869-2022</t>
        </is>
      </c>
      <c r="B1902" s="1" t="n">
        <v>44656</v>
      </c>
      <c r="C1902" s="1" t="n">
        <v>45186</v>
      </c>
      <c r="D1902" t="inlineStr">
        <is>
          <t>STOCKHOLMS LÄN</t>
        </is>
      </c>
      <c r="E1902" t="inlineStr">
        <is>
          <t>NORRTÄLJE</t>
        </is>
      </c>
      <c r="F1902" t="inlineStr">
        <is>
          <t>Holmen skog AB</t>
        </is>
      </c>
      <c r="G1902" t="n">
        <v>9.1</v>
      </c>
      <c r="H1902" t="n">
        <v>0</v>
      </c>
      <c r="I1902" t="n">
        <v>0</v>
      </c>
      <c r="J1902" t="n">
        <v>0</v>
      </c>
      <c r="K1902" t="n">
        <v>0</v>
      </c>
      <c r="L1902" t="n">
        <v>0</v>
      </c>
      <c r="M1902" t="n">
        <v>0</v>
      </c>
      <c r="N1902" t="n">
        <v>0</v>
      </c>
      <c r="O1902" t="n">
        <v>0</v>
      </c>
      <c r="P1902" t="n">
        <v>0</v>
      </c>
      <c r="Q1902" t="n">
        <v>0</v>
      </c>
      <c r="R1902" s="2" t="inlineStr"/>
    </row>
    <row r="1903" ht="15" customHeight="1">
      <c r="A1903" t="inlineStr">
        <is>
          <t>A 14716-2022</t>
        </is>
      </c>
      <c r="B1903" s="1" t="n">
        <v>44656</v>
      </c>
      <c r="C1903" s="1" t="n">
        <v>45186</v>
      </c>
      <c r="D1903" t="inlineStr">
        <is>
          <t>STOCKHOLMS LÄN</t>
        </is>
      </c>
      <c r="E1903" t="inlineStr">
        <is>
          <t>NORRTÄLJE</t>
        </is>
      </c>
      <c r="F1903" t="inlineStr">
        <is>
          <t>Sveaskog</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15225-2022</t>
        </is>
      </c>
      <c r="B1904" s="1" t="n">
        <v>44658</v>
      </c>
      <c r="C1904" s="1" t="n">
        <v>45186</v>
      </c>
      <c r="D1904" t="inlineStr">
        <is>
          <t>STOCKHOLMS LÄN</t>
        </is>
      </c>
      <c r="E1904" t="inlineStr">
        <is>
          <t>NORRTÄLJE</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15226-2022</t>
        </is>
      </c>
      <c r="B1905" s="1" t="n">
        <v>44658</v>
      </c>
      <c r="C1905" s="1" t="n">
        <v>45186</v>
      </c>
      <c r="D1905" t="inlineStr">
        <is>
          <t>STOCKHOLMS LÄN</t>
        </is>
      </c>
      <c r="E1905" t="inlineStr">
        <is>
          <t>NORRTÄLJE</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15131-2022</t>
        </is>
      </c>
      <c r="B1906" s="1" t="n">
        <v>44658</v>
      </c>
      <c r="C1906" s="1" t="n">
        <v>45186</v>
      </c>
      <c r="D1906" t="inlineStr">
        <is>
          <t>STOCKHOLMS LÄN</t>
        </is>
      </c>
      <c r="E1906" t="inlineStr">
        <is>
          <t>ÖSTERÅKER</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15630-2022</t>
        </is>
      </c>
      <c r="B1907" s="1" t="n">
        <v>44662</v>
      </c>
      <c r="C1907" s="1" t="n">
        <v>45186</v>
      </c>
      <c r="D1907" t="inlineStr">
        <is>
          <t>STOCKHOLMS LÄN</t>
        </is>
      </c>
      <c r="E1907" t="inlineStr">
        <is>
          <t>EKERÖ</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15825-2022</t>
        </is>
      </c>
      <c r="B1908" s="1" t="n">
        <v>44664</v>
      </c>
      <c r="C1908" s="1" t="n">
        <v>45186</v>
      </c>
      <c r="D1908" t="inlineStr">
        <is>
          <t>STOCKHOLMS LÄN</t>
        </is>
      </c>
      <c r="E1908" t="inlineStr">
        <is>
          <t>BOTKYRKA</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15905-2022</t>
        </is>
      </c>
      <c r="B1909" s="1" t="n">
        <v>44664</v>
      </c>
      <c r="C1909" s="1" t="n">
        <v>45186</v>
      </c>
      <c r="D1909" t="inlineStr">
        <is>
          <t>STOCKHOLMS LÄN</t>
        </is>
      </c>
      <c r="E1909" t="inlineStr">
        <is>
          <t>BOTKYRKA</t>
        </is>
      </c>
      <c r="G1909" t="n">
        <v>11.2</v>
      </c>
      <c r="H1909" t="n">
        <v>0</v>
      </c>
      <c r="I1909" t="n">
        <v>0</v>
      </c>
      <c r="J1909" t="n">
        <v>0</v>
      </c>
      <c r="K1909" t="n">
        <v>0</v>
      </c>
      <c r="L1909" t="n">
        <v>0</v>
      </c>
      <c r="M1909" t="n">
        <v>0</v>
      </c>
      <c r="N1909" t="n">
        <v>0</v>
      </c>
      <c r="O1909" t="n">
        <v>0</v>
      </c>
      <c r="P1909" t="n">
        <v>0</v>
      </c>
      <c r="Q1909" t="n">
        <v>0</v>
      </c>
      <c r="R1909" s="2" t="inlineStr"/>
    </row>
    <row r="1910" ht="15" customHeight="1">
      <c r="A1910" t="inlineStr">
        <is>
          <t>A 15861-2022</t>
        </is>
      </c>
      <c r="B1910" s="1" t="n">
        <v>44664</v>
      </c>
      <c r="C1910" s="1" t="n">
        <v>45186</v>
      </c>
      <c r="D1910" t="inlineStr">
        <is>
          <t>STOCKHOLMS LÄN</t>
        </is>
      </c>
      <c r="E1910" t="inlineStr">
        <is>
          <t>NORRTÄLJE</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16242-2022</t>
        </is>
      </c>
      <c r="B1911" s="1" t="n">
        <v>44670</v>
      </c>
      <c r="C1911" s="1" t="n">
        <v>45186</v>
      </c>
      <c r="D1911" t="inlineStr">
        <is>
          <t>STOCKHOLMS LÄN</t>
        </is>
      </c>
      <c r="E1911" t="inlineStr">
        <is>
          <t>EKERÖ</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16202-2022</t>
        </is>
      </c>
      <c r="B1912" s="1" t="n">
        <v>44670</v>
      </c>
      <c r="C1912" s="1" t="n">
        <v>45186</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16224-2022</t>
        </is>
      </c>
      <c r="B1913" s="1" t="n">
        <v>44670</v>
      </c>
      <c r="C1913" s="1" t="n">
        <v>45186</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16433-2022</t>
        </is>
      </c>
      <c r="B1914" s="1" t="n">
        <v>44671</v>
      </c>
      <c r="C1914" s="1" t="n">
        <v>45186</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16437-2022</t>
        </is>
      </c>
      <c r="B1915" s="1" t="n">
        <v>44671</v>
      </c>
      <c r="C1915" s="1" t="n">
        <v>45186</v>
      </c>
      <c r="D1915" t="inlineStr">
        <is>
          <t>STOCKHOLMS LÄN</t>
        </is>
      </c>
      <c r="E1915" t="inlineStr">
        <is>
          <t>SÖDERTÄLJE</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16442-2022</t>
        </is>
      </c>
      <c r="B1916" s="1" t="n">
        <v>44671</v>
      </c>
      <c r="C1916" s="1" t="n">
        <v>45186</v>
      </c>
      <c r="D1916" t="inlineStr">
        <is>
          <t>STOCKHOLMS LÄN</t>
        </is>
      </c>
      <c r="E1916" t="inlineStr">
        <is>
          <t>NORRTÄLJE</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16534-2022</t>
        </is>
      </c>
      <c r="B1917" s="1" t="n">
        <v>44672</v>
      </c>
      <c r="C1917" s="1" t="n">
        <v>45186</v>
      </c>
      <c r="D1917" t="inlineStr">
        <is>
          <t>STOCKHOLMS LÄN</t>
        </is>
      </c>
      <c r="E1917" t="inlineStr">
        <is>
          <t>NORRTÄLJE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16835-2022</t>
        </is>
      </c>
      <c r="B1918" s="1" t="n">
        <v>44673</v>
      </c>
      <c r="C1918" s="1" t="n">
        <v>45186</v>
      </c>
      <c r="D1918" t="inlineStr">
        <is>
          <t>STOCKHOLMS LÄN</t>
        </is>
      </c>
      <c r="E1918" t="inlineStr">
        <is>
          <t>NORRTÄLJE</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16724-2022</t>
        </is>
      </c>
      <c r="B1919" s="1" t="n">
        <v>44673</v>
      </c>
      <c r="C1919" s="1" t="n">
        <v>45186</v>
      </c>
      <c r="D1919" t="inlineStr">
        <is>
          <t>STOCKHOLMS LÄN</t>
        </is>
      </c>
      <c r="E1919" t="inlineStr">
        <is>
          <t>SÖDERTÄLJE</t>
        </is>
      </c>
      <c r="F1919" t="inlineStr">
        <is>
          <t>Övriga statliga verk och myndigheter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16738-2022</t>
        </is>
      </c>
      <c r="B1920" s="1" t="n">
        <v>44673</v>
      </c>
      <c r="C1920" s="1" t="n">
        <v>45186</v>
      </c>
      <c r="D1920" t="inlineStr">
        <is>
          <t>STOCKHOLMS LÄN</t>
        </is>
      </c>
      <c r="E1920" t="inlineStr">
        <is>
          <t>ÖSTERÅKER</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16789-2022</t>
        </is>
      </c>
      <c r="B1921" s="1" t="n">
        <v>44673</v>
      </c>
      <c r="C1921" s="1" t="n">
        <v>45186</v>
      </c>
      <c r="D1921" t="inlineStr">
        <is>
          <t>STOCKHOLMS LÄN</t>
        </is>
      </c>
      <c r="E1921" t="inlineStr">
        <is>
          <t>ÖSTERÅKER</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16803-2022</t>
        </is>
      </c>
      <c r="B1922" s="1" t="n">
        <v>44673</v>
      </c>
      <c r="C1922" s="1" t="n">
        <v>45186</v>
      </c>
      <c r="D1922" t="inlineStr">
        <is>
          <t>STOCKHOLMS LÄN</t>
        </is>
      </c>
      <c r="E1922" t="inlineStr">
        <is>
          <t>ÖSTERÅKER</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16728-2022</t>
        </is>
      </c>
      <c r="B1923" s="1" t="n">
        <v>44673</v>
      </c>
      <c r="C1923" s="1" t="n">
        <v>45186</v>
      </c>
      <c r="D1923" t="inlineStr">
        <is>
          <t>STOCKHOLMS LÄN</t>
        </is>
      </c>
      <c r="E1923" t="inlineStr">
        <is>
          <t>ÖSTERÅKER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17020-2022</t>
        </is>
      </c>
      <c r="B1924" s="1" t="n">
        <v>44676</v>
      </c>
      <c r="C1924" s="1" t="n">
        <v>45186</v>
      </c>
      <c r="D1924" t="inlineStr">
        <is>
          <t>STOCKHOLMS LÄN</t>
        </is>
      </c>
      <c r="E1924" t="inlineStr">
        <is>
          <t>HANINGE</t>
        </is>
      </c>
      <c r="F1924" t="inlineStr">
        <is>
          <t>Övriga statliga verk och myndigheter</t>
        </is>
      </c>
      <c r="G1924" t="n">
        <v>12.4</v>
      </c>
      <c r="H1924" t="n">
        <v>0</v>
      </c>
      <c r="I1924" t="n">
        <v>0</v>
      </c>
      <c r="J1924" t="n">
        <v>0</v>
      </c>
      <c r="K1924" t="n">
        <v>0</v>
      </c>
      <c r="L1924" t="n">
        <v>0</v>
      </c>
      <c r="M1924" t="n">
        <v>0</v>
      </c>
      <c r="N1924" t="n">
        <v>0</v>
      </c>
      <c r="O1924" t="n">
        <v>0</v>
      </c>
      <c r="P1924" t="n">
        <v>0</v>
      </c>
      <c r="Q1924" t="n">
        <v>0</v>
      </c>
      <c r="R1924" s="2" t="inlineStr"/>
    </row>
    <row r="1925" ht="15" customHeight="1">
      <c r="A1925" t="inlineStr">
        <is>
          <t>A 17023-2022</t>
        </is>
      </c>
      <c r="B1925" s="1" t="n">
        <v>44676</v>
      </c>
      <c r="C1925" s="1" t="n">
        <v>45186</v>
      </c>
      <c r="D1925" t="inlineStr">
        <is>
          <t>STOCKHOLMS LÄN</t>
        </is>
      </c>
      <c r="E1925" t="inlineStr">
        <is>
          <t>HANINGE</t>
        </is>
      </c>
      <c r="F1925" t="inlineStr">
        <is>
          <t>Övriga statliga verk och myndigheter</t>
        </is>
      </c>
      <c r="G1925" t="n">
        <v>11.4</v>
      </c>
      <c r="H1925" t="n">
        <v>0</v>
      </c>
      <c r="I1925" t="n">
        <v>0</v>
      </c>
      <c r="J1925" t="n">
        <v>0</v>
      </c>
      <c r="K1925" t="n">
        <v>0</v>
      </c>
      <c r="L1925" t="n">
        <v>0</v>
      </c>
      <c r="M1925" t="n">
        <v>0</v>
      </c>
      <c r="N1925" t="n">
        <v>0</v>
      </c>
      <c r="O1925" t="n">
        <v>0</v>
      </c>
      <c r="P1925" t="n">
        <v>0</v>
      </c>
      <c r="Q1925" t="n">
        <v>0</v>
      </c>
      <c r="R1925" s="2" t="inlineStr"/>
    </row>
    <row r="1926" ht="15" customHeight="1">
      <c r="A1926" t="inlineStr">
        <is>
          <t>A 17173-2022</t>
        </is>
      </c>
      <c r="B1926" s="1" t="n">
        <v>44677</v>
      </c>
      <c r="C1926" s="1" t="n">
        <v>45186</v>
      </c>
      <c r="D1926" t="inlineStr">
        <is>
          <t>STOCKHOLMS LÄN</t>
        </is>
      </c>
      <c r="E1926" t="inlineStr">
        <is>
          <t>ÖSTERÅKER</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17184-2022</t>
        </is>
      </c>
      <c r="B1927" s="1" t="n">
        <v>44677</v>
      </c>
      <c r="C1927" s="1" t="n">
        <v>45186</v>
      </c>
      <c r="D1927" t="inlineStr">
        <is>
          <t>STOCKHOLMS LÄN</t>
        </is>
      </c>
      <c r="E1927" t="inlineStr">
        <is>
          <t>ÖSTERÅKER</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17196-2022</t>
        </is>
      </c>
      <c r="B1928" s="1" t="n">
        <v>44677</v>
      </c>
      <c r="C1928" s="1" t="n">
        <v>45186</v>
      </c>
      <c r="D1928" t="inlineStr">
        <is>
          <t>STOCKHOLMS LÄN</t>
        </is>
      </c>
      <c r="E1928" t="inlineStr">
        <is>
          <t>ÖSTERÅKER</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17391-2022</t>
        </is>
      </c>
      <c r="B1929" s="1" t="n">
        <v>44678</v>
      </c>
      <c r="C1929" s="1" t="n">
        <v>45186</v>
      </c>
      <c r="D1929" t="inlineStr">
        <is>
          <t>STOCKHOLMS LÄN</t>
        </is>
      </c>
      <c r="E1929" t="inlineStr">
        <is>
          <t>NORRTÄLJE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17263-2022</t>
        </is>
      </c>
      <c r="B1930" s="1" t="n">
        <v>44678</v>
      </c>
      <c r="C1930" s="1" t="n">
        <v>45186</v>
      </c>
      <c r="D1930" t="inlineStr">
        <is>
          <t>STOCKHOLMS LÄN</t>
        </is>
      </c>
      <c r="E1930" t="inlineStr">
        <is>
          <t>ÖSTERÅKER</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17390-2022</t>
        </is>
      </c>
      <c r="B1931" s="1" t="n">
        <v>44678</v>
      </c>
      <c r="C1931" s="1" t="n">
        <v>45186</v>
      </c>
      <c r="D1931" t="inlineStr">
        <is>
          <t>STOCKHOLMS LÄN</t>
        </is>
      </c>
      <c r="E1931" t="inlineStr">
        <is>
          <t>NORRTÄLJE</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17286-2022</t>
        </is>
      </c>
      <c r="B1932" s="1" t="n">
        <v>44678</v>
      </c>
      <c r="C1932" s="1" t="n">
        <v>45186</v>
      </c>
      <c r="D1932" t="inlineStr">
        <is>
          <t>STOCKHOLMS LÄN</t>
        </is>
      </c>
      <c r="E1932" t="inlineStr">
        <is>
          <t>SIGTUNA</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17388-2022</t>
        </is>
      </c>
      <c r="B1933" s="1" t="n">
        <v>44678</v>
      </c>
      <c r="C1933" s="1" t="n">
        <v>45186</v>
      </c>
      <c r="D1933" t="inlineStr">
        <is>
          <t>STOCKHOLMS LÄN</t>
        </is>
      </c>
      <c r="E1933" t="inlineStr">
        <is>
          <t>NORRTÄLJE</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17789-2022</t>
        </is>
      </c>
      <c r="B1934" s="1" t="n">
        <v>44680</v>
      </c>
      <c r="C1934" s="1" t="n">
        <v>45186</v>
      </c>
      <c r="D1934" t="inlineStr">
        <is>
          <t>STOCKHOLMS LÄN</t>
        </is>
      </c>
      <c r="E1934" t="inlineStr">
        <is>
          <t>BOTKYRKA</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17612-2022</t>
        </is>
      </c>
      <c r="B1935" s="1" t="n">
        <v>44680</v>
      </c>
      <c r="C1935" s="1" t="n">
        <v>45186</v>
      </c>
      <c r="D1935" t="inlineStr">
        <is>
          <t>STOCKHOLMS LÄN</t>
        </is>
      </c>
      <c r="E1935" t="inlineStr">
        <is>
          <t>NORRTÄLJE</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17629-2022</t>
        </is>
      </c>
      <c r="B1936" s="1" t="n">
        <v>44680</v>
      </c>
      <c r="C1936" s="1" t="n">
        <v>45186</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17634-2022</t>
        </is>
      </c>
      <c r="B1937" s="1" t="n">
        <v>44680</v>
      </c>
      <c r="C1937" s="1" t="n">
        <v>45186</v>
      </c>
      <c r="D1937" t="inlineStr">
        <is>
          <t>STOCKHOLMS LÄN</t>
        </is>
      </c>
      <c r="E1937" t="inlineStr">
        <is>
          <t>NYNÄSHAMN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17803-2022</t>
        </is>
      </c>
      <c r="B1938" s="1" t="n">
        <v>44683</v>
      </c>
      <c r="C1938" s="1" t="n">
        <v>45186</v>
      </c>
      <c r="D1938" t="inlineStr">
        <is>
          <t>STOCKHOLMS LÄN</t>
        </is>
      </c>
      <c r="E1938" t="inlineStr">
        <is>
          <t>NORRTÄLJE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17952-2022</t>
        </is>
      </c>
      <c r="B1939" s="1" t="n">
        <v>44683</v>
      </c>
      <c r="C1939" s="1" t="n">
        <v>45186</v>
      </c>
      <c r="D1939" t="inlineStr">
        <is>
          <t>STOCKHOLMS LÄN</t>
        </is>
      </c>
      <c r="E1939" t="inlineStr">
        <is>
          <t>NORRTÄLJE</t>
        </is>
      </c>
      <c r="G1939" t="n">
        <v>51.1</v>
      </c>
      <c r="H1939" t="n">
        <v>0</v>
      </c>
      <c r="I1939" t="n">
        <v>0</v>
      </c>
      <c r="J1939" t="n">
        <v>0</v>
      </c>
      <c r="K1939" t="n">
        <v>0</v>
      </c>
      <c r="L1939" t="n">
        <v>0</v>
      </c>
      <c r="M1939" t="n">
        <v>0</v>
      </c>
      <c r="N1939" t="n">
        <v>0</v>
      </c>
      <c r="O1939" t="n">
        <v>0</v>
      </c>
      <c r="P1939" t="n">
        <v>0</v>
      </c>
      <c r="Q1939" t="n">
        <v>0</v>
      </c>
      <c r="R1939" s="2" t="inlineStr"/>
    </row>
    <row r="1940" ht="15" customHeight="1">
      <c r="A1940" t="inlineStr">
        <is>
          <t>A 18092-2022</t>
        </is>
      </c>
      <c r="B1940" s="1" t="n">
        <v>44684</v>
      </c>
      <c r="C1940" s="1" t="n">
        <v>45186</v>
      </c>
      <c r="D1940" t="inlineStr">
        <is>
          <t>STOCKHOLMS LÄN</t>
        </is>
      </c>
      <c r="E1940" t="inlineStr">
        <is>
          <t>NORRTÄLJE</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18093-2022</t>
        </is>
      </c>
      <c r="B1941" s="1" t="n">
        <v>44684</v>
      </c>
      <c r="C1941" s="1" t="n">
        <v>45186</v>
      </c>
      <c r="D1941" t="inlineStr">
        <is>
          <t>STOCKHOLMS LÄN</t>
        </is>
      </c>
      <c r="E1941" t="inlineStr">
        <is>
          <t>BOTKYRKA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18103-2022</t>
        </is>
      </c>
      <c r="B1942" s="1" t="n">
        <v>44684</v>
      </c>
      <c r="C1942" s="1" t="n">
        <v>45186</v>
      </c>
      <c r="D1942" t="inlineStr">
        <is>
          <t>STOCKHOLMS LÄN</t>
        </is>
      </c>
      <c r="E1942" t="inlineStr">
        <is>
          <t>NORRTÄLJE</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18091-2022</t>
        </is>
      </c>
      <c r="B1943" s="1" t="n">
        <v>44684</v>
      </c>
      <c r="C1943" s="1" t="n">
        <v>45186</v>
      </c>
      <c r="D1943" t="inlineStr">
        <is>
          <t>STOCKHOLMS LÄN</t>
        </is>
      </c>
      <c r="E1943" t="inlineStr">
        <is>
          <t>ÖSTERÅKER</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18350-2022</t>
        </is>
      </c>
      <c r="B1944" s="1" t="n">
        <v>44685</v>
      </c>
      <c r="C1944" s="1" t="n">
        <v>45186</v>
      </c>
      <c r="D1944" t="inlineStr">
        <is>
          <t>STOCKHOLMS LÄN</t>
        </is>
      </c>
      <c r="E1944" t="inlineStr">
        <is>
          <t>NORRTÄLJE</t>
        </is>
      </c>
      <c r="F1944" t="inlineStr">
        <is>
          <t>Holmen skog AB</t>
        </is>
      </c>
      <c r="G1944" t="n">
        <v>7.1</v>
      </c>
      <c r="H1944" t="n">
        <v>0</v>
      </c>
      <c r="I1944" t="n">
        <v>0</v>
      </c>
      <c r="J1944" t="n">
        <v>0</v>
      </c>
      <c r="K1944" t="n">
        <v>0</v>
      </c>
      <c r="L1944" t="n">
        <v>0</v>
      </c>
      <c r="M1944" t="n">
        <v>0</v>
      </c>
      <c r="N1944" t="n">
        <v>0</v>
      </c>
      <c r="O1944" t="n">
        <v>0</v>
      </c>
      <c r="P1944" t="n">
        <v>0</v>
      </c>
      <c r="Q1944" t="n">
        <v>0</v>
      </c>
      <c r="R1944" s="2" t="inlineStr"/>
    </row>
    <row r="1945" ht="15" customHeight="1">
      <c r="A1945" t="inlineStr">
        <is>
          <t>A 18546-2022</t>
        </is>
      </c>
      <c r="B1945" s="1" t="n">
        <v>44686</v>
      </c>
      <c r="C1945" s="1" t="n">
        <v>45186</v>
      </c>
      <c r="D1945" t="inlineStr">
        <is>
          <t>STOCKHOLMS LÄN</t>
        </is>
      </c>
      <c r="E1945" t="inlineStr">
        <is>
          <t>NORRTÄLJE</t>
        </is>
      </c>
      <c r="G1945" t="n">
        <v>15.2</v>
      </c>
      <c r="H1945" t="n">
        <v>0</v>
      </c>
      <c r="I1945" t="n">
        <v>0</v>
      </c>
      <c r="J1945" t="n">
        <v>0</v>
      </c>
      <c r="K1945" t="n">
        <v>0</v>
      </c>
      <c r="L1945" t="n">
        <v>0</v>
      </c>
      <c r="M1945" t="n">
        <v>0</v>
      </c>
      <c r="N1945" t="n">
        <v>0</v>
      </c>
      <c r="O1945" t="n">
        <v>0</v>
      </c>
      <c r="P1945" t="n">
        <v>0</v>
      </c>
      <c r="Q1945" t="n">
        <v>0</v>
      </c>
      <c r="R1945" s="2" t="inlineStr"/>
    </row>
    <row r="1946" ht="15" customHeight="1">
      <c r="A1946" t="inlineStr">
        <is>
          <t>A 18665-2022</t>
        </is>
      </c>
      <c r="B1946" s="1" t="n">
        <v>44687</v>
      </c>
      <c r="C1946" s="1" t="n">
        <v>45186</v>
      </c>
      <c r="D1946" t="inlineStr">
        <is>
          <t>STOCKHOLMS LÄN</t>
        </is>
      </c>
      <c r="E1946" t="inlineStr">
        <is>
          <t>NORRTÄLJE</t>
        </is>
      </c>
      <c r="F1946" t="inlineStr">
        <is>
          <t>Kyrkan</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18787-2022</t>
        </is>
      </c>
      <c r="B1947" s="1" t="n">
        <v>44687</v>
      </c>
      <c r="C1947" s="1" t="n">
        <v>45186</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18894-2022</t>
        </is>
      </c>
      <c r="B1948" s="1" t="n">
        <v>44690</v>
      </c>
      <c r="C1948" s="1" t="n">
        <v>45186</v>
      </c>
      <c r="D1948" t="inlineStr">
        <is>
          <t>STOCKHOLMS LÄN</t>
        </is>
      </c>
      <c r="E1948" t="inlineStr">
        <is>
          <t>NORRTÄLJE</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18846-2022</t>
        </is>
      </c>
      <c r="B1949" s="1" t="n">
        <v>44690</v>
      </c>
      <c r="C1949" s="1" t="n">
        <v>45186</v>
      </c>
      <c r="D1949" t="inlineStr">
        <is>
          <t>STOCKHOLMS LÄN</t>
        </is>
      </c>
      <c r="E1949" t="inlineStr">
        <is>
          <t>NORRTÄLJE</t>
        </is>
      </c>
      <c r="G1949" t="n">
        <v>7</v>
      </c>
      <c r="H1949" t="n">
        <v>0</v>
      </c>
      <c r="I1949" t="n">
        <v>0</v>
      </c>
      <c r="J1949" t="n">
        <v>0</v>
      </c>
      <c r="K1949" t="n">
        <v>0</v>
      </c>
      <c r="L1949" t="n">
        <v>0</v>
      </c>
      <c r="M1949" t="n">
        <v>0</v>
      </c>
      <c r="N1949" t="n">
        <v>0</v>
      </c>
      <c r="O1949" t="n">
        <v>0</v>
      </c>
      <c r="P1949" t="n">
        <v>0</v>
      </c>
      <c r="Q1949" t="n">
        <v>0</v>
      </c>
      <c r="R1949" s="2" t="inlineStr"/>
    </row>
    <row r="1950" ht="15" customHeight="1">
      <c r="A1950" t="inlineStr">
        <is>
          <t>A 18905-2022</t>
        </is>
      </c>
      <c r="B1950" s="1" t="n">
        <v>44690</v>
      </c>
      <c r="C1950" s="1" t="n">
        <v>45186</v>
      </c>
      <c r="D1950" t="inlineStr">
        <is>
          <t>STOCKHOLMS LÄN</t>
        </is>
      </c>
      <c r="E1950" t="inlineStr">
        <is>
          <t>NORRTÄLJE</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19116-2022</t>
        </is>
      </c>
      <c r="B1951" s="1" t="n">
        <v>44691</v>
      </c>
      <c r="C1951" s="1" t="n">
        <v>45186</v>
      </c>
      <c r="D1951" t="inlineStr">
        <is>
          <t>STOCKHOLMS LÄN</t>
        </is>
      </c>
      <c r="E1951" t="inlineStr">
        <is>
          <t>NORRTÄLJE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45186</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19652-2022</t>
        </is>
      </c>
      <c r="B1953" s="1" t="n">
        <v>44694</v>
      </c>
      <c r="C1953" s="1" t="n">
        <v>45186</v>
      </c>
      <c r="D1953" t="inlineStr">
        <is>
          <t>STOCKHOLMS LÄN</t>
        </is>
      </c>
      <c r="E1953" t="inlineStr">
        <is>
          <t>HANINGE</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19983-2022</t>
        </is>
      </c>
      <c r="B1954" s="1" t="n">
        <v>44697</v>
      </c>
      <c r="C1954" s="1" t="n">
        <v>45186</v>
      </c>
      <c r="D1954" t="inlineStr">
        <is>
          <t>STOCKHOLMS LÄN</t>
        </is>
      </c>
      <c r="E1954" t="inlineStr">
        <is>
          <t>NORRTÄLJE</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20016-2022</t>
        </is>
      </c>
      <c r="B1955" s="1" t="n">
        <v>44697</v>
      </c>
      <c r="C1955" s="1" t="n">
        <v>45186</v>
      </c>
      <c r="D1955" t="inlineStr">
        <is>
          <t>STOCKHOLMS LÄN</t>
        </is>
      </c>
      <c r="E1955" t="inlineStr">
        <is>
          <t>SÖDERTÄLJE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19995-2022</t>
        </is>
      </c>
      <c r="B1956" s="1" t="n">
        <v>44697</v>
      </c>
      <c r="C1956" s="1" t="n">
        <v>45186</v>
      </c>
      <c r="D1956" t="inlineStr">
        <is>
          <t>STOCKHOLMS LÄN</t>
        </is>
      </c>
      <c r="E1956" t="inlineStr">
        <is>
          <t>SIGTUNA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19982-2022</t>
        </is>
      </c>
      <c r="B1957" s="1" t="n">
        <v>44697</v>
      </c>
      <c r="C1957" s="1" t="n">
        <v>45186</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20291-2022</t>
        </is>
      </c>
      <c r="B1958" s="1" t="n">
        <v>44698</v>
      </c>
      <c r="C1958" s="1" t="n">
        <v>45186</v>
      </c>
      <c r="D1958" t="inlineStr">
        <is>
          <t>STOCKHOLMS LÄN</t>
        </is>
      </c>
      <c r="E1958" t="inlineStr">
        <is>
          <t>NORRTÄLJE</t>
        </is>
      </c>
      <c r="F1958" t="inlineStr">
        <is>
          <t>Naturvårdsverket</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20121-2022</t>
        </is>
      </c>
      <c r="B1959" s="1" t="n">
        <v>44698</v>
      </c>
      <c r="C1959" s="1" t="n">
        <v>45186</v>
      </c>
      <c r="D1959" t="inlineStr">
        <is>
          <t>STOCKHOLMS LÄN</t>
        </is>
      </c>
      <c r="E1959" t="inlineStr">
        <is>
          <t>NORRTÄLJE</t>
        </is>
      </c>
      <c r="G1959" t="n">
        <v>4.2</v>
      </c>
      <c r="H1959" t="n">
        <v>0</v>
      </c>
      <c r="I1959" t="n">
        <v>0</v>
      </c>
      <c r="J1959" t="n">
        <v>0</v>
      </c>
      <c r="K1959" t="n">
        <v>0</v>
      </c>
      <c r="L1959" t="n">
        <v>0</v>
      </c>
      <c r="M1959" t="n">
        <v>0</v>
      </c>
      <c r="N1959" t="n">
        <v>0</v>
      </c>
      <c r="O1959" t="n">
        <v>0</v>
      </c>
      <c r="P1959" t="n">
        <v>0</v>
      </c>
      <c r="Q1959" t="n">
        <v>0</v>
      </c>
      <c r="R1959" s="2" t="inlineStr"/>
    </row>
    <row r="1960" ht="15" customHeight="1">
      <c r="A1960" t="inlineStr">
        <is>
          <t>A 20129-2022</t>
        </is>
      </c>
      <c r="B1960" s="1" t="n">
        <v>44698</v>
      </c>
      <c r="C1960" s="1" t="n">
        <v>45186</v>
      </c>
      <c r="D1960" t="inlineStr">
        <is>
          <t>STOCKHOLMS LÄN</t>
        </is>
      </c>
      <c r="E1960" t="inlineStr">
        <is>
          <t>NORRTÄLJE</t>
        </is>
      </c>
      <c r="G1960" t="n">
        <v>3.7</v>
      </c>
      <c r="H1960" t="n">
        <v>0</v>
      </c>
      <c r="I1960" t="n">
        <v>0</v>
      </c>
      <c r="J1960" t="n">
        <v>0</v>
      </c>
      <c r="K1960" t="n">
        <v>0</v>
      </c>
      <c r="L1960" t="n">
        <v>0</v>
      </c>
      <c r="M1960" t="n">
        <v>0</v>
      </c>
      <c r="N1960" t="n">
        <v>0</v>
      </c>
      <c r="O1960" t="n">
        <v>0</v>
      </c>
      <c r="P1960" t="n">
        <v>0</v>
      </c>
      <c r="Q1960" t="n">
        <v>0</v>
      </c>
      <c r="R1960" s="2" t="inlineStr"/>
    </row>
    <row r="1961" ht="15" customHeight="1">
      <c r="A1961" t="inlineStr">
        <is>
          <t>A 20294-2022</t>
        </is>
      </c>
      <c r="B1961" s="1" t="n">
        <v>44698</v>
      </c>
      <c r="C1961" s="1" t="n">
        <v>45186</v>
      </c>
      <c r="D1961" t="inlineStr">
        <is>
          <t>STOCKHOLMS LÄN</t>
        </is>
      </c>
      <c r="E1961" t="inlineStr">
        <is>
          <t>NORRTÄLJE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20295-2022</t>
        </is>
      </c>
      <c r="B1962" s="1" t="n">
        <v>44698</v>
      </c>
      <c r="C1962" s="1" t="n">
        <v>45186</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20641-2022</t>
        </is>
      </c>
      <c r="B1963" s="1" t="n">
        <v>44700</v>
      </c>
      <c r="C1963" s="1" t="n">
        <v>45186</v>
      </c>
      <c r="D1963" t="inlineStr">
        <is>
          <t>STOCKHOLMS LÄN</t>
        </is>
      </c>
      <c r="E1963" t="inlineStr">
        <is>
          <t>VÄRMDÖ</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20649-2022</t>
        </is>
      </c>
      <c r="B1964" s="1" t="n">
        <v>44700</v>
      </c>
      <c r="C1964" s="1" t="n">
        <v>45186</v>
      </c>
      <c r="D1964" t="inlineStr">
        <is>
          <t>STOCKHOLMS LÄN</t>
        </is>
      </c>
      <c r="E1964" t="inlineStr">
        <is>
          <t>BOTKYRKA</t>
        </is>
      </c>
      <c r="F1964" t="inlineStr">
        <is>
          <t>Övriga Aktiebolag</t>
        </is>
      </c>
      <c r="G1964" t="n">
        <v>6</v>
      </c>
      <c r="H1964" t="n">
        <v>0</v>
      </c>
      <c r="I1964" t="n">
        <v>0</v>
      </c>
      <c r="J1964" t="n">
        <v>0</v>
      </c>
      <c r="K1964" t="n">
        <v>0</v>
      </c>
      <c r="L1964" t="n">
        <v>0</v>
      </c>
      <c r="M1964" t="n">
        <v>0</v>
      </c>
      <c r="N1964" t="n">
        <v>0</v>
      </c>
      <c r="O1964" t="n">
        <v>0</v>
      </c>
      <c r="P1964" t="n">
        <v>0</v>
      </c>
      <c r="Q1964" t="n">
        <v>0</v>
      </c>
      <c r="R1964" s="2" t="inlineStr"/>
    </row>
    <row r="1965" ht="15" customHeight="1">
      <c r="A1965" t="inlineStr">
        <is>
          <t>A 21158-2022</t>
        </is>
      </c>
      <c r="B1965" s="1" t="n">
        <v>44704</v>
      </c>
      <c r="C1965" s="1" t="n">
        <v>45186</v>
      </c>
      <c r="D1965" t="inlineStr">
        <is>
          <t>STOCKHOLMS LÄN</t>
        </is>
      </c>
      <c r="E1965" t="inlineStr">
        <is>
          <t>NORRTÄLJE</t>
        </is>
      </c>
      <c r="G1965" t="n">
        <v>17.8</v>
      </c>
      <c r="H1965" t="n">
        <v>0</v>
      </c>
      <c r="I1965" t="n">
        <v>0</v>
      </c>
      <c r="J1965" t="n">
        <v>0</v>
      </c>
      <c r="K1965" t="n">
        <v>0</v>
      </c>
      <c r="L1965" t="n">
        <v>0</v>
      </c>
      <c r="M1965" t="n">
        <v>0</v>
      </c>
      <c r="N1965" t="n">
        <v>0</v>
      </c>
      <c r="O1965" t="n">
        <v>0</v>
      </c>
      <c r="P1965" t="n">
        <v>0</v>
      </c>
      <c r="Q1965" t="n">
        <v>0</v>
      </c>
      <c r="R1965" s="2" t="inlineStr"/>
    </row>
    <row r="1966" ht="15" customHeight="1">
      <c r="A1966" t="inlineStr">
        <is>
          <t>A 21174-2022</t>
        </is>
      </c>
      <c r="B1966" s="1" t="n">
        <v>44704</v>
      </c>
      <c r="C1966" s="1" t="n">
        <v>45186</v>
      </c>
      <c r="D1966" t="inlineStr">
        <is>
          <t>STOCKHOLMS LÄN</t>
        </is>
      </c>
      <c r="E1966" t="inlineStr">
        <is>
          <t>NORRTÄLJE</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21102-2022</t>
        </is>
      </c>
      <c r="B1967" s="1" t="n">
        <v>44704</v>
      </c>
      <c r="C1967" s="1" t="n">
        <v>45186</v>
      </c>
      <c r="D1967" t="inlineStr">
        <is>
          <t>STOCKHOLMS LÄN</t>
        </is>
      </c>
      <c r="E1967" t="inlineStr">
        <is>
          <t>NORRTÄLJE</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21178-2022</t>
        </is>
      </c>
      <c r="B1968" s="1" t="n">
        <v>44704</v>
      </c>
      <c r="C1968" s="1" t="n">
        <v>45186</v>
      </c>
      <c r="D1968" t="inlineStr">
        <is>
          <t>STOCKHOLMS LÄN</t>
        </is>
      </c>
      <c r="E1968" t="inlineStr">
        <is>
          <t>NORRTÄLJE</t>
        </is>
      </c>
      <c r="G1968" t="n">
        <v>6</v>
      </c>
      <c r="H1968" t="n">
        <v>0</v>
      </c>
      <c r="I1968" t="n">
        <v>0</v>
      </c>
      <c r="J1968" t="n">
        <v>0</v>
      </c>
      <c r="K1968" t="n">
        <v>0</v>
      </c>
      <c r="L1968" t="n">
        <v>0</v>
      </c>
      <c r="M1968" t="n">
        <v>0</v>
      </c>
      <c r="N1968" t="n">
        <v>0</v>
      </c>
      <c r="O1968" t="n">
        <v>0</v>
      </c>
      <c r="P1968" t="n">
        <v>0</v>
      </c>
      <c r="Q1968" t="n">
        <v>0</v>
      </c>
      <c r="R1968" s="2" t="inlineStr"/>
    </row>
    <row r="1969" ht="15" customHeight="1">
      <c r="A1969" t="inlineStr">
        <is>
          <t>A 21480-2022</t>
        </is>
      </c>
      <c r="B1969" s="1" t="n">
        <v>44704</v>
      </c>
      <c r="C1969" s="1" t="n">
        <v>45186</v>
      </c>
      <c r="D1969" t="inlineStr">
        <is>
          <t>STOCKHOLMS LÄN</t>
        </is>
      </c>
      <c r="E1969" t="inlineStr">
        <is>
          <t>NORRTÄLJE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21472-2022</t>
        </is>
      </c>
      <c r="B1970" s="1" t="n">
        <v>44706</v>
      </c>
      <c r="C1970" s="1" t="n">
        <v>45186</v>
      </c>
      <c r="D1970" t="inlineStr">
        <is>
          <t>STOCKHOLMS LÄN</t>
        </is>
      </c>
      <c r="E1970" t="inlineStr">
        <is>
          <t>NACKA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21267-2022</t>
        </is>
      </c>
      <c r="B1971" s="1" t="n">
        <v>44706</v>
      </c>
      <c r="C1971" s="1" t="n">
        <v>45186</v>
      </c>
      <c r="D1971" t="inlineStr">
        <is>
          <t>STOCKHOLMS LÄN</t>
        </is>
      </c>
      <c r="E1971" t="inlineStr">
        <is>
          <t>NACKA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21726-2022</t>
        </is>
      </c>
      <c r="B1972" s="1" t="n">
        <v>44708</v>
      </c>
      <c r="C1972" s="1" t="n">
        <v>45186</v>
      </c>
      <c r="D1972" t="inlineStr">
        <is>
          <t>STOCKHOLMS LÄN</t>
        </is>
      </c>
      <c r="E1972" t="inlineStr">
        <is>
          <t>NORRTÄLJE</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21723-2022</t>
        </is>
      </c>
      <c r="B1973" s="1" t="n">
        <v>44708</v>
      </c>
      <c r="C1973" s="1" t="n">
        <v>45186</v>
      </c>
      <c r="D1973" t="inlineStr">
        <is>
          <t>STOCKHOLMS LÄN</t>
        </is>
      </c>
      <c r="E1973" t="inlineStr">
        <is>
          <t>NORRTÄLJE</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21888-2022</t>
        </is>
      </c>
      <c r="B1974" s="1" t="n">
        <v>44709</v>
      </c>
      <c r="C1974" s="1" t="n">
        <v>45186</v>
      </c>
      <c r="D1974" t="inlineStr">
        <is>
          <t>STOCKHOLMS LÄN</t>
        </is>
      </c>
      <c r="E1974" t="inlineStr">
        <is>
          <t>NACKA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22068-2022</t>
        </is>
      </c>
      <c r="B1975" s="1" t="n">
        <v>44711</v>
      </c>
      <c r="C1975" s="1" t="n">
        <v>45186</v>
      </c>
      <c r="D1975" t="inlineStr">
        <is>
          <t>STOCKHOLMS LÄN</t>
        </is>
      </c>
      <c r="E1975" t="inlineStr">
        <is>
          <t>NACKA</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22072-2022</t>
        </is>
      </c>
      <c r="B1976" s="1" t="n">
        <v>44711</v>
      </c>
      <c r="C1976" s="1" t="n">
        <v>45186</v>
      </c>
      <c r="D1976" t="inlineStr">
        <is>
          <t>STOCKHOLMS LÄN</t>
        </is>
      </c>
      <c r="E1976" t="inlineStr">
        <is>
          <t>NORRTÄLJE</t>
        </is>
      </c>
      <c r="G1976" t="n">
        <v>9.6</v>
      </c>
      <c r="H1976" t="n">
        <v>0</v>
      </c>
      <c r="I1976" t="n">
        <v>0</v>
      </c>
      <c r="J1976" t="n">
        <v>0</v>
      </c>
      <c r="K1976" t="n">
        <v>0</v>
      </c>
      <c r="L1976" t="n">
        <v>0</v>
      </c>
      <c r="M1976" t="n">
        <v>0</v>
      </c>
      <c r="N1976" t="n">
        <v>0</v>
      </c>
      <c r="O1976" t="n">
        <v>0</v>
      </c>
      <c r="P1976" t="n">
        <v>0</v>
      </c>
      <c r="Q1976" t="n">
        <v>0</v>
      </c>
      <c r="R1976" s="2" t="inlineStr"/>
    </row>
    <row r="1977" ht="15" customHeight="1">
      <c r="A1977" t="inlineStr">
        <is>
          <t>A 22071-2022</t>
        </is>
      </c>
      <c r="B1977" s="1" t="n">
        <v>44711</v>
      </c>
      <c r="C1977" s="1" t="n">
        <v>45186</v>
      </c>
      <c r="D1977" t="inlineStr">
        <is>
          <t>STOCKHOLMS LÄN</t>
        </is>
      </c>
      <c r="E1977" t="inlineStr">
        <is>
          <t>NORRTÄLJE</t>
        </is>
      </c>
      <c r="G1977" t="n">
        <v>7</v>
      </c>
      <c r="H1977" t="n">
        <v>0</v>
      </c>
      <c r="I1977" t="n">
        <v>0</v>
      </c>
      <c r="J1977" t="n">
        <v>0</v>
      </c>
      <c r="K1977" t="n">
        <v>0</v>
      </c>
      <c r="L1977" t="n">
        <v>0</v>
      </c>
      <c r="M1977" t="n">
        <v>0</v>
      </c>
      <c r="N1977" t="n">
        <v>0</v>
      </c>
      <c r="O1977" t="n">
        <v>0</v>
      </c>
      <c r="P1977" t="n">
        <v>0</v>
      </c>
      <c r="Q1977" t="n">
        <v>0</v>
      </c>
      <c r="R1977" s="2" t="inlineStr"/>
    </row>
    <row r="1978" ht="15" customHeight="1">
      <c r="A1978" t="inlineStr">
        <is>
          <t>A 22529-2022</t>
        </is>
      </c>
      <c r="B1978" s="1" t="n">
        <v>44713</v>
      </c>
      <c r="C1978" s="1" t="n">
        <v>45186</v>
      </c>
      <c r="D1978" t="inlineStr">
        <is>
          <t>STOCKHOLMS LÄN</t>
        </is>
      </c>
      <c r="E1978" t="inlineStr">
        <is>
          <t>NYKVARN</t>
        </is>
      </c>
      <c r="F1978" t="inlineStr">
        <is>
          <t>Allmännings- och besparingsskogar</t>
        </is>
      </c>
      <c r="G1978" t="n">
        <v>8.4</v>
      </c>
      <c r="H1978" t="n">
        <v>0</v>
      </c>
      <c r="I1978" t="n">
        <v>0</v>
      </c>
      <c r="J1978" t="n">
        <v>0</v>
      </c>
      <c r="K1978" t="n">
        <v>0</v>
      </c>
      <c r="L1978" t="n">
        <v>0</v>
      </c>
      <c r="M1978" t="n">
        <v>0</v>
      </c>
      <c r="N1978" t="n">
        <v>0</v>
      </c>
      <c r="O1978" t="n">
        <v>0</v>
      </c>
      <c r="P1978" t="n">
        <v>0</v>
      </c>
      <c r="Q1978" t="n">
        <v>0</v>
      </c>
      <c r="R1978" s="2" t="inlineStr"/>
    </row>
    <row r="1979" ht="15" customHeight="1">
      <c r="A1979" t="inlineStr">
        <is>
          <t>A 22503-2022</t>
        </is>
      </c>
      <c r="B1979" s="1" t="n">
        <v>44713</v>
      </c>
      <c r="C1979" s="1" t="n">
        <v>45186</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22531-2022</t>
        </is>
      </c>
      <c r="B1980" s="1" t="n">
        <v>44713</v>
      </c>
      <c r="C1980" s="1" t="n">
        <v>45186</v>
      </c>
      <c r="D1980" t="inlineStr">
        <is>
          <t>STOCKHOLMS LÄN</t>
        </is>
      </c>
      <c r="E1980" t="inlineStr">
        <is>
          <t>NYKVARN</t>
        </is>
      </c>
      <c r="F1980" t="inlineStr">
        <is>
          <t>Allmännings- och besparingsskogar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22628-2022</t>
        </is>
      </c>
      <c r="B1981" s="1" t="n">
        <v>44714</v>
      </c>
      <c r="C1981" s="1" t="n">
        <v>45186</v>
      </c>
      <c r="D1981" t="inlineStr">
        <is>
          <t>STOCKHOLMS LÄN</t>
        </is>
      </c>
      <c r="E1981" t="inlineStr">
        <is>
          <t>NORRTÄLJE</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23125-2022</t>
        </is>
      </c>
      <c r="B1982" s="1" t="n">
        <v>44719</v>
      </c>
      <c r="C1982" s="1" t="n">
        <v>45186</v>
      </c>
      <c r="D1982" t="inlineStr">
        <is>
          <t>STOCKHOLMS LÄN</t>
        </is>
      </c>
      <c r="E1982" t="inlineStr">
        <is>
          <t>NORRTÄLJE</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23456-2022</t>
        </is>
      </c>
      <c r="B1983" s="1" t="n">
        <v>44720</v>
      </c>
      <c r="C1983" s="1" t="n">
        <v>45186</v>
      </c>
      <c r="D1983" t="inlineStr">
        <is>
          <t>STOCKHOLMS LÄN</t>
        </is>
      </c>
      <c r="E1983" t="inlineStr">
        <is>
          <t>NYKVARN</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23770-2022</t>
        </is>
      </c>
      <c r="B1984" s="1" t="n">
        <v>44722</v>
      </c>
      <c r="C1984" s="1" t="n">
        <v>45186</v>
      </c>
      <c r="D1984" t="inlineStr">
        <is>
          <t>STOCKHOLMS LÄN</t>
        </is>
      </c>
      <c r="E1984" t="inlineStr">
        <is>
          <t>NORRTÄLJE</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23801-2022</t>
        </is>
      </c>
      <c r="B1985" s="1" t="n">
        <v>44722</v>
      </c>
      <c r="C1985" s="1" t="n">
        <v>45186</v>
      </c>
      <c r="D1985" t="inlineStr">
        <is>
          <t>STOCKHOLMS LÄN</t>
        </is>
      </c>
      <c r="E1985" t="inlineStr">
        <is>
          <t>NORRTÄLJE</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24034-2022</t>
        </is>
      </c>
      <c r="B1986" s="1" t="n">
        <v>44724</v>
      </c>
      <c r="C1986" s="1" t="n">
        <v>45186</v>
      </c>
      <c r="D1986" t="inlineStr">
        <is>
          <t>STOCKHOLMS LÄN</t>
        </is>
      </c>
      <c r="E1986" t="inlineStr">
        <is>
          <t>SÖDERTÄLJE</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24101-2022</t>
        </is>
      </c>
      <c r="B1987" s="1" t="n">
        <v>44725</v>
      </c>
      <c r="C1987" s="1" t="n">
        <v>45186</v>
      </c>
      <c r="D1987" t="inlineStr">
        <is>
          <t>STOCKHOLMS LÄN</t>
        </is>
      </c>
      <c r="E1987" t="inlineStr">
        <is>
          <t>NORRTÄLJE</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24656-2022</t>
        </is>
      </c>
      <c r="B1988" s="1" t="n">
        <v>44726</v>
      </c>
      <c r="C1988" s="1" t="n">
        <v>45186</v>
      </c>
      <c r="D1988" t="inlineStr">
        <is>
          <t>STOCKHOLMS LÄN</t>
        </is>
      </c>
      <c r="E1988" t="inlineStr">
        <is>
          <t>NYKVARN</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24534-2022</t>
        </is>
      </c>
      <c r="B1989" s="1" t="n">
        <v>44727</v>
      </c>
      <c r="C1989" s="1" t="n">
        <v>45186</v>
      </c>
      <c r="D1989" t="inlineStr">
        <is>
          <t>STOCKHOLMS LÄN</t>
        </is>
      </c>
      <c r="E1989" t="inlineStr">
        <is>
          <t>NORRTÄLJE</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25278-2022</t>
        </is>
      </c>
      <c r="B1990" s="1" t="n">
        <v>44730</v>
      </c>
      <c r="C1990" s="1" t="n">
        <v>45186</v>
      </c>
      <c r="D1990" t="inlineStr">
        <is>
          <t>STOCKHOLMS LÄN</t>
        </is>
      </c>
      <c r="E1990" t="inlineStr">
        <is>
          <t>NYKVARN</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25619-2022</t>
        </is>
      </c>
      <c r="B1991" s="1" t="n">
        <v>44732</v>
      </c>
      <c r="C1991" s="1" t="n">
        <v>45186</v>
      </c>
      <c r="D1991" t="inlineStr">
        <is>
          <t>STOCKHOLMS LÄN</t>
        </is>
      </c>
      <c r="E1991" t="inlineStr">
        <is>
          <t>NORRTÄLJE</t>
        </is>
      </c>
      <c r="G1991" t="n">
        <v>3.9</v>
      </c>
      <c r="H1991" t="n">
        <v>0</v>
      </c>
      <c r="I1991" t="n">
        <v>0</v>
      </c>
      <c r="J1991" t="n">
        <v>0</v>
      </c>
      <c r="K1991" t="n">
        <v>0</v>
      </c>
      <c r="L1991" t="n">
        <v>0</v>
      </c>
      <c r="M1991" t="n">
        <v>0</v>
      </c>
      <c r="N1991" t="n">
        <v>0</v>
      </c>
      <c r="O1991" t="n">
        <v>0</v>
      </c>
      <c r="P1991" t="n">
        <v>0</v>
      </c>
      <c r="Q1991" t="n">
        <v>0</v>
      </c>
      <c r="R1991" s="2" t="inlineStr"/>
    </row>
    <row r="1992" ht="15" customHeight="1">
      <c r="A1992" t="inlineStr">
        <is>
          <t>A 25525-2022</t>
        </is>
      </c>
      <c r="B1992" s="1" t="n">
        <v>44732</v>
      </c>
      <c r="C1992" s="1" t="n">
        <v>45186</v>
      </c>
      <c r="D1992" t="inlineStr">
        <is>
          <t>STOCKHOLMS LÄN</t>
        </is>
      </c>
      <c r="E1992" t="inlineStr">
        <is>
          <t>NORRTÄLJE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25621-2022</t>
        </is>
      </c>
      <c r="B1993" s="1" t="n">
        <v>44732</v>
      </c>
      <c r="C1993" s="1" t="n">
        <v>45186</v>
      </c>
      <c r="D1993" t="inlineStr">
        <is>
          <t>STOCKHOLMS LÄN</t>
        </is>
      </c>
      <c r="E1993" t="inlineStr">
        <is>
          <t>NORRTÄLJE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26016-2022</t>
        </is>
      </c>
      <c r="B1994" s="1" t="n">
        <v>44734</v>
      </c>
      <c r="C1994" s="1" t="n">
        <v>45186</v>
      </c>
      <c r="D1994" t="inlineStr">
        <is>
          <t>STOCKHOLMS LÄN</t>
        </is>
      </c>
      <c r="E1994" t="inlineStr">
        <is>
          <t>VALLENTUNA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26190-2022</t>
        </is>
      </c>
      <c r="B1995" s="1" t="n">
        <v>44735</v>
      </c>
      <c r="C1995" s="1" t="n">
        <v>45186</v>
      </c>
      <c r="D1995" t="inlineStr">
        <is>
          <t>STOCKHOLMS LÄN</t>
        </is>
      </c>
      <c r="E1995" t="inlineStr">
        <is>
          <t>NYNÄSHAMN</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26328-2022</t>
        </is>
      </c>
      <c r="B1996" s="1" t="n">
        <v>44735</v>
      </c>
      <c r="C1996" s="1" t="n">
        <v>45186</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26335-2022</t>
        </is>
      </c>
      <c r="B1997" s="1" t="n">
        <v>44735</v>
      </c>
      <c r="C1997" s="1" t="n">
        <v>45186</v>
      </c>
      <c r="D1997" t="inlineStr">
        <is>
          <t>STOCKHOLMS LÄN</t>
        </is>
      </c>
      <c r="E1997" t="inlineStr">
        <is>
          <t>NORRTÄLJE</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26812-2022</t>
        </is>
      </c>
      <c r="B1998" s="1" t="n">
        <v>44740</v>
      </c>
      <c r="C1998" s="1" t="n">
        <v>45186</v>
      </c>
      <c r="D1998" t="inlineStr">
        <is>
          <t>STOCKHOLMS LÄN</t>
        </is>
      </c>
      <c r="E1998" t="inlineStr">
        <is>
          <t>SÖDERTÄLJE</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27538-2022</t>
        </is>
      </c>
      <c r="B1999" s="1" t="n">
        <v>44742</v>
      </c>
      <c r="C1999" s="1" t="n">
        <v>45186</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27460-2022</t>
        </is>
      </c>
      <c r="B2000" s="1" t="n">
        <v>44742</v>
      </c>
      <c r="C2000" s="1" t="n">
        <v>45186</v>
      </c>
      <c r="D2000" t="inlineStr">
        <is>
          <t>STOCKHOLMS LÄN</t>
        </is>
      </c>
      <c r="E2000" t="inlineStr">
        <is>
          <t>VALLENTUNA</t>
        </is>
      </c>
      <c r="F2000" t="inlineStr">
        <is>
          <t>Allmännings- och besparingsskogar</t>
        </is>
      </c>
      <c r="G2000" t="n">
        <v>26.6</v>
      </c>
      <c r="H2000" t="n">
        <v>0</v>
      </c>
      <c r="I2000" t="n">
        <v>0</v>
      </c>
      <c r="J2000" t="n">
        <v>0</v>
      </c>
      <c r="K2000" t="n">
        <v>0</v>
      </c>
      <c r="L2000" t="n">
        <v>0</v>
      </c>
      <c r="M2000" t="n">
        <v>0</v>
      </c>
      <c r="N2000" t="n">
        <v>0</v>
      </c>
      <c r="O2000" t="n">
        <v>0</v>
      </c>
      <c r="P2000" t="n">
        <v>0</v>
      </c>
      <c r="Q2000" t="n">
        <v>0</v>
      </c>
      <c r="R2000" s="2" t="inlineStr"/>
    </row>
    <row r="2001" ht="15" customHeight="1">
      <c r="A2001" t="inlineStr">
        <is>
          <t>A 27972-2022</t>
        </is>
      </c>
      <c r="B2001" s="1" t="n">
        <v>44744</v>
      </c>
      <c r="C2001" s="1" t="n">
        <v>45186</v>
      </c>
      <c r="D2001" t="inlineStr">
        <is>
          <t>STOCKHOLMS LÄN</t>
        </is>
      </c>
      <c r="E2001" t="inlineStr">
        <is>
          <t>SÖDERTÄLJE</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27970-2022</t>
        </is>
      </c>
      <c r="B2002" s="1" t="n">
        <v>44744</v>
      </c>
      <c r="C2002" s="1" t="n">
        <v>45186</v>
      </c>
      <c r="D2002" t="inlineStr">
        <is>
          <t>STOCKHOLMS LÄN</t>
        </is>
      </c>
      <c r="E2002" t="inlineStr">
        <is>
          <t>SÖDERTÄLJE</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27969-2022</t>
        </is>
      </c>
      <c r="B2003" s="1" t="n">
        <v>44744</v>
      </c>
      <c r="C2003" s="1" t="n">
        <v>45186</v>
      </c>
      <c r="D2003" t="inlineStr">
        <is>
          <t>STOCKHOLMS LÄN</t>
        </is>
      </c>
      <c r="E2003" t="inlineStr">
        <is>
          <t>SÖDERTÄLJE</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27971-2022</t>
        </is>
      </c>
      <c r="B2004" s="1" t="n">
        <v>44744</v>
      </c>
      <c r="C2004" s="1" t="n">
        <v>45186</v>
      </c>
      <c r="D2004" t="inlineStr">
        <is>
          <t>STOCKHOLMS LÄN</t>
        </is>
      </c>
      <c r="E2004" t="inlineStr">
        <is>
          <t>SÖDERTÄLJE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28042-2022</t>
        </is>
      </c>
      <c r="B2005" s="1" t="n">
        <v>44744</v>
      </c>
      <c r="C2005" s="1" t="n">
        <v>45186</v>
      </c>
      <c r="D2005" t="inlineStr">
        <is>
          <t>STOCKHOLMS LÄN</t>
        </is>
      </c>
      <c r="E2005" t="inlineStr">
        <is>
          <t>NORRTÄLJE</t>
        </is>
      </c>
      <c r="G2005" t="n">
        <v>0.2</v>
      </c>
      <c r="H2005" t="n">
        <v>0</v>
      </c>
      <c r="I2005" t="n">
        <v>0</v>
      </c>
      <c r="J2005" t="n">
        <v>0</v>
      </c>
      <c r="K2005" t="n">
        <v>0</v>
      </c>
      <c r="L2005" t="n">
        <v>0</v>
      </c>
      <c r="M2005" t="n">
        <v>0</v>
      </c>
      <c r="N2005" t="n">
        <v>0</v>
      </c>
      <c r="O2005" t="n">
        <v>0</v>
      </c>
      <c r="P2005" t="n">
        <v>0</v>
      </c>
      <c r="Q2005" t="n">
        <v>0</v>
      </c>
      <c r="R2005" s="2" t="inlineStr"/>
    </row>
    <row r="2006" ht="15" customHeight="1">
      <c r="A2006" t="inlineStr">
        <is>
          <t>A 28209-2022</t>
        </is>
      </c>
      <c r="B2006" s="1" t="n">
        <v>44746</v>
      </c>
      <c r="C2006" s="1" t="n">
        <v>45186</v>
      </c>
      <c r="D2006" t="inlineStr">
        <is>
          <t>STOCKHOLMS LÄN</t>
        </is>
      </c>
      <c r="E2006" t="inlineStr">
        <is>
          <t>NORRTÄLJE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28399-2022</t>
        </is>
      </c>
      <c r="B2007" s="1" t="n">
        <v>44747</v>
      </c>
      <c r="C2007" s="1" t="n">
        <v>45186</v>
      </c>
      <c r="D2007" t="inlineStr">
        <is>
          <t>STOCKHOLMS LÄN</t>
        </is>
      </c>
      <c r="E2007" t="inlineStr">
        <is>
          <t>ÖSTERÅKER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28405-2022</t>
        </is>
      </c>
      <c r="B2008" s="1" t="n">
        <v>44747</v>
      </c>
      <c r="C2008" s="1" t="n">
        <v>45186</v>
      </c>
      <c r="D2008" t="inlineStr">
        <is>
          <t>STOCKHOLMS LÄN</t>
        </is>
      </c>
      <c r="E2008" t="inlineStr">
        <is>
          <t>ÖSTERÅKER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28365-2022</t>
        </is>
      </c>
      <c r="B2009" s="1" t="n">
        <v>44747</v>
      </c>
      <c r="C2009" s="1" t="n">
        <v>45186</v>
      </c>
      <c r="D2009" t="inlineStr">
        <is>
          <t>STOCKHOLMS LÄN</t>
        </is>
      </c>
      <c r="E2009" t="inlineStr">
        <is>
          <t>NORRTÄLJE</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28843-2022</t>
        </is>
      </c>
      <c r="B2010" s="1" t="n">
        <v>44749</v>
      </c>
      <c r="C2010" s="1" t="n">
        <v>45186</v>
      </c>
      <c r="D2010" t="inlineStr">
        <is>
          <t>STOCKHOLMS LÄN</t>
        </is>
      </c>
      <c r="E2010" t="inlineStr">
        <is>
          <t>SIGTUNA</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28964-2022</t>
        </is>
      </c>
      <c r="B2011" s="1" t="n">
        <v>44749</v>
      </c>
      <c r="C2011" s="1" t="n">
        <v>45186</v>
      </c>
      <c r="D2011" t="inlineStr">
        <is>
          <t>STOCKHOLMS LÄN</t>
        </is>
      </c>
      <c r="E2011" t="inlineStr">
        <is>
          <t>ÖSTERÅKER</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29070-2022</t>
        </is>
      </c>
      <c r="B2012" s="1" t="n">
        <v>44750</v>
      </c>
      <c r="C2012" s="1" t="n">
        <v>45186</v>
      </c>
      <c r="D2012" t="inlineStr">
        <is>
          <t>STOCKHOLMS LÄN</t>
        </is>
      </c>
      <c r="E2012" t="inlineStr">
        <is>
          <t>NORRTÄLJE</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29278-2022</t>
        </is>
      </c>
      <c r="B2013" s="1" t="n">
        <v>44750</v>
      </c>
      <c r="C2013" s="1" t="n">
        <v>45186</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29362-2022</t>
        </is>
      </c>
      <c r="B2014" s="1" t="n">
        <v>44753</v>
      </c>
      <c r="C2014" s="1" t="n">
        <v>45186</v>
      </c>
      <c r="D2014" t="inlineStr">
        <is>
          <t>STOCKHOLMS LÄN</t>
        </is>
      </c>
      <c r="E2014" t="inlineStr">
        <is>
          <t>NORRTÄLJE</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29646-2022</t>
        </is>
      </c>
      <c r="B2015" s="1" t="n">
        <v>44754</v>
      </c>
      <c r="C2015" s="1" t="n">
        <v>45186</v>
      </c>
      <c r="D2015" t="inlineStr">
        <is>
          <t>STOCKHOLMS LÄN</t>
        </is>
      </c>
      <c r="E2015" t="inlineStr">
        <is>
          <t>SIGTUNA</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29784-2022</t>
        </is>
      </c>
      <c r="B2016" s="1" t="n">
        <v>44755</v>
      </c>
      <c r="C2016" s="1" t="n">
        <v>45186</v>
      </c>
      <c r="D2016" t="inlineStr">
        <is>
          <t>STOCKHOLMS LÄN</t>
        </is>
      </c>
      <c r="E2016" t="inlineStr">
        <is>
          <t>UPPLANDS-BRO</t>
        </is>
      </c>
      <c r="F2016" t="inlineStr">
        <is>
          <t>Allmännings- och besparingsskogar</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29786-2022</t>
        </is>
      </c>
      <c r="B2017" s="1" t="n">
        <v>44755</v>
      </c>
      <c r="C2017" s="1" t="n">
        <v>45186</v>
      </c>
      <c r="D2017" t="inlineStr">
        <is>
          <t>STOCKHOLMS LÄN</t>
        </is>
      </c>
      <c r="E2017" t="inlineStr">
        <is>
          <t>UPPLANDS-BRO</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30283-2022</t>
        </is>
      </c>
      <c r="B2018" s="1" t="n">
        <v>44760</v>
      </c>
      <c r="C2018" s="1" t="n">
        <v>45186</v>
      </c>
      <c r="D2018" t="inlineStr">
        <is>
          <t>STOCKHOLMS LÄN</t>
        </is>
      </c>
      <c r="E2018" t="inlineStr">
        <is>
          <t>NORRTÄLJE</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30338-2022</t>
        </is>
      </c>
      <c r="B2019" s="1" t="n">
        <v>44760</v>
      </c>
      <c r="C2019" s="1" t="n">
        <v>45186</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30290-2022</t>
        </is>
      </c>
      <c r="B2020" s="1" t="n">
        <v>44760</v>
      </c>
      <c r="C2020" s="1" t="n">
        <v>45186</v>
      </c>
      <c r="D2020" t="inlineStr">
        <is>
          <t>STOCKHOLMS LÄN</t>
        </is>
      </c>
      <c r="E2020" t="inlineStr">
        <is>
          <t>NORRTÄLJE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30286-2022</t>
        </is>
      </c>
      <c r="B2021" s="1" t="n">
        <v>44760</v>
      </c>
      <c r="C2021" s="1" t="n">
        <v>45186</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30419-2022</t>
        </is>
      </c>
      <c r="B2022" s="1" t="n">
        <v>44761</v>
      </c>
      <c r="C2022" s="1" t="n">
        <v>45186</v>
      </c>
      <c r="D2022" t="inlineStr">
        <is>
          <t>STOCKHOLMS LÄN</t>
        </is>
      </c>
      <c r="E2022" t="inlineStr">
        <is>
          <t>HANINGE</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30802-2022</t>
        </is>
      </c>
      <c r="B2023" s="1" t="n">
        <v>44764</v>
      </c>
      <c r="C2023" s="1" t="n">
        <v>45186</v>
      </c>
      <c r="D2023" t="inlineStr">
        <is>
          <t>STOCKHOLMS LÄN</t>
        </is>
      </c>
      <c r="E2023" t="inlineStr">
        <is>
          <t>NORRTÄLJE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30750-2022</t>
        </is>
      </c>
      <c r="B2024" s="1" t="n">
        <v>44764</v>
      </c>
      <c r="C2024" s="1" t="n">
        <v>45186</v>
      </c>
      <c r="D2024" t="inlineStr">
        <is>
          <t>STOCKHOLMS LÄN</t>
        </is>
      </c>
      <c r="E2024" t="inlineStr">
        <is>
          <t>NORRTÄLJE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31052-2022</t>
        </is>
      </c>
      <c r="B2025" s="1" t="n">
        <v>44769</v>
      </c>
      <c r="C2025" s="1" t="n">
        <v>45186</v>
      </c>
      <c r="D2025" t="inlineStr">
        <is>
          <t>STOCKHOLMS LÄN</t>
        </is>
      </c>
      <c r="E2025" t="inlineStr">
        <is>
          <t>NORRTÄLJE</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31057-2022</t>
        </is>
      </c>
      <c r="B2026" s="1" t="n">
        <v>44769</v>
      </c>
      <c r="C2026" s="1" t="n">
        <v>45186</v>
      </c>
      <c r="D2026" t="inlineStr">
        <is>
          <t>STOCKHOLMS LÄN</t>
        </is>
      </c>
      <c r="E2026" t="inlineStr">
        <is>
          <t>NORRTÄLJE</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31155-2022</t>
        </is>
      </c>
      <c r="B2027" s="1" t="n">
        <v>44770</v>
      </c>
      <c r="C2027" s="1" t="n">
        <v>45186</v>
      </c>
      <c r="D2027" t="inlineStr">
        <is>
          <t>STOCKHOLMS LÄN</t>
        </is>
      </c>
      <c r="E2027" t="inlineStr">
        <is>
          <t>UPPLANDS-BRO</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31160-2022</t>
        </is>
      </c>
      <c r="B2028" s="1" t="n">
        <v>44770</v>
      </c>
      <c r="C2028" s="1" t="n">
        <v>45186</v>
      </c>
      <c r="D2028" t="inlineStr">
        <is>
          <t>STOCKHOLMS LÄN</t>
        </is>
      </c>
      <c r="E2028" t="inlineStr">
        <is>
          <t>UPPLANDS-BRO</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31283-2022</t>
        </is>
      </c>
      <c r="B2029" s="1" t="n">
        <v>44771</v>
      </c>
      <c r="C2029" s="1" t="n">
        <v>45186</v>
      </c>
      <c r="D2029" t="inlineStr">
        <is>
          <t>STOCKHOLMS LÄN</t>
        </is>
      </c>
      <c r="E2029" t="inlineStr">
        <is>
          <t>NORRTÄLJE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31236-2022</t>
        </is>
      </c>
      <c r="B2030" s="1" t="n">
        <v>44771</v>
      </c>
      <c r="C2030" s="1" t="n">
        <v>45186</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31246-2022</t>
        </is>
      </c>
      <c r="B2031" s="1" t="n">
        <v>44771</v>
      </c>
      <c r="C2031" s="1" t="n">
        <v>45186</v>
      </c>
      <c r="D2031" t="inlineStr">
        <is>
          <t>STOCKHOLMS LÄN</t>
        </is>
      </c>
      <c r="E2031" t="inlineStr">
        <is>
          <t>HUDDINGE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31281-2022</t>
        </is>
      </c>
      <c r="B2032" s="1" t="n">
        <v>44771</v>
      </c>
      <c r="C2032" s="1" t="n">
        <v>45186</v>
      </c>
      <c r="D2032" t="inlineStr">
        <is>
          <t>STOCKHOLMS LÄN</t>
        </is>
      </c>
      <c r="E2032" t="inlineStr">
        <is>
          <t>NORRTÄLJE</t>
        </is>
      </c>
      <c r="F2032" t="inlineStr">
        <is>
          <t>Holmen skog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31559-2022</t>
        </is>
      </c>
      <c r="B2033" s="1" t="n">
        <v>44775</v>
      </c>
      <c r="C2033" s="1" t="n">
        <v>45186</v>
      </c>
      <c r="D2033" t="inlineStr">
        <is>
          <t>STOCKHOLMS LÄN</t>
        </is>
      </c>
      <c r="E2033" t="inlineStr">
        <is>
          <t>NORRTÄLJE</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31695-2022</t>
        </is>
      </c>
      <c r="B2034" s="1" t="n">
        <v>44776</v>
      </c>
      <c r="C2034" s="1" t="n">
        <v>45186</v>
      </c>
      <c r="D2034" t="inlineStr">
        <is>
          <t>STOCKHOLMS LÄN</t>
        </is>
      </c>
      <c r="E2034" t="inlineStr">
        <is>
          <t>SIGTUNA</t>
        </is>
      </c>
      <c r="F2034" t="inlineStr">
        <is>
          <t>Kommuner</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31807-2022</t>
        </is>
      </c>
      <c r="B2035" s="1" t="n">
        <v>44776</v>
      </c>
      <c r="C2035" s="1" t="n">
        <v>45186</v>
      </c>
      <c r="D2035" t="inlineStr">
        <is>
          <t>STOCKHOLMS LÄN</t>
        </is>
      </c>
      <c r="E2035" t="inlineStr">
        <is>
          <t>NORRTÄLJE</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31684-2022</t>
        </is>
      </c>
      <c r="B2036" s="1" t="n">
        <v>44776</v>
      </c>
      <c r="C2036" s="1" t="n">
        <v>45186</v>
      </c>
      <c r="D2036" t="inlineStr">
        <is>
          <t>STOCKHOLMS LÄN</t>
        </is>
      </c>
      <c r="E2036" t="inlineStr">
        <is>
          <t>SIGTUNA</t>
        </is>
      </c>
      <c r="F2036" t="inlineStr">
        <is>
          <t>Kommuner</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31697-2022</t>
        </is>
      </c>
      <c r="B2037" s="1" t="n">
        <v>44776</v>
      </c>
      <c r="C2037" s="1" t="n">
        <v>45186</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31924-2022</t>
        </is>
      </c>
      <c r="B2038" s="1" t="n">
        <v>44777</v>
      </c>
      <c r="C2038" s="1" t="n">
        <v>45186</v>
      </c>
      <c r="D2038" t="inlineStr">
        <is>
          <t>STOCKHOLMS LÄN</t>
        </is>
      </c>
      <c r="E2038" t="inlineStr">
        <is>
          <t>NORRTÄLJE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31936-2022</t>
        </is>
      </c>
      <c r="B2039" s="1" t="n">
        <v>44777</v>
      </c>
      <c r="C2039" s="1" t="n">
        <v>45186</v>
      </c>
      <c r="D2039" t="inlineStr">
        <is>
          <t>STOCKHOLMS LÄN</t>
        </is>
      </c>
      <c r="E2039" t="inlineStr">
        <is>
          <t>NORRTÄLJE</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31934-2022</t>
        </is>
      </c>
      <c r="B2040" s="1" t="n">
        <v>44777</v>
      </c>
      <c r="C2040" s="1" t="n">
        <v>45186</v>
      </c>
      <c r="D2040" t="inlineStr">
        <is>
          <t>STOCKHOLMS LÄN</t>
        </is>
      </c>
      <c r="E2040" t="inlineStr">
        <is>
          <t>NORRTÄLJE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31939-2022</t>
        </is>
      </c>
      <c r="B2041" s="1" t="n">
        <v>44777</v>
      </c>
      <c r="C2041" s="1" t="n">
        <v>45186</v>
      </c>
      <c r="D2041" t="inlineStr">
        <is>
          <t>STOCKHOLMS LÄN</t>
        </is>
      </c>
      <c r="E2041" t="inlineStr">
        <is>
          <t>NORRTÄLJE</t>
        </is>
      </c>
      <c r="G2041" t="n">
        <v>13.5</v>
      </c>
      <c r="H2041" t="n">
        <v>0</v>
      </c>
      <c r="I2041" t="n">
        <v>0</v>
      </c>
      <c r="J2041" t="n">
        <v>0</v>
      </c>
      <c r="K2041" t="n">
        <v>0</v>
      </c>
      <c r="L2041" t="n">
        <v>0</v>
      </c>
      <c r="M2041" t="n">
        <v>0</v>
      </c>
      <c r="N2041" t="n">
        <v>0</v>
      </c>
      <c r="O2041" t="n">
        <v>0</v>
      </c>
      <c r="P2041" t="n">
        <v>0</v>
      </c>
      <c r="Q2041" t="n">
        <v>0</v>
      </c>
      <c r="R2041" s="2" t="inlineStr"/>
    </row>
    <row r="2042" ht="15" customHeight="1">
      <c r="A2042" t="inlineStr">
        <is>
          <t>A 31926-2022</t>
        </is>
      </c>
      <c r="B2042" s="1" t="n">
        <v>44777</v>
      </c>
      <c r="C2042" s="1" t="n">
        <v>45186</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31938-2022</t>
        </is>
      </c>
      <c r="B2043" s="1" t="n">
        <v>44777</v>
      </c>
      <c r="C2043" s="1" t="n">
        <v>45186</v>
      </c>
      <c r="D2043" t="inlineStr">
        <is>
          <t>STOCKHOLMS LÄN</t>
        </is>
      </c>
      <c r="E2043" t="inlineStr">
        <is>
          <t>NORRTÄLJE</t>
        </is>
      </c>
      <c r="G2043" t="n">
        <v>7.8</v>
      </c>
      <c r="H2043" t="n">
        <v>0</v>
      </c>
      <c r="I2043" t="n">
        <v>0</v>
      </c>
      <c r="J2043" t="n">
        <v>0</v>
      </c>
      <c r="K2043" t="n">
        <v>0</v>
      </c>
      <c r="L2043" t="n">
        <v>0</v>
      </c>
      <c r="M2043" t="n">
        <v>0</v>
      </c>
      <c r="N2043" t="n">
        <v>0</v>
      </c>
      <c r="O2043" t="n">
        <v>0</v>
      </c>
      <c r="P2043" t="n">
        <v>0</v>
      </c>
      <c r="Q2043" t="n">
        <v>0</v>
      </c>
      <c r="R2043" s="2" t="inlineStr"/>
    </row>
    <row r="2044" ht="15" customHeight="1">
      <c r="A2044" t="inlineStr">
        <is>
          <t>A 32100-2022</t>
        </is>
      </c>
      <c r="B2044" s="1" t="n">
        <v>44778</v>
      </c>
      <c r="C2044" s="1" t="n">
        <v>45186</v>
      </c>
      <c r="D2044" t="inlineStr">
        <is>
          <t>STOCKHOLMS LÄN</t>
        </is>
      </c>
      <c r="E2044" t="inlineStr">
        <is>
          <t>NORRTÄLJE</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32103-2022</t>
        </is>
      </c>
      <c r="B2045" s="1" t="n">
        <v>44778</v>
      </c>
      <c r="C2045" s="1" t="n">
        <v>45186</v>
      </c>
      <c r="D2045" t="inlineStr">
        <is>
          <t>STOCKHOLMS LÄN</t>
        </is>
      </c>
      <c r="E2045" t="inlineStr">
        <is>
          <t>NORRTÄLJE</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32508-2022</t>
        </is>
      </c>
      <c r="B2046" s="1" t="n">
        <v>44782</v>
      </c>
      <c r="C2046" s="1" t="n">
        <v>45186</v>
      </c>
      <c r="D2046" t="inlineStr">
        <is>
          <t>STOCKHOLMS LÄN</t>
        </is>
      </c>
      <c r="E2046" t="inlineStr">
        <is>
          <t>HUDDINGE</t>
        </is>
      </c>
      <c r="F2046" t="inlineStr">
        <is>
          <t>Kommuner</t>
        </is>
      </c>
      <c r="G2046" t="n">
        <v>4.7</v>
      </c>
      <c r="H2046" t="n">
        <v>0</v>
      </c>
      <c r="I2046" t="n">
        <v>0</v>
      </c>
      <c r="J2046" t="n">
        <v>0</v>
      </c>
      <c r="K2046" t="n">
        <v>0</v>
      </c>
      <c r="L2046" t="n">
        <v>0</v>
      </c>
      <c r="M2046" t="n">
        <v>0</v>
      </c>
      <c r="N2046" t="n">
        <v>0</v>
      </c>
      <c r="O2046" t="n">
        <v>0</v>
      </c>
      <c r="P2046" t="n">
        <v>0</v>
      </c>
      <c r="Q2046" t="n">
        <v>0</v>
      </c>
      <c r="R2046" s="2" t="inlineStr"/>
    </row>
    <row r="2047" ht="15" customHeight="1">
      <c r="A2047" t="inlineStr">
        <is>
          <t>A 32514-2022</t>
        </is>
      </c>
      <c r="B2047" s="1" t="n">
        <v>44782</v>
      </c>
      <c r="C2047" s="1" t="n">
        <v>45186</v>
      </c>
      <c r="D2047" t="inlineStr">
        <is>
          <t>STOCKHOLMS LÄN</t>
        </is>
      </c>
      <c r="E2047" t="inlineStr">
        <is>
          <t>NORRTÄLJE</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32705-2022</t>
        </is>
      </c>
      <c r="B2048" s="1" t="n">
        <v>44783</v>
      </c>
      <c r="C2048" s="1" t="n">
        <v>45186</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32828-2022</t>
        </is>
      </c>
      <c r="B2049" s="1" t="n">
        <v>44784</v>
      </c>
      <c r="C2049" s="1" t="n">
        <v>45186</v>
      </c>
      <c r="D2049" t="inlineStr">
        <is>
          <t>STOCKHOLMS LÄN</t>
        </is>
      </c>
      <c r="E2049" t="inlineStr">
        <is>
          <t>BOTKYRKA</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33149-2022</t>
        </is>
      </c>
      <c r="B2050" s="1" t="n">
        <v>44785</v>
      </c>
      <c r="C2050" s="1" t="n">
        <v>45186</v>
      </c>
      <c r="D2050" t="inlineStr">
        <is>
          <t>STOCKHOLMS LÄN</t>
        </is>
      </c>
      <c r="E2050" t="inlineStr">
        <is>
          <t>NORRTÄLJE</t>
        </is>
      </c>
      <c r="F2050" t="inlineStr">
        <is>
          <t>Holmen skog AB</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33046-2022</t>
        </is>
      </c>
      <c r="B2051" s="1" t="n">
        <v>44785</v>
      </c>
      <c r="C2051" s="1" t="n">
        <v>45186</v>
      </c>
      <c r="D2051" t="inlineStr">
        <is>
          <t>STOCKHOLMS LÄN</t>
        </is>
      </c>
      <c r="E2051" t="inlineStr">
        <is>
          <t>VÄRMDÖ</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33667-2022</t>
        </is>
      </c>
      <c r="B2052" s="1" t="n">
        <v>44789</v>
      </c>
      <c r="C2052" s="1" t="n">
        <v>45186</v>
      </c>
      <c r="D2052" t="inlineStr">
        <is>
          <t>STOCKHOLMS LÄN</t>
        </is>
      </c>
      <c r="E2052" t="inlineStr">
        <is>
          <t>NYNÄSHAMN</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33793-2022</t>
        </is>
      </c>
      <c r="B2053" s="1" t="n">
        <v>44790</v>
      </c>
      <c r="C2053" s="1" t="n">
        <v>45186</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33902-2022</t>
        </is>
      </c>
      <c r="B2054" s="1" t="n">
        <v>44790</v>
      </c>
      <c r="C2054" s="1" t="n">
        <v>45186</v>
      </c>
      <c r="D2054" t="inlineStr">
        <is>
          <t>STOCKHOLMS LÄN</t>
        </is>
      </c>
      <c r="E2054" t="inlineStr">
        <is>
          <t>SÖDERTÄLJE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33895-2022</t>
        </is>
      </c>
      <c r="B2055" s="1" t="n">
        <v>44790</v>
      </c>
      <c r="C2055" s="1" t="n">
        <v>45186</v>
      </c>
      <c r="D2055" t="inlineStr">
        <is>
          <t>STOCKHOLMS LÄN</t>
        </is>
      </c>
      <c r="E2055" t="inlineStr">
        <is>
          <t>NORRTÄLJE</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34773-2022</t>
        </is>
      </c>
      <c r="B2056" s="1" t="n">
        <v>44795</v>
      </c>
      <c r="C2056" s="1" t="n">
        <v>45186</v>
      </c>
      <c r="D2056" t="inlineStr">
        <is>
          <t>STOCKHOLMS LÄN</t>
        </is>
      </c>
      <c r="E2056" t="inlineStr">
        <is>
          <t>NORRTÄLJE</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34926-2022</t>
        </is>
      </c>
      <c r="B2057" s="1" t="n">
        <v>44796</v>
      </c>
      <c r="C2057" s="1" t="n">
        <v>45186</v>
      </c>
      <c r="D2057" t="inlineStr">
        <is>
          <t>STOCKHOLMS LÄN</t>
        </is>
      </c>
      <c r="E2057" t="inlineStr">
        <is>
          <t>VAXHOLM</t>
        </is>
      </c>
      <c r="F2057" t="inlineStr">
        <is>
          <t>Övriga statliga verk och myndigheter</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35161-2022</t>
        </is>
      </c>
      <c r="B2058" s="1" t="n">
        <v>44797</v>
      </c>
      <c r="C2058" s="1" t="n">
        <v>45186</v>
      </c>
      <c r="D2058" t="inlineStr">
        <is>
          <t>STOCKHOLMS LÄN</t>
        </is>
      </c>
      <c r="E2058" t="inlineStr">
        <is>
          <t>NORRTÄLJE</t>
        </is>
      </c>
      <c r="G2058" t="n">
        <v>6</v>
      </c>
      <c r="H2058" t="n">
        <v>0</v>
      </c>
      <c r="I2058" t="n">
        <v>0</v>
      </c>
      <c r="J2058" t="n">
        <v>0</v>
      </c>
      <c r="K2058" t="n">
        <v>0</v>
      </c>
      <c r="L2058" t="n">
        <v>0</v>
      </c>
      <c r="M2058" t="n">
        <v>0</v>
      </c>
      <c r="N2058" t="n">
        <v>0</v>
      </c>
      <c r="O2058" t="n">
        <v>0</v>
      </c>
      <c r="P2058" t="n">
        <v>0</v>
      </c>
      <c r="Q2058" t="n">
        <v>0</v>
      </c>
      <c r="R2058" s="2" t="inlineStr"/>
    </row>
    <row r="2059" ht="15" customHeight="1">
      <c r="A2059" t="inlineStr">
        <is>
          <t>A 35121-2022</t>
        </is>
      </c>
      <c r="B2059" s="1" t="n">
        <v>44797</v>
      </c>
      <c r="C2059" s="1" t="n">
        <v>45186</v>
      </c>
      <c r="D2059" t="inlineStr">
        <is>
          <t>STOCKHOLMS LÄN</t>
        </is>
      </c>
      <c r="E2059" t="inlineStr">
        <is>
          <t>NORRTÄLJE</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35404-2022</t>
        </is>
      </c>
      <c r="B2060" s="1" t="n">
        <v>44798</v>
      </c>
      <c r="C2060" s="1" t="n">
        <v>45186</v>
      </c>
      <c r="D2060" t="inlineStr">
        <is>
          <t>STOCKHOLMS LÄN</t>
        </is>
      </c>
      <c r="E2060" t="inlineStr">
        <is>
          <t>HUDDINGE</t>
        </is>
      </c>
      <c r="F2060" t="inlineStr">
        <is>
          <t>Kommuner</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36063-2022</t>
        </is>
      </c>
      <c r="B2061" s="1" t="n">
        <v>44802</v>
      </c>
      <c r="C2061" s="1" t="n">
        <v>45186</v>
      </c>
      <c r="D2061" t="inlineStr">
        <is>
          <t>STOCKHOLMS LÄN</t>
        </is>
      </c>
      <c r="E2061" t="inlineStr">
        <is>
          <t>EKERÖ</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35882-2022</t>
        </is>
      </c>
      <c r="B2062" s="1" t="n">
        <v>44802</v>
      </c>
      <c r="C2062" s="1" t="n">
        <v>45186</v>
      </c>
      <c r="D2062" t="inlineStr">
        <is>
          <t>STOCKHOLMS LÄN</t>
        </is>
      </c>
      <c r="E2062" t="inlineStr">
        <is>
          <t>SÖDERTÄLJE</t>
        </is>
      </c>
      <c r="G2062" t="n">
        <v>10.8</v>
      </c>
      <c r="H2062" t="n">
        <v>0</v>
      </c>
      <c r="I2062" t="n">
        <v>0</v>
      </c>
      <c r="J2062" t="n">
        <v>0</v>
      </c>
      <c r="K2062" t="n">
        <v>0</v>
      </c>
      <c r="L2062" t="n">
        <v>0</v>
      </c>
      <c r="M2062" t="n">
        <v>0</v>
      </c>
      <c r="N2062" t="n">
        <v>0</v>
      </c>
      <c r="O2062" t="n">
        <v>0</v>
      </c>
      <c r="P2062" t="n">
        <v>0</v>
      </c>
      <c r="Q2062" t="n">
        <v>0</v>
      </c>
      <c r="R2062" s="2" t="inlineStr"/>
    </row>
    <row r="2063" ht="15" customHeight="1">
      <c r="A2063" t="inlineStr">
        <is>
          <t>A 35918-2022</t>
        </is>
      </c>
      <c r="B2063" s="1" t="n">
        <v>44802</v>
      </c>
      <c r="C2063" s="1" t="n">
        <v>45186</v>
      </c>
      <c r="D2063" t="inlineStr">
        <is>
          <t>STOCKHOLMS LÄN</t>
        </is>
      </c>
      <c r="E2063" t="inlineStr">
        <is>
          <t>SÖDERTÄLJE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36113-2022</t>
        </is>
      </c>
      <c r="B2064" s="1" t="n">
        <v>44802</v>
      </c>
      <c r="C2064" s="1" t="n">
        <v>45186</v>
      </c>
      <c r="D2064" t="inlineStr">
        <is>
          <t>STOCKHOLMS LÄN</t>
        </is>
      </c>
      <c r="E2064" t="inlineStr">
        <is>
          <t>SÖDERTÄLJE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35942-2022</t>
        </is>
      </c>
      <c r="B2065" s="1" t="n">
        <v>44802</v>
      </c>
      <c r="C2065" s="1" t="n">
        <v>45186</v>
      </c>
      <c r="D2065" t="inlineStr">
        <is>
          <t>STOCKHOLMS LÄN</t>
        </is>
      </c>
      <c r="E2065" t="inlineStr">
        <is>
          <t>SÖDERTÄLJE</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36112-2022</t>
        </is>
      </c>
      <c r="B2066" s="1" t="n">
        <v>44802</v>
      </c>
      <c r="C2066" s="1" t="n">
        <v>45186</v>
      </c>
      <c r="D2066" t="inlineStr">
        <is>
          <t>STOCKHOLMS LÄN</t>
        </is>
      </c>
      <c r="E2066" t="inlineStr">
        <is>
          <t>SÖDERTÄLJE</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35906-2022</t>
        </is>
      </c>
      <c r="B2067" s="1" t="n">
        <v>44802</v>
      </c>
      <c r="C2067" s="1" t="n">
        <v>45186</v>
      </c>
      <c r="D2067" t="inlineStr">
        <is>
          <t>STOCKHOLMS LÄN</t>
        </is>
      </c>
      <c r="E2067" t="inlineStr">
        <is>
          <t>SÖDERTÄLJE</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36181-2022</t>
        </is>
      </c>
      <c r="B2068" s="1" t="n">
        <v>44803</v>
      </c>
      <c r="C2068" s="1" t="n">
        <v>45186</v>
      </c>
      <c r="D2068" t="inlineStr">
        <is>
          <t>STOCKHOLMS LÄN</t>
        </is>
      </c>
      <c r="E2068" t="inlineStr">
        <is>
          <t>SIGTUNA</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36269-2022</t>
        </is>
      </c>
      <c r="B2069" s="1" t="n">
        <v>44803</v>
      </c>
      <c r="C2069" s="1" t="n">
        <v>45186</v>
      </c>
      <c r="D2069" t="inlineStr">
        <is>
          <t>STOCKHOLMS LÄN</t>
        </is>
      </c>
      <c r="E2069" t="inlineStr">
        <is>
          <t>NORRTÄLJE</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36179-2022</t>
        </is>
      </c>
      <c r="B2070" s="1" t="n">
        <v>44803</v>
      </c>
      <c r="C2070" s="1" t="n">
        <v>45186</v>
      </c>
      <c r="D2070" t="inlineStr">
        <is>
          <t>STOCKHOLMS LÄN</t>
        </is>
      </c>
      <c r="E2070" t="inlineStr">
        <is>
          <t>SIGTUNA</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36308-2022</t>
        </is>
      </c>
      <c r="B2071" s="1" t="n">
        <v>44803</v>
      </c>
      <c r="C2071" s="1" t="n">
        <v>45186</v>
      </c>
      <c r="D2071" t="inlineStr">
        <is>
          <t>STOCKHOLMS LÄN</t>
        </is>
      </c>
      <c r="E2071" t="inlineStr">
        <is>
          <t>NORRTÄLJE</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37000-2022</t>
        </is>
      </c>
      <c r="B2072" s="1" t="n">
        <v>44806</v>
      </c>
      <c r="C2072" s="1" t="n">
        <v>45186</v>
      </c>
      <c r="D2072" t="inlineStr">
        <is>
          <t>STOCKHOLMS LÄN</t>
        </is>
      </c>
      <c r="E2072" t="inlineStr">
        <is>
          <t>HANINGE</t>
        </is>
      </c>
      <c r="F2072" t="inlineStr">
        <is>
          <t>Övriga statliga verk och myndigheter</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37444-2022</t>
        </is>
      </c>
      <c r="B2073" s="1" t="n">
        <v>44809</v>
      </c>
      <c r="C2073" s="1" t="n">
        <v>45186</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37491-2022</t>
        </is>
      </c>
      <c r="B2074" s="1" t="n">
        <v>44809</v>
      </c>
      <c r="C2074" s="1" t="n">
        <v>45186</v>
      </c>
      <c r="D2074" t="inlineStr">
        <is>
          <t>STOCKHOLMS LÄN</t>
        </is>
      </c>
      <c r="E2074" t="inlineStr">
        <is>
          <t>NYNÄSHAMN</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37442-2022</t>
        </is>
      </c>
      <c r="B2075" s="1" t="n">
        <v>44809</v>
      </c>
      <c r="C2075" s="1" t="n">
        <v>45186</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37550-2022</t>
        </is>
      </c>
      <c r="B2076" s="1" t="n">
        <v>44809</v>
      </c>
      <c r="C2076" s="1" t="n">
        <v>45186</v>
      </c>
      <c r="D2076" t="inlineStr">
        <is>
          <t>STOCKHOLMS LÄN</t>
        </is>
      </c>
      <c r="E2076" t="inlineStr">
        <is>
          <t>NORRTÄLJE</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37842-2022</t>
        </is>
      </c>
      <c r="B2077" s="1" t="n">
        <v>44810</v>
      </c>
      <c r="C2077" s="1" t="n">
        <v>45186</v>
      </c>
      <c r="D2077" t="inlineStr">
        <is>
          <t>STOCKHOLMS LÄN</t>
        </is>
      </c>
      <c r="E2077" t="inlineStr">
        <is>
          <t>SÖDERTÄLJE</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37843-2022</t>
        </is>
      </c>
      <c r="B2078" s="1" t="n">
        <v>44810</v>
      </c>
      <c r="C2078" s="1" t="n">
        <v>45186</v>
      </c>
      <c r="D2078" t="inlineStr">
        <is>
          <t>STOCKHOLMS LÄN</t>
        </is>
      </c>
      <c r="E2078" t="inlineStr">
        <is>
          <t>SÖDERTÄLJE</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37679-2022</t>
        </is>
      </c>
      <c r="B2079" s="1" t="n">
        <v>44810</v>
      </c>
      <c r="C2079" s="1" t="n">
        <v>45186</v>
      </c>
      <c r="D2079" t="inlineStr">
        <is>
          <t>STOCKHOLMS LÄN</t>
        </is>
      </c>
      <c r="E2079" t="inlineStr">
        <is>
          <t>NORRTÄLJE</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37844-2022</t>
        </is>
      </c>
      <c r="B2080" s="1" t="n">
        <v>44810</v>
      </c>
      <c r="C2080" s="1" t="n">
        <v>45186</v>
      </c>
      <c r="D2080" t="inlineStr">
        <is>
          <t>STOCKHOLMS LÄN</t>
        </is>
      </c>
      <c r="E2080" t="inlineStr">
        <is>
          <t>SÖDERTÄLJE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38079-2022</t>
        </is>
      </c>
      <c r="B2081" s="1" t="n">
        <v>44811</v>
      </c>
      <c r="C2081" s="1" t="n">
        <v>45186</v>
      </c>
      <c r="D2081" t="inlineStr">
        <is>
          <t>STOCKHOLMS LÄN</t>
        </is>
      </c>
      <c r="E2081" t="inlineStr">
        <is>
          <t>SÖDERTÄLJE</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38194-2022</t>
        </is>
      </c>
      <c r="B2082" s="1" t="n">
        <v>44812</v>
      </c>
      <c r="C2082" s="1" t="n">
        <v>45186</v>
      </c>
      <c r="D2082" t="inlineStr">
        <is>
          <t>STOCKHOLMS LÄN</t>
        </is>
      </c>
      <c r="E2082" t="inlineStr">
        <is>
          <t>BOTKYRKA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38202-2022</t>
        </is>
      </c>
      <c r="B2083" s="1" t="n">
        <v>44812</v>
      </c>
      <c r="C2083" s="1" t="n">
        <v>45186</v>
      </c>
      <c r="D2083" t="inlineStr">
        <is>
          <t>STOCKHOLMS LÄN</t>
        </is>
      </c>
      <c r="E2083" t="inlineStr">
        <is>
          <t>BOTKYRKA</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38250-2022</t>
        </is>
      </c>
      <c r="B2084" s="1" t="n">
        <v>44812</v>
      </c>
      <c r="C2084" s="1" t="n">
        <v>45186</v>
      </c>
      <c r="D2084" t="inlineStr">
        <is>
          <t>STOCKHOLMS LÄN</t>
        </is>
      </c>
      <c r="E2084" t="inlineStr">
        <is>
          <t>SÖDERTÄLJE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38196-2022</t>
        </is>
      </c>
      <c r="B2085" s="1" t="n">
        <v>44812</v>
      </c>
      <c r="C2085" s="1" t="n">
        <v>45186</v>
      </c>
      <c r="D2085" t="inlineStr">
        <is>
          <t>STOCKHOLMS LÄN</t>
        </is>
      </c>
      <c r="E2085" t="inlineStr">
        <is>
          <t>BOTKYRKA</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38590-2022</t>
        </is>
      </c>
      <c r="B2086" s="1" t="n">
        <v>44813</v>
      </c>
      <c r="C2086" s="1" t="n">
        <v>45186</v>
      </c>
      <c r="D2086" t="inlineStr">
        <is>
          <t>STOCKHOLMS LÄN</t>
        </is>
      </c>
      <c r="E2086" t="inlineStr">
        <is>
          <t>NORRTÄLJE</t>
        </is>
      </c>
      <c r="G2086" t="n">
        <v>5.9</v>
      </c>
      <c r="H2086" t="n">
        <v>0</v>
      </c>
      <c r="I2086" t="n">
        <v>0</v>
      </c>
      <c r="J2086" t="n">
        <v>0</v>
      </c>
      <c r="K2086" t="n">
        <v>0</v>
      </c>
      <c r="L2086" t="n">
        <v>0</v>
      </c>
      <c r="M2086" t="n">
        <v>0</v>
      </c>
      <c r="N2086" t="n">
        <v>0</v>
      </c>
      <c r="O2086" t="n">
        <v>0</v>
      </c>
      <c r="P2086" t="n">
        <v>0</v>
      </c>
      <c r="Q2086" t="n">
        <v>0</v>
      </c>
      <c r="R2086" s="2" t="inlineStr"/>
    </row>
    <row r="2087" ht="15" customHeight="1">
      <c r="A2087" t="inlineStr">
        <is>
          <t>A 38612-2022</t>
        </is>
      </c>
      <c r="B2087" s="1" t="n">
        <v>44813</v>
      </c>
      <c r="C2087" s="1" t="n">
        <v>45186</v>
      </c>
      <c r="D2087" t="inlineStr">
        <is>
          <t>STOCKHOLMS LÄN</t>
        </is>
      </c>
      <c r="E2087" t="inlineStr">
        <is>
          <t>NORRTÄLJE</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38449-2022</t>
        </is>
      </c>
      <c r="B2088" s="1" t="n">
        <v>44813</v>
      </c>
      <c r="C2088" s="1" t="n">
        <v>45186</v>
      </c>
      <c r="D2088" t="inlineStr">
        <is>
          <t>STOCKHOLMS LÄN</t>
        </is>
      </c>
      <c r="E2088" t="inlineStr">
        <is>
          <t>NORRTÄLJE</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38721-2022</t>
        </is>
      </c>
      <c r="B2089" s="1" t="n">
        <v>44815</v>
      </c>
      <c r="C2089" s="1" t="n">
        <v>45186</v>
      </c>
      <c r="D2089" t="inlineStr">
        <is>
          <t>STOCKHOLMS LÄN</t>
        </is>
      </c>
      <c r="E2089" t="inlineStr">
        <is>
          <t>NORRTÄLJE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38985-2022</t>
        </is>
      </c>
      <c r="B2090" s="1" t="n">
        <v>44816</v>
      </c>
      <c r="C2090" s="1" t="n">
        <v>45186</v>
      </c>
      <c r="D2090" t="inlineStr">
        <is>
          <t>STOCKHOLMS LÄN</t>
        </is>
      </c>
      <c r="E2090" t="inlineStr">
        <is>
          <t>NORRTÄLJE</t>
        </is>
      </c>
      <c r="G2090" t="n">
        <v>10.1</v>
      </c>
      <c r="H2090" t="n">
        <v>0</v>
      </c>
      <c r="I2090" t="n">
        <v>0</v>
      </c>
      <c r="J2090" t="n">
        <v>0</v>
      </c>
      <c r="K2090" t="n">
        <v>0</v>
      </c>
      <c r="L2090" t="n">
        <v>0</v>
      </c>
      <c r="M2090" t="n">
        <v>0</v>
      </c>
      <c r="N2090" t="n">
        <v>0</v>
      </c>
      <c r="O2090" t="n">
        <v>0</v>
      </c>
      <c r="P2090" t="n">
        <v>0</v>
      </c>
      <c r="Q2090" t="n">
        <v>0</v>
      </c>
      <c r="R2090" s="2" t="inlineStr"/>
    </row>
    <row r="2091" ht="15" customHeight="1">
      <c r="A2091" t="inlineStr">
        <is>
          <t>A 38759-2022</t>
        </is>
      </c>
      <c r="B2091" s="1" t="n">
        <v>44816</v>
      </c>
      <c r="C2091" s="1" t="n">
        <v>45186</v>
      </c>
      <c r="D2091" t="inlineStr">
        <is>
          <t>STOCKHOLMS LÄN</t>
        </is>
      </c>
      <c r="E2091" t="inlineStr">
        <is>
          <t>NORRTÄLJE</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38927-2022</t>
        </is>
      </c>
      <c r="B2092" s="1" t="n">
        <v>44816</v>
      </c>
      <c r="C2092" s="1" t="n">
        <v>45186</v>
      </c>
      <c r="D2092" t="inlineStr">
        <is>
          <t>STOCKHOLMS LÄN</t>
        </is>
      </c>
      <c r="E2092" t="inlineStr">
        <is>
          <t>NORRTÄLJE</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38990-2022</t>
        </is>
      </c>
      <c r="B2093" s="1" t="n">
        <v>44816</v>
      </c>
      <c r="C2093" s="1" t="n">
        <v>45186</v>
      </c>
      <c r="D2093" t="inlineStr">
        <is>
          <t>STOCKHOLMS LÄN</t>
        </is>
      </c>
      <c r="E2093" t="inlineStr">
        <is>
          <t>NORRTÄLJE</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39869-2022</t>
        </is>
      </c>
      <c r="B2094" s="1" t="n">
        <v>44819</v>
      </c>
      <c r="C2094" s="1" t="n">
        <v>45186</v>
      </c>
      <c r="D2094" t="inlineStr">
        <is>
          <t>STOCKHOLMS LÄN</t>
        </is>
      </c>
      <c r="E2094" t="inlineStr">
        <is>
          <t>NORRTÄLJE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39854-2022</t>
        </is>
      </c>
      <c r="B2095" s="1" t="n">
        <v>44819</v>
      </c>
      <c r="C2095" s="1" t="n">
        <v>45186</v>
      </c>
      <c r="D2095" t="inlineStr">
        <is>
          <t>STOCKHOLMS LÄN</t>
        </is>
      </c>
      <c r="E2095" t="inlineStr">
        <is>
          <t>NORRTÄLJE</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39867-2022</t>
        </is>
      </c>
      <c r="B2096" s="1" t="n">
        <v>44819</v>
      </c>
      <c r="C2096" s="1" t="n">
        <v>45186</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40504-2022</t>
        </is>
      </c>
      <c r="B2097" s="1" t="n">
        <v>44823</v>
      </c>
      <c r="C2097" s="1" t="n">
        <v>45186</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40419-2022</t>
        </is>
      </c>
      <c r="B2098" s="1" t="n">
        <v>44823</v>
      </c>
      <c r="C2098" s="1" t="n">
        <v>45186</v>
      </c>
      <c r="D2098" t="inlineStr">
        <is>
          <t>STOCKHOLMS LÄN</t>
        </is>
      </c>
      <c r="E2098" t="inlineStr">
        <is>
          <t>NORRTÄLJE</t>
        </is>
      </c>
      <c r="F2098" t="inlineStr">
        <is>
          <t>Holmen skog AB</t>
        </is>
      </c>
      <c r="G2098" t="n">
        <v>6.1</v>
      </c>
      <c r="H2098" t="n">
        <v>0</v>
      </c>
      <c r="I2098" t="n">
        <v>0</v>
      </c>
      <c r="J2098" t="n">
        <v>0</v>
      </c>
      <c r="K2098" t="n">
        <v>0</v>
      </c>
      <c r="L2098" t="n">
        <v>0</v>
      </c>
      <c r="M2098" t="n">
        <v>0</v>
      </c>
      <c r="N2098" t="n">
        <v>0</v>
      </c>
      <c r="O2098" t="n">
        <v>0</v>
      </c>
      <c r="P2098" t="n">
        <v>0</v>
      </c>
      <c r="Q2098" t="n">
        <v>0</v>
      </c>
      <c r="R2098" s="2" t="inlineStr"/>
    </row>
    <row r="2099" ht="15" customHeight="1">
      <c r="A2099" t="inlineStr">
        <is>
          <t>A 40503-2022</t>
        </is>
      </c>
      <c r="B2099" s="1" t="n">
        <v>44823</v>
      </c>
      <c r="C2099" s="1" t="n">
        <v>45186</v>
      </c>
      <c r="D2099" t="inlineStr">
        <is>
          <t>STOCKHOLMS LÄN</t>
        </is>
      </c>
      <c r="E2099" t="inlineStr">
        <is>
          <t>NORRTÄLJE</t>
        </is>
      </c>
      <c r="G2099" t="n">
        <v>5.1</v>
      </c>
      <c r="H2099" t="n">
        <v>0</v>
      </c>
      <c r="I2099" t="n">
        <v>0</v>
      </c>
      <c r="J2099" t="n">
        <v>0</v>
      </c>
      <c r="K2099" t="n">
        <v>0</v>
      </c>
      <c r="L2099" t="n">
        <v>0</v>
      </c>
      <c r="M2099" t="n">
        <v>0</v>
      </c>
      <c r="N2099" t="n">
        <v>0</v>
      </c>
      <c r="O2099" t="n">
        <v>0</v>
      </c>
      <c r="P2099" t="n">
        <v>0</v>
      </c>
      <c r="Q2099" t="n">
        <v>0</v>
      </c>
      <c r="R2099" s="2" t="inlineStr"/>
    </row>
    <row r="2100" ht="15" customHeight="1">
      <c r="A2100" t="inlineStr">
        <is>
          <t>A 40816-2022</t>
        </is>
      </c>
      <c r="B2100" s="1" t="n">
        <v>44824</v>
      </c>
      <c r="C2100" s="1" t="n">
        <v>45186</v>
      </c>
      <c r="D2100" t="inlineStr">
        <is>
          <t>STOCKHOLMS LÄN</t>
        </is>
      </c>
      <c r="E2100" t="inlineStr">
        <is>
          <t>SÖDERTÄLJE</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41034-2022</t>
        </is>
      </c>
      <c r="B2101" s="1" t="n">
        <v>44824</v>
      </c>
      <c r="C2101" s="1" t="n">
        <v>45186</v>
      </c>
      <c r="D2101" t="inlineStr">
        <is>
          <t>STOCKHOLMS LÄN</t>
        </is>
      </c>
      <c r="E2101" t="inlineStr">
        <is>
          <t>BOTKYRKA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40801-2022</t>
        </is>
      </c>
      <c r="B2102" s="1" t="n">
        <v>44824</v>
      </c>
      <c r="C2102" s="1" t="n">
        <v>45186</v>
      </c>
      <c r="D2102" t="inlineStr">
        <is>
          <t>STOCKHOLMS LÄN</t>
        </is>
      </c>
      <c r="E2102" t="inlineStr">
        <is>
          <t>SÖDERTÄLJE</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41266-2022</t>
        </is>
      </c>
      <c r="B2103" s="1" t="n">
        <v>44825</v>
      </c>
      <c r="C2103" s="1" t="n">
        <v>45186</v>
      </c>
      <c r="D2103" t="inlineStr">
        <is>
          <t>STOCKHOLMS LÄN</t>
        </is>
      </c>
      <c r="E2103" t="inlineStr">
        <is>
          <t>HANINGE</t>
        </is>
      </c>
      <c r="F2103" t="inlineStr">
        <is>
          <t>Övriga statliga verk och myndigheter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41259-2022</t>
        </is>
      </c>
      <c r="B2104" s="1" t="n">
        <v>44825</v>
      </c>
      <c r="C2104" s="1" t="n">
        <v>45186</v>
      </c>
      <c r="D2104" t="inlineStr">
        <is>
          <t>STOCKHOLMS LÄN</t>
        </is>
      </c>
      <c r="E2104" t="inlineStr">
        <is>
          <t>HANINGE</t>
        </is>
      </c>
      <c r="F2104" t="inlineStr">
        <is>
          <t>Övriga statliga verk och myndigheter</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41263-2022</t>
        </is>
      </c>
      <c r="B2105" s="1" t="n">
        <v>44825</v>
      </c>
      <c r="C2105" s="1" t="n">
        <v>45186</v>
      </c>
      <c r="D2105" t="inlineStr">
        <is>
          <t>STOCKHOLMS LÄN</t>
        </is>
      </c>
      <c r="E2105" t="inlineStr">
        <is>
          <t>HANINGE</t>
        </is>
      </c>
      <c r="F2105" t="inlineStr">
        <is>
          <t>Övriga statliga verk och myndigheter</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41398-2022</t>
        </is>
      </c>
      <c r="B2106" s="1" t="n">
        <v>44826</v>
      </c>
      <c r="C2106" s="1" t="n">
        <v>45186</v>
      </c>
      <c r="D2106" t="inlineStr">
        <is>
          <t>STOCKHOLMS LÄN</t>
        </is>
      </c>
      <c r="E2106" t="inlineStr">
        <is>
          <t>NORRTÄLJE</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41693-2022</t>
        </is>
      </c>
      <c r="B2107" s="1" t="n">
        <v>44827</v>
      </c>
      <c r="C2107" s="1" t="n">
        <v>45186</v>
      </c>
      <c r="D2107" t="inlineStr">
        <is>
          <t>STOCKHOLMS LÄN</t>
        </is>
      </c>
      <c r="E2107" t="inlineStr">
        <is>
          <t>SIGTUNA</t>
        </is>
      </c>
      <c r="F2107" t="inlineStr">
        <is>
          <t>Allmännings- och besparingsskogar</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42126-2022</t>
        </is>
      </c>
      <c r="B2108" s="1" t="n">
        <v>44830</v>
      </c>
      <c r="C2108" s="1" t="n">
        <v>45186</v>
      </c>
      <c r="D2108" t="inlineStr">
        <is>
          <t>STOCKHOLMS LÄN</t>
        </is>
      </c>
      <c r="E2108" t="inlineStr">
        <is>
          <t>NORRTÄLJE</t>
        </is>
      </c>
      <c r="F2108" t="inlineStr">
        <is>
          <t>Holmen skog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42162-2022</t>
        </is>
      </c>
      <c r="B2109" s="1" t="n">
        <v>44830</v>
      </c>
      <c r="C2109" s="1" t="n">
        <v>45186</v>
      </c>
      <c r="D2109" t="inlineStr">
        <is>
          <t>STOCKHOLMS LÄN</t>
        </is>
      </c>
      <c r="E2109" t="inlineStr">
        <is>
          <t>SIGTUNA</t>
        </is>
      </c>
      <c r="F2109" t="inlineStr">
        <is>
          <t>Övriga statliga verk och myndigheter</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42867-2022</t>
        </is>
      </c>
      <c r="B2110" s="1" t="n">
        <v>44832</v>
      </c>
      <c r="C2110" s="1" t="n">
        <v>45186</v>
      </c>
      <c r="D2110" t="inlineStr">
        <is>
          <t>STOCKHOLMS LÄN</t>
        </is>
      </c>
      <c r="E2110" t="inlineStr">
        <is>
          <t>NORRTÄLJE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43036-2022</t>
        </is>
      </c>
      <c r="B2111" s="1" t="n">
        <v>44833</v>
      </c>
      <c r="C2111" s="1" t="n">
        <v>45186</v>
      </c>
      <c r="D2111" t="inlineStr">
        <is>
          <t>STOCKHOLMS LÄN</t>
        </is>
      </c>
      <c r="E2111" t="inlineStr">
        <is>
          <t>NORRTÄLJE</t>
        </is>
      </c>
      <c r="F2111" t="inlineStr">
        <is>
          <t>Kyrkan</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43230-2022</t>
        </is>
      </c>
      <c r="B2112" s="1" t="n">
        <v>44834</v>
      </c>
      <c r="C2112" s="1" t="n">
        <v>45186</v>
      </c>
      <c r="D2112" t="inlineStr">
        <is>
          <t>STOCKHOLMS LÄN</t>
        </is>
      </c>
      <c r="E2112" t="inlineStr">
        <is>
          <t>NYKVARN</t>
        </is>
      </c>
      <c r="F2112" t="inlineStr">
        <is>
          <t>Allmännings- och besparingsskogar</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43374-2022</t>
        </is>
      </c>
      <c r="B2113" s="1" t="n">
        <v>44834</v>
      </c>
      <c r="C2113" s="1" t="n">
        <v>45186</v>
      </c>
      <c r="D2113" t="inlineStr">
        <is>
          <t>STOCKHOLMS LÄN</t>
        </is>
      </c>
      <c r="E2113" t="inlineStr">
        <is>
          <t>NORRTÄLJE</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43873-2022</t>
        </is>
      </c>
      <c r="B2114" s="1" t="n">
        <v>44838</v>
      </c>
      <c r="C2114" s="1" t="n">
        <v>45186</v>
      </c>
      <c r="D2114" t="inlineStr">
        <is>
          <t>STOCKHOLMS LÄN</t>
        </is>
      </c>
      <c r="E2114" t="inlineStr">
        <is>
          <t>UPPLANDS VÄSBY</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43972-2022</t>
        </is>
      </c>
      <c r="B2115" s="1" t="n">
        <v>44838</v>
      </c>
      <c r="C2115" s="1" t="n">
        <v>45186</v>
      </c>
      <c r="D2115" t="inlineStr">
        <is>
          <t>STOCKHOLMS LÄN</t>
        </is>
      </c>
      <c r="E2115" t="inlineStr">
        <is>
          <t>NORRTÄLJE</t>
        </is>
      </c>
      <c r="F2115" t="inlineStr">
        <is>
          <t>Holmen skog AB</t>
        </is>
      </c>
      <c r="G2115" t="n">
        <v>8.6</v>
      </c>
      <c r="H2115" t="n">
        <v>0</v>
      </c>
      <c r="I2115" t="n">
        <v>0</v>
      </c>
      <c r="J2115" t="n">
        <v>0</v>
      </c>
      <c r="K2115" t="n">
        <v>0</v>
      </c>
      <c r="L2115" t="n">
        <v>0</v>
      </c>
      <c r="M2115" t="n">
        <v>0</v>
      </c>
      <c r="N2115" t="n">
        <v>0</v>
      </c>
      <c r="O2115" t="n">
        <v>0</v>
      </c>
      <c r="P2115" t="n">
        <v>0</v>
      </c>
      <c r="Q2115" t="n">
        <v>0</v>
      </c>
      <c r="R2115" s="2" t="inlineStr"/>
    </row>
    <row r="2116" ht="15" customHeight="1">
      <c r="A2116" t="inlineStr">
        <is>
          <t>A 44526-2022</t>
        </is>
      </c>
      <c r="B2116" s="1" t="n">
        <v>44838</v>
      </c>
      <c r="C2116" s="1" t="n">
        <v>45186</v>
      </c>
      <c r="D2116" t="inlineStr">
        <is>
          <t>STOCKHOLMS LÄN</t>
        </is>
      </c>
      <c r="E2116" t="inlineStr">
        <is>
          <t>UPPLANDS-BRO</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44349-2022</t>
        </is>
      </c>
      <c r="B2117" s="1" t="n">
        <v>44839</v>
      </c>
      <c r="C2117" s="1" t="n">
        <v>45186</v>
      </c>
      <c r="D2117" t="inlineStr">
        <is>
          <t>STOCKHOLMS LÄN</t>
        </is>
      </c>
      <c r="E2117" t="inlineStr">
        <is>
          <t>NORRTÄLJE</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45261-2022</t>
        </is>
      </c>
      <c r="B2118" s="1" t="n">
        <v>44840</v>
      </c>
      <c r="C2118" s="1" t="n">
        <v>45186</v>
      </c>
      <c r="D2118" t="inlineStr">
        <is>
          <t>STOCKHOLMS LÄN</t>
        </is>
      </c>
      <c r="E2118" t="inlineStr">
        <is>
          <t>NORRTÄLJE</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44531-2022</t>
        </is>
      </c>
      <c r="B2119" s="1" t="n">
        <v>44840</v>
      </c>
      <c r="C2119" s="1" t="n">
        <v>45186</v>
      </c>
      <c r="D2119" t="inlineStr">
        <is>
          <t>STOCKHOLMS LÄN</t>
        </is>
      </c>
      <c r="E2119" t="inlineStr">
        <is>
          <t>NYKVARN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45255-2022</t>
        </is>
      </c>
      <c r="B2120" s="1" t="n">
        <v>44840</v>
      </c>
      <c r="C2120" s="1" t="n">
        <v>45186</v>
      </c>
      <c r="D2120" t="inlineStr">
        <is>
          <t>STOCKHOLMS LÄN</t>
        </is>
      </c>
      <c r="E2120" t="inlineStr">
        <is>
          <t>NORRTÄLJE</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44960-2022</t>
        </is>
      </c>
      <c r="B2121" s="1" t="n">
        <v>44841</v>
      </c>
      <c r="C2121" s="1" t="n">
        <v>45186</v>
      </c>
      <c r="D2121" t="inlineStr">
        <is>
          <t>STOCKHOLMS LÄN</t>
        </is>
      </c>
      <c r="E2121" t="inlineStr">
        <is>
          <t>SÖDERTÄLJE</t>
        </is>
      </c>
      <c r="F2121" t="inlineStr">
        <is>
          <t>Sveaskog</t>
        </is>
      </c>
      <c r="G2121" t="n">
        <v>5.1</v>
      </c>
      <c r="H2121" t="n">
        <v>0</v>
      </c>
      <c r="I2121" t="n">
        <v>0</v>
      </c>
      <c r="J2121" t="n">
        <v>0</v>
      </c>
      <c r="K2121" t="n">
        <v>0</v>
      </c>
      <c r="L2121" t="n">
        <v>0</v>
      </c>
      <c r="M2121" t="n">
        <v>0</v>
      </c>
      <c r="N2121" t="n">
        <v>0</v>
      </c>
      <c r="O2121" t="n">
        <v>0</v>
      </c>
      <c r="P2121" t="n">
        <v>0</v>
      </c>
      <c r="Q2121" t="n">
        <v>0</v>
      </c>
      <c r="R2121" s="2" t="inlineStr"/>
    </row>
    <row r="2122" ht="15" customHeight="1">
      <c r="A2122" t="inlineStr">
        <is>
          <t>A 44950-2022</t>
        </is>
      </c>
      <c r="B2122" s="1" t="n">
        <v>44841</v>
      </c>
      <c r="C2122" s="1" t="n">
        <v>45186</v>
      </c>
      <c r="D2122" t="inlineStr">
        <is>
          <t>STOCKHOLMS LÄN</t>
        </is>
      </c>
      <c r="E2122" t="inlineStr">
        <is>
          <t>SÖDERTÄLJE</t>
        </is>
      </c>
      <c r="F2122" t="inlineStr">
        <is>
          <t>Sveaskog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44962-2022</t>
        </is>
      </c>
      <c r="B2123" s="1" t="n">
        <v>44841</v>
      </c>
      <c r="C2123" s="1" t="n">
        <v>45186</v>
      </c>
      <c r="D2123" t="inlineStr">
        <is>
          <t>STOCKHOLMS LÄN</t>
        </is>
      </c>
      <c r="E2123" t="inlineStr">
        <is>
          <t>SÖDERTÄLJE</t>
        </is>
      </c>
      <c r="F2123" t="inlineStr">
        <is>
          <t>Sveaskog</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44954-2022</t>
        </is>
      </c>
      <c r="B2124" s="1" t="n">
        <v>44841</v>
      </c>
      <c r="C2124" s="1" t="n">
        <v>45186</v>
      </c>
      <c r="D2124" t="inlineStr">
        <is>
          <t>STOCKHOLMS LÄN</t>
        </is>
      </c>
      <c r="E2124" t="inlineStr">
        <is>
          <t>SÖDERTÄLJE</t>
        </is>
      </c>
      <c r="F2124" t="inlineStr">
        <is>
          <t>Sveaskog</t>
        </is>
      </c>
      <c r="G2124" t="n">
        <v>22.5</v>
      </c>
      <c r="H2124" t="n">
        <v>0</v>
      </c>
      <c r="I2124" t="n">
        <v>0</v>
      </c>
      <c r="J2124" t="n">
        <v>0</v>
      </c>
      <c r="K2124" t="n">
        <v>0</v>
      </c>
      <c r="L2124" t="n">
        <v>0</v>
      </c>
      <c r="M2124" t="n">
        <v>0</v>
      </c>
      <c r="N2124" t="n">
        <v>0</v>
      </c>
      <c r="O2124" t="n">
        <v>0</v>
      </c>
      <c r="P2124" t="n">
        <v>0</v>
      </c>
      <c r="Q2124" t="n">
        <v>0</v>
      </c>
      <c r="R2124" s="2" t="inlineStr"/>
    </row>
    <row r="2125" ht="15" customHeight="1">
      <c r="A2125" t="inlineStr">
        <is>
          <t>A 44964-2022</t>
        </is>
      </c>
      <c r="B2125" s="1" t="n">
        <v>44841</v>
      </c>
      <c r="C2125" s="1" t="n">
        <v>45186</v>
      </c>
      <c r="D2125" t="inlineStr">
        <is>
          <t>STOCKHOLMS LÄN</t>
        </is>
      </c>
      <c r="E2125" t="inlineStr">
        <is>
          <t>SÖDERTÄLJE</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45869-2022</t>
        </is>
      </c>
      <c r="B2126" s="1" t="n">
        <v>44844</v>
      </c>
      <c r="C2126" s="1" t="n">
        <v>45186</v>
      </c>
      <c r="D2126" t="inlineStr">
        <is>
          <t>STOCKHOLMS LÄN</t>
        </is>
      </c>
      <c r="E2126" t="inlineStr">
        <is>
          <t>BOTKYRKA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45145-2022</t>
        </is>
      </c>
      <c r="B2127" s="1" t="n">
        <v>44844</v>
      </c>
      <c r="C2127" s="1" t="n">
        <v>45186</v>
      </c>
      <c r="D2127" t="inlineStr">
        <is>
          <t>STOCKHOLMS LÄN</t>
        </is>
      </c>
      <c r="E2127" t="inlineStr">
        <is>
          <t>SÖDERTÄLJE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46153-2022</t>
        </is>
      </c>
      <c r="B2128" s="1" t="n">
        <v>44845</v>
      </c>
      <c r="C2128" s="1" t="n">
        <v>45186</v>
      </c>
      <c r="D2128" t="inlineStr">
        <is>
          <t>STOCKHOLMS LÄN</t>
        </is>
      </c>
      <c r="E2128" t="inlineStr">
        <is>
          <t>UPPLANDS-BRO</t>
        </is>
      </c>
      <c r="F2128" t="inlineStr">
        <is>
          <t>Övriga statliga verk och myndigheter</t>
        </is>
      </c>
      <c r="G2128" t="n">
        <v>13.4</v>
      </c>
      <c r="H2128" t="n">
        <v>0</v>
      </c>
      <c r="I2128" t="n">
        <v>0</v>
      </c>
      <c r="J2128" t="n">
        <v>0</v>
      </c>
      <c r="K2128" t="n">
        <v>0</v>
      </c>
      <c r="L2128" t="n">
        <v>0</v>
      </c>
      <c r="M2128" t="n">
        <v>0</v>
      </c>
      <c r="N2128" t="n">
        <v>0</v>
      </c>
      <c r="O2128" t="n">
        <v>0</v>
      </c>
      <c r="P2128" t="n">
        <v>0</v>
      </c>
      <c r="Q2128" t="n">
        <v>0</v>
      </c>
      <c r="R2128" s="2" t="inlineStr"/>
    </row>
    <row r="2129" ht="15" customHeight="1">
      <c r="A2129" t="inlineStr">
        <is>
          <t>A 46405-2022</t>
        </is>
      </c>
      <c r="B2129" s="1" t="n">
        <v>44846</v>
      </c>
      <c r="C2129" s="1" t="n">
        <v>45186</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46826-2022</t>
        </is>
      </c>
      <c r="B2130" s="1" t="n">
        <v>44848</v>
      </c>
      <c r="C2130" s="1" t="n">
        <v>45186</v>
      </c>
      <c r="D2130" t="inlineStr">
        <is>
          <t>STOCKHOLMS LÄN</t>
        </is>
      </c>
      <c r="E2130" t="inlineStr">
        <is>
          <t>UPPLANDS VÄSBY</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46914-2022</t>
        </is>
      </c>
      <c r="B2131" s="1" t="n">
        <v>44851</v>
      </c>
      <c r="C2131" s="1" t="n">
        <v>45186</v>
      </c>
      <c r="D2131" t="inlineStr">
        <is>
          <t>STOCKHOLMS LÄN</t>
        </is>
      </c>
      <c r="E2131" t="inlineStr">
        <is>
          <t>NORRTÄLJE</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46688-2022</t>
        </is>
      </c>
      <c r="B2132" s="1" t="n">
        <v>44851</v>
      </c>
      <c r="C2132" s="1" t="n">
        <v>45186</v>
      </c>
      <c r="D2132" t="inlineStr">
        <is>
          <t>STOCKHOLMS LÄN</t>
        </is>
      </c>
      <c r="E2132" t="inlineStr">
        <is>
          <t>ÖSTERÅKER</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47617-2022</t>
        </is>
      </c>
      <c r="B2133" s="1" t="n">
        <v>44852</v>
      </c>
      <c r="C2133" s="1" t="n">
        <v>45186</v>
      </c>
      <c r="D2133" t="inlineStr">
        <is>
          <t>STOCKHOLMS LÄN</t>
        </is>
      </c>
      <c r="E2133" t="inlineStr">
        <is>
          <t>BOTKYRKA</t>
        </is>
      </c>
      <c r="G2133" t="n">
        <v>11.6</v>
      </c>
      <c r="H2133" t="n">
        <v>0</v>
      </c>
      <c r="I2133" t="n">
        <v>0</v>
      </c>
      <c r="J2133" t="n">
        <v>0</v>
      </c>
      <c r="K2133" t="n">
        <v>0</v>
      </c>
      <c r="L2133" t="n">
        <v>0</v>
      </c>
      <c r="M2133" t="n">
        <v>0</v>
      </c>
      <c r="N2133" t="n">
        <v>0</v>
      </c>
      <c r="O2133" t="n">
        <v>0</v>
      </c>
      <c r="P2133" t="n">
        <v>0</v>
      </c>
      <c r="Q2133" t="n">
        <v>0</v>
      </c>
      <c r="R2133" s="2" t="inlineStr"/>
    </row>
    <row r="2134" ht="15" customHeight="1">
      <c r="A2134" t="inlineStr">
        <is>
          <t>A 47173-2022</t>
        </is>
      </c>
      <c r="B2134" s="1" t="n">
        <v>44852</v>
      </c>
      <c r="C2134" s="1" t="n">
        <v>45186</v>
      </c>
      <c r="D2134" t="inlineStr">
        <is>
          <t>STOCKHOLMS LÄN</t>
        </is>
      </c>
      <c r="E2134" t="inlineStr">
        <is>
          <t>HUDDINGE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47626-2022</t>
        </is>
      </c>
      <c r="B2135" s="1" t="n">
        <v>44854</v>
      </c>
      <c r="C2135" s="1" t="n">
        <v>45186</v>
      </c>
      <c r="D2135" t="inlineStr">
        <is>
          <t>STOCKHOLMS LÄN</t>
        </is>
      </c>
      <c r="E2135" t="inlineStr">
        <is>
          <t>NORRTÄLJE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48309-2022</t>
        </is>
      </c>
      <c r="B2136" s="1" t="n">
        <v>44854</v>
      </c>
      <c r="C2136" s="1" t="n">
        <v>45186</v>
      </c>
      <c r="D2136" t="inlineStr">
        <is>
          <t>STOCKHOLMS LÄN</t>
        </is>
      </c>
      <c r="E2136" t="inlineStr">
        <is>
          <t>NYNÄSHAMN</t>
        </is>
      </c>
      <c r="F2136" t="inlineStr">
        <is>
          <t>Övriga statliga verk och myndigheter</t>
        </is>
      </c>
      <c r="G2136" t="n">
        <v>7.4</v>
      </c>
      <c r="H2136" t="n">
        <v>0</v>
      </c>
      <c r="I2136" t="n">
        <v>0</v>
      </c>
      <c r="J2136" t="n">
        <v>0</v>
      </c>
      <c r="K2136" t="n">
        <v>0</v>
      </c>
      <c r="L2136" t="n">
        <v>0</v>
      </c>
      <c r="M2136" t="n">
        <v>0</v>
      </c>
      <c r="N2136" t="n">
        <v>0</v>
      </c>
      <c r="O2136" t="n">
        <v>0</v>
      </c>
      <c r="P2136" t="n">
        <v>0</v>
      </c>
      <c r="Q2136" t="n">
        <v>0</v>
      </c>
      <c r="R2136" s="2" t="inlineStr"/>
    </row>
    <row r="2137" ht="15" customHeight="1">
      <c r="A2137" t="inlineStr">
        <is>
          <t>A 48316-2022</t>
        </is>
      </c>
      <c r="B2137" s="1" t="n">
        <v>44854</v>
      </c>
      <c r="C2137" s="1" t="n">
        <v>45186</v>
      </c>
      <c r="D2137" t="inlineStr">
        <is>
          <t>STOCKHOLMS LÄN</t>
        </is>
      </c>
      <c r="E2137" t="inlineStr">
        <is>
          <t>NORRTÄLJE</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47929-2022</t>
        </is>
      </c>
      <c r="B2138" s="1" t="n">
        <v>44855</v>
      </c>
      <c r="C2138" s="1" t="n">
        <v>45186</v>
      </c>
      <c r="D2138" t="inlineStr">
        <is>
          <t>STOCKHOLMS LÄN</t>
        </is>
      </c>
      <c r="E2138" t="inlineStr">
        <is>
          <t>NORRTÄLJE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47977-2022</t>
        </is>
      </c>
      <c r="B2139" s="1" t="n">
        <v>44855</v>
      </c>
      <c r="C2139" s="1" t="n">
        <v>45186</v>
      </c>
      <c r="D2139" t="inlineStr">
        <is>
          <t>STOCKHOLMS LÄN</t>
        </is>
      </c>
      <c r="E2139" t="inlineStr">
        <is>
          <t>SÖDERTÄLJE</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48161-2022</t>
        </is>
      </c>
      <c r="B2140" s="1" t="n">
        <v>44858</v>
      </c>
      <c r="C2140" s="1" t="n">
        <v>45186</v>
      </c>
      <c r="D2140" t="inlineStr">
        <is>
          <t>STOCKHOLMS LÄN</t>
        </is>
      </c>
      <c r="E2140" t="inlineStr">
        <is>
          <t>NORRTÄLJE</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48492-2022</t>
        </is>
      </c>
      <c r="B2141" s="1" t="n">
        <v>44858</v>
      </c>
      <c r="C2141" s="1" t="n">
        <v>45186</v>
      </c>
      <c r="D2141" t="inlineStr">
        <is>
          <t>STOCKHOLMS LÄN</t>
        </is>
      </c>
      <c r="E2141" t="inlineStr">
        <is>
          <t>NORRTÄLJE</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48490-2022</t>
        </is>
      </c>
      <c r="B2142" s="1" t="n">
        <v>44858</v>
      </c>
      <c r="C2142" s="1" t="n">
        <v>45186</v>
      </c>
      <c r="D2142" t="inlineStr">
        <is>
          <t>STOCKHOLMS LÄN</t>
        </is>
      </c>
      <c r="E2142" t="inlineStr">
        <is>
          <t>NORRTÄLJE</t>
        </is>
      </c>
      <c r="G2142" t="n">
        <v>15.8</v>
      </c>
      <c r="H2142" t="n">
        <v>0</v>
      </c>
      <c r="I2142" t="n">
        <v>0</v>
      </c>
      <c r="J2142" t="n">
        <v>0</v>
      </c>
      <c r="K2142" t="n">
        <v>0</v>
      </c>
      <c r="L2142" t="n">
        <v>0</v>
      </c>
      <c r="M2142" t="n">
        <v>0</v>
      </c>
      <c r="N2142" t="n">
        <v>0</v>
      </c>
      <c r="O2142" t="n">
        <v>0</v>
      </c>
      <c r="P2142" t="n">
        <v>0</v>
      </c>
      <c r="Q2142" t="n">
        <v>0</v>
      </c>
      <c r="R2142" s="2" t="inlineStr"/>
    </row>
    <row r="2143" ht="15" customHeight="1">
      <c r="A2143" t="inlineStr">
        <is>
          <t>A 48813-2022</t>
        </is>
      </c>
      <c r="B2143" s="1" t="n">
        <v>44859</v>
      </c>
      <c r="C2143" s="1" t="n">
        <v>45186</v>
      </c>
      <c r="D2143" t="inlineStr">
        <is>
          <t>STOCKHOLMS LÄN</t>
        </is>
      </c>
      <c r="E2143" t="inlineStr">
        <is>
          <t>SÖDERTÄLJE</t>
        </is>
      </c>
      <c r="F2143" t="inlineStr">
        <is>
          <t>Sveaskog</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48647-2022</t>
        </is>
      </c>
      <c r="B2144" s="1" t="n">
        <v>44859</v>
      </c>
      <c r="C2144" s="1" t="n">
        <v>45186</v>
      </c>
      <c r="D2144" t="inlineStr">
        <is>
          <t>STOCKHOLMS LÄN</t>
        </is>
      </c>
      <c r="E2144" t="inlineStr">
        <is>
          <t>BOTKYRKA</t>
        </is>
      </c>
      <c r="F2144" t="inlineStr">
        <is>
          <t>Övriga Aktiebolag</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48820-2022</t>
        </is>
      </c>
      <c r="B2145" s="1" t="n">
        <v>44859</v>
      </c>
      <c r="C2145" s="1" t="n">
        <v>45186</v>
      </c>
      <c r="D2145" t="inlineStr">
        <is>
          <t>STOCKHOLMS LÄN</t>
        </is>
      </c>
      <c r="E2145" t="inlineStr">
        <is>
          <t>SÖDERTÄLJE</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48667-2022</t>
        </is>
      </c>
      <c r="B2146" s="1" t="n">
        <v>44859</v>
      </c>
      <c r="C2146" s="1" t="n">
        <v>45186</v>
      </c>
      <c r="D2146" t="inlineStr">
        <is>
          <t>STOCKHOLMS LÄN</t>
        </is>
      </c>
      <c r="E2146" t="inlineStr">
        <is>
          <t>BOTKYRKA</t>
        </is>
      </c>
      <c r="F2146" t="inlineStr">
        <is>
          <t>Övriga Aktiebolag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48812-2022</t>
        </is>
      </c>
      <c r="B2147" s="1" t="n">
        <v>44859</v>
      </c>
      <c r="C2147" s="1" t="n">
        <v>45186</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49980-2022</t>
        </is>
      </c>
      <c r="B2148" s="1" t="n">
        <v>44860</v>
      </c>
      <c r="C2148" s="1" t="n">
        <v>45186</v>
      </c>
      <c r="D2148" t="inlineStr">
        <is>
          <t>STOCKHOLMS LÄN</t>
        </is>
      </c>
      <c r="E2148" t="inlineStr">
        <is>
          <t>BOTKYRKA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50905-2022</t>
        </is>
      </c>
      <c r="B2149" s="1" t="n">
        <v>44865</v>
      </c>
      <c r="C2149" s="1" t="n">
        <v>45186</v>
      </c>
      <c r="D2149" t="inlineStr">
        <is>
          <t>STOCKHOLMS LÄN</t>
        </is>
      </c>
      <c r="E2149" t="inlineStr">
        <is>
          <t>UPPLANDS-BRO</t>
        </is>
      </c>
      <c r="F2149" t="inlineStr">
        <is>
          <t>Övriga statliga verk och myndigheter</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50065-2022</t>
        </is>
      </c>
      <c r="B2150" s="1" t="n">
        <v>44865</v>
      </c>
      <c r="C2150" s="1" t="n">
        <v>45186</v>
      </c>
      <c r="D2150" t="inlineStr">
        <is>
          <t>STOCKHOLMS LÄN</t>
        </is>
      </c>
      <c r="E2150" t="inlineStr">
        <is>
          <t>NORRTÄLJE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51653-2022</t>
        </is>
      </c>
      <c r="B2151" s="1" t="n">
        <v>44867</v>
      </c>
      <c r="C2151" s="1" t="n">
        <v>45186</v>
      </c>
      <c r="D2151" t="inlineStr">
        <is>
          <t>STOCKHOLMS LÄN</t>
        </is>
      </c>
      <c r="E2151" t="inlineStr">
        <is>
          <t>NORRTÄLJE</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50970-2022</t>
        </is>
      </c>
      <c r="B2152" s="1" t="n">
        <v>44867</v>
      </c>
      <c r="C2152" s="1" t="n">
        <v>45186</v>
      </c>
      <c r="D2152" t="inlineStr">
        <is>
          <t>STOCKHOLMS LÄN</t>
        </is>
      </c>
      <c r="E2152" t="inlineStr">
        <is>
          <t>NORRTÄLJE</t>
        </is>
      </c>
      <c r="G2152" t="n">
        <v>9</v>
      </c>
      <c r="H2152" t="n">
        <v>0</v>
      </c>
      <c r="I2152" t="n">
        <v>0</v>
      </c>
      <c r="J2152" t="n">
        <v>0</v>
      </c>
      <c r="K2152" t="n">
        <v>0</v>
      </c>
      <c r="L2152" t="n">
        <v>0</v>
      </c>
      <c r="M2152" t="n">
        <v>0</v>
      </c>
      <c r="N2152" t="n">
        <v>0</v>
      </c>
      <c r="O2152" t="n">
        <v>0</v>
      </c>
      <c r="P2152" t="n">
        <v>0</v>
      </c>
      <c r="Q2152" t="n">
        <v>0</v>
      </c>
      <c r="R2152" s="2" t="inlineStr"/>
    </row>
    <row r="2153" ht="15" customHeight="1">
      <c r="A2153" t="inlineStr">
        <is>
          <t>A 50836-2022</t>
        </is>
      </c>
      <c r="B2153" s="1" t="n">
        <v>44867</v>
      </c>
      <c r="C2153" s="1" t="n">
        <v>45186</v>
      </c>
      <c r="D2153" t="inlineStr">
        <is>
          <t>STOCKHOLMS LÄN</t>
        </is>
      </c>
      <c r="E2153" t="inlineStr">
        <is>
          <t>NYKVARN</t>
        </is>
      </c>
      <c r="F2153" t="inlineStr">
        <is>
          <t>Allmännings- och besparingsskogar</t>
        </is>
      </c>
      <c r="G2153" t="n">
        <v>7.9</v>
      </c>
      <c r="H2153" t="n">
        <v>0</v>
      </c>
      <c r="I2153" t="n">
        <v>0</v>
      </c>
      <c r="J2153" t="n">
        <v>0</v>
      </c>
      <c r="K2153" t="n">
        <v>0</v>
      </c>
      <c r="L2153" t="n">
        <v>0</v>
      </c>
      <c r="M2153" t="n">
        <v>0</v>
      </c>
      <c r="N2153" t="n">
        <v>0</v>
      </c>
      <c r="O2153" t="n">
        <v>0</v>
      </c>
      <c r="P2153" t="n">
        <v>0</v>
      </c>
      <c r="Q2153" t="n">
        <v>0</v>
      </c>
      <c r="R2153" s="2" t="inlineStr"/>
    </row>
    <row r="2154" ht="15" customHeight="1">
      <c r="A2154" t="inlineStr">
        <is>
          <t>A 52130-2022</t>
        </is>
      </c>
      <c r="B2154" s="1" t="n">
        <v>44868</v>
      </c>
      <c r="C2154" s="1" t="n">
        <v>45186</v>
      </c>
      <c r="D2154" t="inlineStr">
        <is>
          <t>STOCKHOLMS LÄN</t>
        </is>
      </c>
      <c r="E2154" t="inlineStr">
        <is>
          <t>NORRTÄLJE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52133-2022</t>
        </is>
      </c>
      <c r="B2155" s="1" t="n">
        <v>44868</v>
      </c>
      <c r="C2155" s="1" t="n">
        <v>45186</v>
      </c>
      <c r="D2155" t="inlineStr">
        <is>
          <t>STOCKHOLMS LÄN</t>
        </is>
      </c>
      <c r="E2155" t="inlineStr">
        <is>
          <t>NORRTÄLJE</t>
        </is>
      </c>
      <c r="G2155" t="n">
        <v>11.5</v>
      </c>
      <c r="H2155" t="n">
        <v>0</v>
      </c>
      <c r="I2155" t="n">
        <v>0</v>
      </c>
      <c r="J2155" t="n">
        <v>0</v>
      </c>
      <c r="K2155" t="n">
        <v>0</v>
      </c>
      <c r="L2155" t="n">
        <v>0</v>
      </c>
      <c r="M2155" t="n">
        <v>0</v>
      </c>
      <c r="N2155" t="n">
        <v>0</v>
      </c>
      <c r="O2155" t="n">
        <v>0</v>
      </c>
      <c r="P2155" t="n">
        <v>0</v>
      </c>
      <c r="Q2155" t="n">
        <v>0</v>
      </c>
      <c r="R2155" s="2" t="inlineStr"/>
    </row>
    <row r="2156" ht="15" customHeight="1">
      <c r="A2156" t="inlineStr">
        <is>
          <t>A 52139-2022</t>
        </is>
      </c>
      <c r="B2156" s="1" t="n">
        <v>44868</v>
      </c>
      <c r="C2156" s="1" t="n">
        <v>45186</v>
      </c>
      <c r="D2156" t="inlineStr">
        <is>
          <t>STOCKHOLMS LÄN</t>
        </is>
      </c>
      <c r="E2156" t="inlineStr">
        <is>
          <t>NORRTÄLJE</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52260-2022</t>
        </is>
      </c>
      <c r="B2157" s="1" t="n">
        <v>44869</v>
      </c>
      <c r="C2157" s="1" t="n">
        <v>45186</v>
      </c>
      <c r="D2157" t="inlineStr">
        <is>
          <t>STOCKHOLMS LÄN</t>
        </is>
      </c>
      <c r="E2157" t="inlineStr">
        <is>
          <t>NORRTÄLJE</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53204-2022</t>
        </is>
      </c>
      <c r="B2158" s="1" t="n">
        <v>44872</v>
      </c>
      <c r="C2158" s="1" t="n">
        <v>45186</v>
      </c>
      <c r="D2158" t="inlineStr">
        <is>
          <t>STOCKHOLMS LÄN</t>
        </is>
      </c>
      <c r="E2158" t="inlineStr">
        <is>
          <t>NYKVARN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52884-2022</t>
        </is>
      </c>
      <c r="B2159" s="1" t="n">
        <v>44872</v>
      </c>
      <c r="C2159" s="1" t="n">
        <v>45186</v>
      </c>
      <c r="D2159" t="inlineStr">
        <is>
          <t>STOCKHOLMS LÄN</t>
        </is>
      </c>
      <c r="E2159" t="inlineStr">
        <is>
          <t>EKERÖ</t>
        </is>
      </c>
      <c r="F2159" t="inlineStr">
        <is>
          <t>Övriga statliga verk och myndigheter</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52878-2022</t>
        </is>
      </c>
      <c r="B2160" s="1" t="n">
        <v>44872</v>
      </c>
      <c r="C2160" s="1" t="n">
        <v>45186</v>
      </c>
      <c r="D2160" t="inlineStr">
        <is>
          <t>STOCKHOLMS LÄN</t>
        </is>
      </c>
      <c r="E2160" t="inlineStr">
        <is>
          <t>NYKVARN</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52101-2022</t>
        </is>
      </c>
      <c r="B2161" s="1" t="n">
        <v>44873</v>
      </c>
      <c r="C2161" s="1" t="n">
        <v>45186</v>
      </c>
      <c r="D2161" t="inlineStr">
        <is>
          <t>STOCKHOLMS LÄN</t>
        </is>
      </c>
      <c r="E2161" t="inlineStr">
        <is>
          <t>SÖDERTÄLJE</t>
        </is>
      </c>
      <c r="F2161" t="inlineStr">
        <is>
          <t>Kommuner</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52541-2022</t>
        </is>
      </c>
      <c r="B2162" s="1" t="n">
        <v>44874</v>
      </c>
      <c r="C2162" s="1" t="n">
        <v>45186</v>
      </c>
      <c r="D2162" t="inlineStr">
        <is>
          <t>STOCKHOLMS LÄN</t>
        </is>
      </c>
      <c r="E2162" t="inlineStr">
        <is>
          <t>SÖDERTÄLJE</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52960-2022</t>
        </is>
      </c>
      <c r="B2163" s="1" t="n">
        <v>44875</v>
      </c>
      <c r="C2163" s="1" t="n">
        <v>45186</v>
      </c>
      <c r="D2163" t="inlineStr">
        <is>
          <t>STOCKHOLMS LÄN</t>
        </is>
      </c>
      <c r="E2163" t="inlineStr">
        <is>
          <t>NYKVARN</t>
        </is>
      </c>
      <c r="F2163" t="inlineStr">
        <is>
          <t>Allmännings- och besparingsskogar</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52963-2022</t>
        </is>
      </c>
      <c r="B2164" s="1" t="n">
        <v>44875</v>
      </c>
      <c r="C2164" s="1" t="n">
        <v>45186</v>
      </c>
      <c r="D2164" t="inlineStr">
        <is>
          <t>STOCKHOLMS LÄN</t>
        </is>
      </c>
      <c r="E2164" t="inlineStr">
        <is>
          <t>NYKVARN</t>
        </is>
      </c>
      <c r="F2164" t="inlineStr">
        <is>
          <t>Allmännings- och besparingsskogar</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53730-2022</t>
        </is>
      </c>
      <c r="B2165" s="1" t="n">
        <v>44875</v>
      </c>
      <c r="C2165" s="1" t="n">
        <v>45186</v>
      </c>
      <c r="D2165" t="inlineStr">
        <is>
          <t>STOCKHOLMS LÄN</t>
        </is>
      </c>
      <c r="E2165" t="inlineStr">
        <is>
          <t>NYNÄSHAMN</t>
        </is>
      </c>
      <c r="F2165" t="inlineStr">
        <is>
          <t>Övriga statliga verk och myndigheter</t>
        </is>
      </c>
      <c r="G2165" t="n">
        <v>14.7</v>
      </c>
      <c r="H2165" t="n">
        <v>0</v>
      </c>
      <c r="I2165" t="n">
        <v>0</v>
      </c>
      <c r="J2165" t="n">
        <v>0</v>
      </c>
      <c r="K2165" t="n">
        <v>0</v>
      </c>
      <c r="L2165" t="n">
        <v>0</v>
      </c>
      <c r="M2165" t="n">
        <v>0</v>
      </c>
      <c r="N2165" t="n">
        <v>0</v>
      </c>
      <c r="O2165" t="n">
        <v>0</v>
      </c>
      <c r="P2165" t="n">
        <v>0</v>
      </c>
      <c r="Q2165" t="n">
        <v>0</v>
      </c>
      <c r="R2165" s="2" t="inlineStr"/>
    </row>
    <row r="2166" ht="15" customHeight="1">
      <c r="A2166" t="inlineStr">
        <is>
          <t>A 54056-2022</t>
        </is>
      </c>
      <c r="B2166" s="1" t="n">
        <v>44876</v>
      </c>
      <c r="C2166" s="1" t="n">
        <v>45186</v>
      </c>
      <c r="D2166" t="inlineStr">
        <is>
          <t>STOCKHOLMS LÄN</t>
        </is>
      </c>
      <c r="E2166" t="inlineStr">
        <is>
          <t>VÄRMDÖ</t>
        </is>
      </c>
      <c r="F2166" t="inlineStr">
        <is>
          <t>Kommuner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53461-2022</t>
        </is>
      </c>
      <c r="B2167" s="1" t="n">
        <v>44879</v>
      </c>
      <c r="C2167" s="1" t="n">
        <v>45186</v>
      </c>
      <c r="D2167" t="inlineStr">
        <is>
          <t>STOCKHOLMS LÄN</t>
        </is>
      </c>
      <c r="E2167" t="inlineStr">
        <is>
          <t>NORRTÄLJE</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54169-2022</t>
        </is>
      </c>
      <c r="B2168" s="1" t="n">
        <v>44881</v>
      </c>
      <c r="C2168" s="1" t="n">
        <v>45186</v>
      </c>
      <c r="D2168" t="inlineStr">
        <is>
          <t>STOCKHOLMS LÄN</t>
        </is>
      </c>
      <c r="E2168" t="inlineStr">
        <is>
          <t>NORRTÄLJE</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54205-2022</t>
        </is>
      </c>
      <c r="B2169" s="1" t="n">
        <v>44881</v>
      </c>
      <c r="C2169" s="1" t="n">
        <v>45186</v>
      </c>
      <c r="D2169" t="inlineStr">
        <is>
          <t>STOCKHOLMS LÄN</t>
        </is>
      </c>
      <c r="E2169" t="inlineStr">
        <is>
          <t>NYKVARN</t>
        </is>
      </c>
      <c r="F2169" t="inlineStr">
        <is>
          <t>Allmännings- och besparingsskogar</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54358-2022</t>
        </is>
      </c>
      <c r="B2170" s="1" t="n">
        <v>44882</v>
      </c>
      <c r="C2170" s="1" t="n">
        <v>45186</v>
      </c>
      <c r="D2170" t="inlineStr">
        <is>
          <t>STOCKHOLMS LÄN</t>
        </is>
      </c>
      <c r="E2170" t="inlineStr">
        <is>
          <t>NORRTÄLJE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54427-2022</t>
        </is>
      </c>
      <c r="B2171" s="1" t="n">
        <v>44882</v>
      </c>
      <c r="C2171" s="1" t="n">
        <v>45186</v>
      </c>
      <c r="D2171" t="inlineStr">
        <is>
          <t>STOCKHOLMS LÄN</t>
        </is>
      </c>
      <c r="E2171" t="inlineStr">
        <is>
          <t>NORRTÄLJE</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54355-2022</t>
        </is>
      </c>
      <c r="B2172" s="1" t="n">
        <v>44882</v>
      </c>
      <c r="C2172" s="1" t="n">
        <v>45186</v>
      </c>
      <c r="D2172" t="inlineStr">
        <is>
          <t>STOCKHOLMS LÄN</t>
        </is>
      </c>
      <c r="E2172" t="inlineStr">
        <is>
          <t>NORRTÄLJE</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54614-2022</t>
        </is>
      </c>
      <c r="B2173" s="1" t="n">
        <v>44883</v>
      </c>
      <c r="C2173" s="1" t="n">
        <v>45186</v>
      </c>
      <c r="D2173" t="inlineStr">
        <is>
          <t>STOCKHOLMS LÄN</t>
        </is>
      </c>
      <c r="E2173" t="inlineStr">
        <is>
          <t>NYKVARN</t>
        </is>
      </c>
      <c r="F2173" t="inlineStr">
        <is>
          <t>Allmännings- och besparingsskogar</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54627-2022</t>
        </is>
      </c>
      <c r="B2174" s="1" t="n">
        <v>44883</v>
      </c>
      <c r="C2174" s="1" t="n">
        <v>45186</v>
      </c>
      <c r="D2174" t="inlineStr">
        <is>
          <t>STOCKHOLMS LÄN</t>
        </is>
      </c>
      <c r="E2174" t="inlineStr">
        <is>
          <t>NYKVARN</t>
        </is>
      </c>
      <c r="F2174" t="inlineStr">
        <is>
          <t>Allmännings- och besparingsskogar</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54992-2022</t>
        </is>
      </c>
      <c r="B2175" s="1" t="n">
        <v>44886</v>
      </c>
      <c r="C2175" s="1" t="n">
        <v>45186</v>
      </c>
      <c r="D2175" t="inlineStr">
        <is>
          <t>STOCKHOLMS LÄN</t>
        </is>
      </c>
      <c r="E2175" t="inlineStr">
        <is>
          <t>BOTKYRKA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55266-2022</t>
        </is>
      </c>
      <c r="B2176" s="1" t="n">
        <v>44887</v>
      </c>
      <c r="C2176" s="1" t="n">
        <v>45186</v>
      </c>
      <c r="D2176" t="inlineStr">
        <is>
          <t>STOCKHOLMS LÄN</t>
        </is>
      </c>
      <c r="E2176" t="inlineStr">
        <is>
          <t>NORRTÄLJE</t>
        </is>
      </c>
      <c r="G2176" t="n">
        <v>11.4</v>
      </c>
      <c r="H2176" t="n">
        <v>0</v>
      </c>
      <c r="I2176" t="n">
        <v>0</v>
      </c>
      <c r="J2176" t="n">
        <v>0</v>
      </c>
      <c r="K2176" t="n">
        <v>0</v>
      </c>
      <c r="L2176" t="n">
        <v>0</v>
      </c>
      <c r="M2176" t="n">
        <v>0</v>
      </c>
      <c r="N2176" t="n">
        <v>0</v>
      </c>
      <c r="O2176" t="n">
        <v>0</v>
      </c>
      <c r="P2176" t="n">
        <v>0</v>
      </c>
      <c r="Q2176" t="n">
        <v>0</v>
      </c>
      <c r="R2176" s="2" t="inlineStr"/>
    </row>
    <row r="2177" ht="15" customHeight="1">
      <c r="A2177" t="inlineStr">
        <is>
          <t>A 55696-2022</t>
        </is>
      </c>
      <c r="B2177" s="1" t="n">
        <v>44888</v>
      </c>
      <c r="C2177" s="1" t="n">
        <v>45186</v>
      </c>
      <c r="D2177" t="inlineStr">
        <is>
          <t>STOCKHOLMS LÄN</t>
        </is>
      </c>
      <c r="E2177" t="inlineStr">
        <is>
          <t>NORRTÄLJE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55973-2022</t>
        </is>
      </c>
      <c r="B2178" s="1" t="n">
        <v>44889</v>
      </c>
      <c r="C2178" s="1" t="n">
        <v>45186</v>
      </c>
      <c r="D2178" t="inlineStr">
        <is>
          <t>STOCKHOLMS LÄN</t>
        </is>
      </c>
      <c r="E2178" t="inlineStr">
        <is>
          <t>SÖDERTÄLJE</t>
        </is>
      </c>
      <c r="F2178" t="inlineStr">
        <is>
          <t>Sveaskog</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56044-2022</t>
        </is>
      </c>
      <c r="B2179" s="1" t="n">
        <v>44889</v>
      </c>
      <c r="C2179" s="1" t="n">
        <v>45186</v>
      </c>
      <c r="D2179" t="inlineStr">
        <is>
          <t>STOCKHOLMS LÄN</t>
        </is>
      </c>
      <c r="E2179" t="inlineStr">
        <is>
          <t>NYKVARN</t>
        </is>
      </c>
      <c r="F2179" t="inlineStr">
        <is>
          <t>Kyrkan</t>
        </is>
      </c>
      <c r="G2179" t="n">
        <v>5</v>
      </c>
      <c r="H2179" t="n">
        <v>0</v>
      </c>
      <c r="I2179" t="n">
        <v>0</v>
      </c>
      <c r="J2179" t="n">
        <v>0</v>
      </c>
      <c r="K2179" t="n">
        <v>0</v>
      </c>
      <c r="L2179" t="n">
        <v>0</v>
      </c>
      <c r="M2179" t="n">
        <v>0</v>
      </c>
      <c r="N2179" t="n">
        <v>0</v>
      </c>
      <c r="O2179" t="n">
        <v>0</v>
      </c>
      <c r="P2179" t="n">
        <v>0</v>
      </c>
      <c r="Q2179" t="n">
        <v>0</v>
      </c>
      <c r="R2179" s="2" t="inlineStr"/>
    </row>
    <row r="2180" ht="15" customHeight="1">
      <c r="A2180" t="inlineStr">
        <is>
          <t>A 56801-2022</t>
        </is>
      </c>
      <c r="B2180" s="1" t="n">
        <v>44894</v>
      </c>
      <c r="C2180" s="1" t="n">
        <v>45186</v>
      </c>
      <c r="D2180" t="inlineStr">
        <is>
          <t>STOCKHOLMS LÄN</t>
        </is>
      </c>
      <c r="E2180" t="inlineStr">
        <is>
          <t>SIGTUNA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57037-2022</t>
        </is>
      </c>
      <c r="B2181" s="1" t="n">
        <v>44895</v>
      </c>
      <c r="C2181" s="1" t="n">
        <v>45186</v>
      </c>
      <c r="D2181" t="inlineStr">
        <is>
          <t>STOCKHOLMS LÄN</t>
        </is>
      </c>
      <c r="E2181" t="inlineStr">
        <is>
          <t>NORRTÄLJE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57876-2022</t>
        </is>
      </c>
      <c r="B2182" s="1" t="n">
        <v>44899</v>
      </c>
      <c r="C2182" s="1" t="n">
        <v>45186</v>
      </c>
      <c r="D2182" t="inlineStr">
        <is>
          <t>STOCKHOLMS LÄN</t>
        </is>
      </c>
      <c r="E2182" t="inlineStr">
        <is>
          <t>BOTKYRKA</t>
        </is>
      </c>
      <c r="F2182" t="inlineStr">
        <is>
          <t>Övriga Aktiebolag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57943-2022</t>
        </is>
      </c>
      <c r="B2183" s="1" t="n">
        <v>44900</v>
      </c>
      <c r="C2183" s="1" t="n">
        <v>45186</v>
      </c>
      <c r="D2183" t="inlineStr">
        <is>
          <t>STOCKHOLMS LÄN</t>
        </is>
      </c>
      <c r="E2183" t="inlineStr">
        <is>
          <t>SIGTUNA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59767-2022</t>
        </is>
      </c>
      <c r="B2184" s="1" t="n">
        <v>44900</v>
      </c>
      <c r="C2184" s="1" t="n">
        <v>45186</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58260-2022</t>
        </is>
      </c>
      <c r="B2185" s="1" t="n">
        <v>44901</v>
      </c>
      <c r="C2185" s="1" t="n">
        <v>45186</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58302-2022</t>
        </is>
      </c>
      <c r="B2186" s="1" t="n">
        <v>44901</v>
      </c>
      <c r="C2186" s="1" t="n">
        <v>45186</v>
      </c>
      <c r="D2186" t="inlineStr">
        <is>
          <t>STOCKHOLMS LÄN</t>
        </is>
      </c>
      <c r="E2186" t="inlineStr">
        <is>
          <t>NORRTÄLJE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59848-2022</t>
        </is>
      </c>
      <c r="B2187" s="1" t="n">
        <v>44901</v>
      </c>
      <c r="C2187" s="1" t="n">
        <v>45186</v>
      </c>
      <c r="D2187" t="inlineStr">
        <is>
          <t>STOCKHOLMS LÄN</t>
        </is>
      </c>
      <c r="E2187" t="inlineStr">
        <is>
          <t>UPPLANDS-BRO</t>
        </is>
      </c>
      <c r="F2187" t="inlineStr">
        <is>
          <t>Övriga statliga verk och myndigheter</t>
        </is>
      </c>
      <c r="G2187" t="n">
        <v>10.7</v>
      </c>
      <c r="H2187" t="n">
        <v>0</v>
      </c>
      <c r="I2187" t="n">
        <v>0</v>
      </c>
      <c r="J2187" t="n">
        <v>0</v>
      </c>
      <c r="K2187" t="n">
        <v>0</v>
      </c>
      <c r="L2187" t="n">
        <v>0</v>
      </c>
      <c r="M2187" t="n">
        <v>0</v>
      </c>
      <c r="N2187" t="n">
        <v>0</v>
      </c>
      <c r="O2187" t="n">
        <v>0</v>
      </c>
      <c r="P2187" t="n">
        <v>0</v>
      </c>
      <c r="Q2187" t="n">
        <v>0</v>
      </c>
      <c r="R2187" s="2" t="inlineStr"/>
    </row>
    <row r="2188" ht="15" customHeight="1">
      <c r="A2188" t="inlineStr">
        <is>
          <t>A 58418-2022</t>
        </is>
      </c>
      <c r="B2188" s="1" t="n">
        <v>44901</v>
      </c>
      <c r="C2188" s="1" t="n">
        <v>45186</v>
      </c>
      <c r="D2188" t="inlineStr">
        <is>
          <t>STOCKHOLMS LÄN</t>
        </is>
      </c>
      <c r="E2188" t="inlineStr">
        <is>
          <t>SÖDERTÄLJE</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59836-2022</t>
        </is>
      </c>
      <c r="B2189" s="1" t="n">
        <v>44901</v>
      </c>
      <c r="C2189" s="1" t="n">
        <v>45186</v>
      </c>
      <c r="D2189" t="inlineStr">
        <is>
          <t>STOCKHOLMS LÄN</t>
        </is>
      </c>
      <c r="E2189" t="inlineStr">
        <is>
          <t>UPPLANDS-BRO</t>
        </is>
      </c>
      <c r="F2189" t="inlineStr">
        <is>
          <t>Övriga statliga verk och myndigheter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59844-2022</t>
        </is>
      </c>
      <c r="B2190" s="1" t="n">
        <v>44901</v>
      </c>
      <c r="C2190" s="1" t="n">
        <v>45186</v>
      </c>
      <c r="D2190" t="inlineStr">
        <is>
          <t>STOCKHOLMS LÄN</t>
        </is>
      </c>
      <c r="E2190" t="inlineStr">
        <is>
          <t>UPPLANDS-BRO</t>
        </is>
      </c>
      <c r="F2190" t="inlineStr">
        <is>
          <t>Övriga statliga verk och myndigheter</t>
        </is>
      </c>
      <c r="G2190" t="n">
        <v>11.9</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45186</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58928-2022</t>
        </is>
      </c>
      <c r="B2192" s="1" t="n">
        <v>44903</v>
      </c>
      <c r="C2192" s="1" t="n">
        <v>45186</v>
      </c>
      <c r="D2192" t="inlineStr">
        <is>
          <t>STOCKHOLMS LÄN</t>
        </is>
      </c>
      <c r="E2192" t="inlineStr">
        <is>
          <t>SÖDERTÄLJE</t>
        </is>
      </c>
      <c r="F2192" t="inlineStr">
        <is>
          <t>Kommuner</t>
        </is>
      </c>
      <c r="G2192" t="n">
        <v>9.199999999999999</v>
      </c>
      <c r="H2192" t="n">
        <v>0</v>
      </c>
      <c r="I2192" t="n">
        <v>0</v>
      </c>
      <c r="J2192" t="n">
        <v>0</v>
      </c>
      <c r="K2192" t="n">
        <v>0</v>
      </c>
      <c r="L2192" t="n">
        <v>0</v>
      </c>
      <c r="M2192" t="n">
        <v>0</v>
      </c>
      <c r="N2192" t="n">
        <v>0</v>
      </c>
      <c r="O2192" t="n">
        <v>0</v>
      </c>
      <c r="P2192" t="n">
        <v>0</v>
      </c>
      <c r="Q2192" t="n">
        <v>0</v>
      </c>
      <c r="R2192" s="2" t="inlineStr"/>
    </row>
    <row r="2193" ht="15" customHeight="1">
      <c r="A2193" t="inlineStr">
        <is>
          <t>A 58993-2022</t>
        </is>
      </c>
      <c r="B2193" s="1" t="n">
        <v>44903</v>
      </c>
      <c r="C2193" s="1" t="n">
        <v>45186</v>
      </c>
      <c r="D2193" t="inlineStr">
        <is>
          <t>STOCKHOLMS LÄN</t>
        </is>
      </c>
      <c r="E2193" t="inlineStr">
        <is>
          <t>NORRTÄLJE</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60525-2022</t>
        </is>
      </c>
      <c r="B2194" s="1" t="n">
        <v>44904</v>
      </c>
      <c r="C2194" s="1" t="n">
        <v>45186</v>
      </c>
      <c r="D2194" t="inlineStr">
        <is>
          <t>STOCKHOLMS LÄN</t>
        </is>
      </c>
      <c r="E2194" t="inlineStr">
        <is>
          <t>NORRTÄLJE</t>
        </is>
      </c>
      <c r="G2194" t="n">
        <v>13.4</v>
      </c>
      <c r="H2194" t="n">
        <v>0</v>
      </c>
      <c r="I2194" t="n">
        <v>0</v>
      </c>
      <c r="J2194" t="n">
        <v>0</v>
      </c>
      <c r="K2194" t="n">
        <v>0</v>
      </c>
      <c r="L2194" t="n">
        <v>0</v>
      </c>
      <c r="M2194" t="n">
        <v>0</v>
      </c>
      <c r="N2194" t="n">
        <v>0</v>
      </c>
      <c r="O2194" t="n">
        <v>0</v>
      </c>
      <c r="P2194" t="n">
        <v>0</v>
      </c>
      <c r="Q2194" t="n">
        <v>0</v>
      </c>
      <c r="R2194" s="2" t="inlineStr"/>
    </row>
    <row r="2195" ht="15" customHeight="1">
      <c r="A2195" t="inlineStr">
        <is>
          <t>A 59379-2022</t>
        </is>
      </c>
      <c r="B2195" s="1" t="n">
        <v>44905</v>
      </c>
      <c r="C2195" s="1" t="n">
        <v>45186</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59402-2022</t>
        </is>
      </c>
      <c r="B2196" s="1" t="n">
        <v>44906</v>
      </c>
      <c r="C2196" s="1" t="n">
        <v>45186</v>
      </c>
      <c r="D2196" t="inlineStr">
        <is>
          <t>STOCKHOLMS LÄN</t>
        </is>
      </c>
      <c r="E2196" t="inlineStr">
        <is>
          <t>UPPLANDS-BRO</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60977-2022</t>
        </is>
      </c>
      <c r="B2197" s="1" t="n">
        <v>44908</v>
      </c>
      <c r="C2197" s="1" t="n">
        <v>45186</v>
      </c>
      <c r="D2197" t="inlineStr">
        <is>
          <t>STOCKHOLMS LÄN</t>
        </is>
      </c>
      <c r="E2197" t="inlineStr">
        <is>
          <t>NYNÄSHAMN</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60728-2022</t>
        </is>
      </c>
      <c r="B2198" s="1" t="n">
        <v>44913</v>
      </c>
      <c r="C2198" s="1" t="n">
        <v>45186</v>
      </c>
      <c r="D2198" t="inlineStr">
        <is>
          <t>STOCKHOLMS LÄN</t>
        </is>
      </c>
      <c r="E2198" t="inlineStr">
        <is>
          <t>EKERÖ</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60840-2022</t>
        </is>
      </c>
      <c r="B2199" s="1" t="n">
        <v>44914</v>
      </c>
      <c r="C2199" s="1" t="n">
        <v>45186</v>
      </c>
      <c r="D2199" t="inlineStr">
        <is>
          <t>STOCKHOLMS LÄN</t>
        </is>
      </c>
      <c r="E2199" t="inlineStr">
        <is>
          <t>NORRTÄLJE</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61190-2022</t>
        </is>
      </c>
      <c r="B2200" s="1" t="n">
        <v>44915</v>
      </c>
      <c r="C2200" s="1" t="n">
        <v>45186</v>
      </c>
      <c r="D2200" t="inlineStr">
        <is>
          <t>STOCKHOLMS LÄN</t>
        </is>
      </c>
      <c r="E2200" t="inlineStr">
        <is>
          <t>VALLENTUNA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61225-2022</t>
        </is>
      </c>
      <c r="B2201" s="1" t="n">
        <v>44915</v>
      </c>
      <c r="C2201" s="1" t="n">
        <v>45186</v>
      </c>
      <c r="D2201" t="inlineStr">
        <is>
          <t>STOCKHOLMS LÄN</t>
        </is>
      </c>
      <c r="E2201" t="inlineStr">
        <is>
          <t>BOTKYRKA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61370-2022</t>
        </is>
      </c>
      <c r="B2202" s="1" t="n">
        <v>44915</v>
      </c>
      <c r="C2202" s="1" t="n">
        <v>45186</v>
      </c>
      <c r="D2202" t="inlineStr">
        <is>
          <t>STOCKHOLMS LÄN</t>
        </is>
      </c>
      <c r="E2202" t="inlineStr">
        <is>
          <t>ÖSTERÅKER</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61389-2022</t>
        </is>
      </c>
      <c r="B2203" s="1" t="n">
        <v>44915</v>
      </c>
      <c r="C2203" s="1" t="n">
        <v>45186</v>
      </c>
      <c r="D2203" t="inlineStr">
        <is>
          <t>STOCKHOLMS LÄN</t>
        </is>
      </c>
      <c r="E2203" t="inlineStr">
        <is>
          <t>ÖSTERÅKER</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61305-2022</t>
        </is>
      </c>
      <c r="B2204" s="1" t="n">
        <v>44915</v>
      </c>
      <c r="C2204" s="1" t="n">
        <v>45186</v>
      </c>
      <c r="D2204" t="inlineStr">
        <is>
          <t>STOCKHOLMS LÄN</t>
        </is>
      </c>
      <c r="E2204" t="inlineStr">
        <is>
          <t>SALEM</t>
        </is>
      </c>
      <c r="F2204" t="inlineStr">
        <is>
          <t>Kommuner</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61323-2022</t>
        </is>
      </c>
      <c r="B2205" s="1" t="n">
        <v>44915</v>
      </c>
      <c r="C2205" s="1" t="n">
        <v>45186</v>
      </c>
      <c r="D2205" t="inlineStr">
        <is>
          <t>STOCKHOLMS LÄN</t>
        </is>
      </c>
      <c r="E2205" t="inlineStr">
        <is>
          <t>ÖSTERÅKER</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61357-2022</t>
        </is>
      </c>
      <c r="B2206" s="1" t="n">
        <v>44915</v>
      </c>
      <c r="C2206" s="1" t="n">
        <v>45186</v>
      </c>
      <c r="D2206" t="inlineStr">
        <is>
          <t>STOCKHOLMS LÄN</t>
        </is>
      </c>
      <c r="E2206" t="inlineStr">
        <is>
          <t>ÖSTERÅKER</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61242-2022</t>
        </is>
      </c>
      <c r="B2207" s="1" t="n">
        <v>44915</v>
      </c>
      <c r="C2207" s="1" t="n">
        <v>45186</v>
      </c>
      <c r="D2207" t="inlineStr">
        <is>
          <t>STOCKHOLMS LÄN</t>
        </is>
      </c>
      <c r="E2207" t="inlineStr">
        <is>
          <t>BOTKYRKA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61310-2022</t>
        </is>
      </c>
      <c r="B2208" s="1" t="n">
        <v>44915</v>
      </c>
      <c r="C2208" s="1" t="n">
        <v>45186</v>
      </c>
      <c r="D2208" t="inlineStr">
        <is>
          <t>STOCKHOLMS LÄN</t>
        </is>
      </c>
      <c r="E2208" t="inlineStr">
        <is>
          <t>ÖSTERÅKER</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61336-2022</t>
        </is>
      </c>
      <c r="B2209" s="1" t="n">
        <v>44915</v>
      </c>
      <c r="C2209" s="1" t="n">
        <v>45186</v>
      </c>
      <c r="D2209" t="inlineStr">
        <is>
          <t>STOCKHOLMS LÄN</t>
        </is>
      </c>
      <c r="E2209" t="inlineStr">
        <is>
          <t>SALEM</t>
        </is>
      </c>
      <c r="F2209" t="inlineStr">
        <is>
          <t>Kommuner</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61360-2022</t>
        </is>
      </c>
      <c r="B2210" s="1" t="n">
        <v>44915</v>
      </c>
      <c r="C2210" s="1" t="n">
        <v>45186</v>
      </c>
      <c r="D2210" t="inlineStr">
        <is>
          <t>STOCKHOLMS LÄN</t>
        </is>
      </c>
      <c r="E2210" t="inlineStr">
        <is>
          <t>ÖSTERÅKER</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61372-2022</t>
        </is>
      </c>
      <c r="B2211" s="1" t="n">
        <v>44915</v>
      </c>
      <c r="C2211" s="1" t="n">
        <v>45186</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45186</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61513-2022</t>
        </is>
      </c>
      <c r="B2213" s="1" t="n">
        <v>44916</v>
      </c>
      <c r="C2213" s="1" t="n">
        <v>45186</v>
      </c>
      <c r="D2213" t="inlineStr">
        <is>
          <t>STOCKHOLMS LÄN</t>
        </is>
      </c>
      <c r="E2213" t="inlineStr">
        <is>
          <t>BOTKYRKA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61516-2022</t>
        </is>
      </c>
      <c r="B2214" s="1" t="n">
        <v>44916</v>
      </c>
      <c r="C2214" s="1" t="n">
        <v>45186</v>
      </c>
      <c r="D2214" t="inlineStr">
        <is>
          <t>STOCKHOLMS LÄN</t>
        </is>
      </c>
      <c r="E2214" t="inlineStr">
        <is>
          <t>BOTKYRKA</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61742-2022</t>
        </is>
      </c>
      <c r="B2215" s="1" t="n">
        <v>44917</v>
      </c>
      <c r="C2215" s="1" t="n">
        <v>45186</v>
      </c>
      <c r="D2215" t="inlineStr">
        <is>
          <t>STOCKHOLMS LÄN</t>
        </is>
      </c>
      <c r="E2215" t="inlineStr">
        <is>
          <t>VALLENTUNA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61710-2022</t>
        </is>
      </c>
      <c r="B2216" s="1" t="n">
        <v>44917</v>
      </c>
      <c r="C2216" s="1" t="n">
        <v>45186</v>
      </c>
      <c r="D2216" t="inlineStr">
        <is>
          <t>STOCKHOLMS LÄN</t>
        </is>
      </c>
      <c r="E2216" t="inlineStr">
        <is>
          <t>ÖSTERÅKER</t>
        </is>
      </c>
      <c r="G2216" t="n">
        <v>6.2</v>
      </c>
      <c r="H2216" t="n">
        <v>0</v>
      </c>
      <c r="I2216" t="n">
        <v>0</v>
      </c>
      <c r="J2216" t="n">
        <v>0</v>
      </c>
      <c r="K2216" t="n">
        <v>0</v>
      </c>
      <c r="L2216" t="n">
        <v>0</v>
      </c>
      <c r="M2216" t="n">
        <v>0</v>
      </c>
      <c r="N2216" t="n">
        <v>0</v>
      </c>
      <c r="O2216" t="n">
        <v>0</v>
      </c>
      <c r="P2216" t="n">
        <v>0</v>
      </c>
      <c r="Q2216" t="n">
        <v>0</v>
      </c>
      <c r="R2216" s="2" t="inlineStr"/>
    </row>
    <row r="2217" ht="15" customHeight="1">
      <c r="A2217" t="inlineStr">
        <is>
          <t>A 61746-2022</t>
        </is>
      </c>
      <c r="B2217" s="1" t="n">
        <v>44917</v>
      </c>
      <c r="C2217" s="1" t="n">
        <v>45186</v>
      </c>
      <c r="D2217" t="inlineStr">
        <is>
          <t>STOCKHOLMS LÄN</t>
        </is>
      </c>
      <c r="E2217" t="inlineStr">
        <is>
          <t>ÖSTERÅKER</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62634-2022</t>
        </is>
      </c>
      <c r="B2218" s="1" t="n">
        <v>44917</v>
      </c>
      <c r="C2218" s="1" t="n">
        <v>45186</v>
      </c>
      <c r="D2218" t="inlineStr">
        <is>
          <t>STOCKHOLMS LÄN</t>
        </is>
      </c>
      <c r="E2218" t="inlineStr">
        <is>
          <t>NYNÄSHAMN</t>
        </is>
      </c>
      <c r="G2218" t="n">
        <v>15.8</v>
      </c>
      <c r="H2218" t="n">
        <v>0</v>
      </c>
      <c r="I2218" t="n">
        <v>0</v>
      </c>
      <c r="J2218" t="n">
        <v>0</v>
      </c>
      <c r="K2218" t="n">
        <v>0</v>
      </c>
      <c r="L2218" t="n">
        <v>0</v>
      </c>
      <c r="M2218" t="n">
        <v>0</v>
      </c>
      <c r="N2218" t="n">
        <v>0</v>
      </c>
      <c r="O2218" t="n">
        <v>0</v>
      </c>
      <c r="P2218" t="n">
        <v>0</v>
      </c>
      <c r="Q2218" t="n">
        <v>0</v>
      </c>
      <c r="R2218" s="2" t="inlineStr"/>
    </row>
    <row r="2219" ht="15" customHeight="1">
      <c r="A2219" t="inlineStr">
        <is>
          <t>A 114-2023</t>
        </is>
      </c>
      <c r="B2219" s="1" t="n">
        <v>44918</v>
      </c>
      <c r="C2219" s="1" t="n">
        <v>45186</v>
      </c>
      <c r="D2219" t="inlineStr">
        <is>
          <t>STOCKHOLMS LÄN</t>
        </is>
      </c>
      <c r="E2219" t="inlineStr">
        <is>
          <t>VÄRMDÖ</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62108-2022</t>
        </is>
      </c>
      <c r="B2220" s="1" t="n">
        <v>44920</v>
      </c>
      <c r="C2220" s="1" t="n">
        <v>45186</v>
      </c>
      <c r="D2220" t="inlineStr">
        <is>
          <t>STOCKHOLMS LÄN</t>
        </is>
      </c>
      <c r="E2220" t="inlineStr">
        <is>
          <t>ÖSTERÅKER</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62206-2022</t>
        </is>
      </c>
      <c r="B2221" s="1" t="n">
        <v>44922</v>
      </c>
      <c r="C2221" s="1" t="n">
        <v>45186</v>
      </c>
      <c r="D2221" t="inlineStr">
        <is>
          <t>STOCKHOLMS LÄN</t>
        </is>
      </c>
      <c r="E2221" t="inlineStr">
        <is>
          <t>NORRTÄLJE</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62402-2022</t>
        </is>
      </c>
      <c r="B2222" s="1" t="n">
        <v>44923</v>
      </c>
      <c r="C2222" s="1" t="n">
        <v>45186</v>
      </c>
      <c r="D2222" t="inlineStr">
        <is>
          <t>STOCKHOLMS LÄN</t>
        </is>
      </c>
      <c r="E2222" t="inlineStr">
        <is>
          <t>VALLENTUNA</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544-2023</t>
        </is>
      </c>
      <c r="B2223" s="1" t="n">
        <v>44924</v>
      </c>
      <c r="C2223" s="1" t="n">
        <v>45186</v>
      </c>
      <c r="D2223" t="inlineStr">
        <is>
          <t>STOCKHOLMS LÄN</t>
        </is>
      </c>
      <c r="E2223" t="inlineStr">
        <is>
          <t>ÖSTERÅKER</t>
        </is>
      </c>
      <c r="F2223" t="inlineStr">
        <is>
          <t>Övriga Aktiebolag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574-2023</t>
        </is>
      </c>
      <c r="B2224" s="1" t="n">
        <v>44925</v>
      </c>
      <c r="C2224" s="1" t="n">
        <v>45186</v>
      </c>
      <c r="D2224" t="inlineStr">
        <is>
          <t>STOCKHOLMS LÄN</t>
        </is>
      </c>
      <c r="E2224" t="inlineStr">
        <is>
          <t>NORRTÄLJE</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576-2023</t>
        </is>
      </c>
      <c r="B2225" s="1" t="n">
        <v>44925</v>
      </c>
      <c r="C2225" s="1" t="n">
        <v>45186</v>
      </c>
      <c r="D2225" t="inlineStr">
        <is>
          <t>STOCKHOLMS LÄN</t>
        </is>
      </c>
      <c r="E2225" t="inlineStr">
        <is>
          <t>NORRTÄLJE</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504-2023</t>
        </is>
      </c>
      <c r="B2226" s="1" t="n">
        <v>44930</v>
      </c>
      <c r="C2226" s="1" t="n">
        <v>45186</v>
      </c>
      <c r="D2226" t="inlineStr">
        <is>
          <t>STOCKHOLMS LÄN</t>
        </is>
      </c>
      <c r="E2226" t="inlineStr">
        <is>
          <t>SALEM</t>
        </is>
      </c>
      <c r="F2226" t="inlineStr">
        <is>
          <t>Kommuner</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695-2023</t>
        </is>
      </c>
      <c r="B2227" s="1" t="n">
        <v>44930</v>
      </c>
      <c r="C2227" s="1" t="n">
        <v>45186</v>
      </c>
      <c r="D2227" t="inlineStr">
        <is>
          <t>STOCKHOLMS LÄN</t>
        </is>
      </c>
      <c r="E2227" t="inlineStr">
        <is>
          <t>BOTKYRKA</t>
        </is>
      </c>
      <c r="G2227" t="n">
        <v>13.6</v>
      </c>
      <c r="H2227" t="n">
        <v>0</v>
      </c>
      <c r="I2227" t="n">
        <v>0</v>
      </c>
      <c r="J2227" t="n">
        <v>0</v>
      </c>
      <c r="K2227" t="n">
        <v>0</v>
      </c>
      <c r="L2227" t="n">
        <v>0</v>
      </c>
      <c r="M2227" t="n">
        <v>0</v>
      </c>
      <c r="N2227" t="n">
        <v>0</v>
      </c>
      <c r="O2227" t="n">
        <v>0</v>
      </c>
      <c r="P2227" t="n">
        <v>0</v>
      </c>
      <c r="Q2227" t="n">
        <v>0</v>
      </c>
      <c r="R2227" s="2" t="inlineStr"/>
    </row>
    <row r="2228" ht="15" customHeight="1">
      <c r="A2228" t="inlineStr">
        <is>
          <t>A 873-2023</t>
        </is>
      </c>
      <c r="B2228" s="1" t="n">
        <v>44931</v>
      </c>
      <c r="C2228" s="1" t="n">
        <v>45186</v>
      </c>
      <c r="D2228" t="inlineStr">
        <is>
          <t>STOCKHOLMS LÄN</t>
        </is>
      </c>
      <c r="E2228" t="inlineStr">
        <is>
          <t>NORRTÄLJE</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951-2023</t>
        </is>
      </c>
      <c r="B2229" s="1" t="n">
        <v>44934</v>
      </c>
      <c r="C2229" s="1" t="n">
        <v>45186</v>
      </c>
      <c r="D2229" t="inlineStr">
        <is>
          <t>STOCKHOLMS LÄN</t>
        </is>
      </c>
      <c r="E2229" t="inlineStr">
        <is>
          <t>NORRTÄLJE</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1183-2023</t>
        </is>
      </c>
      <c r="B2230" s="1" t="n">
        <v>44935</v>
      </c>
      <c r="C2230" s="1" t="n">
        <v>45186</v>
      </c>
      <c r="D2230" t="inlineStr">
        <is>
          <t>STOCKHOLMS LÄN</t>
        </is>
      </c>
      <c r="E2230" t="inlineStr">
        <is>
          <t>NORRTÄLJE</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1071-2023</t>
        </is>
      </c>
      <c r="B2231" s="1" t="n">
        <v>44935</v>
      </c>
      <c r="C2231" s="1" t="n">
        <v>45186</v>
      </c>
      <c r="D2231" t="inlineStr">
        <is>
          <t>STOCKHOLMS LÄN</t>
        </is>
      </c>
      <c r="E2231" t="inlineStr">
        <is>
          <t>SALEM</t>
        </is>
      </c>
      <c r="F2231" t="inlineStr">
        <is>
          <t>Kommuner</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1136-2023</t>
        </is>
      </c>
      <c r="B2232" s="1" t="n">
        <v>44935</v>
      </c>
      <c r="C2232" s="1" t="n">
        <v>45186</v>
      </c>
      <c r="D2232" t="inlineStr">
        <is>
          <t>STOCKHOLMS LÄN</t>
        </is>
      </c>
      <c r="E2232" t="inlineStr">
        <is>
          <t>ÖSTERÅKER</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1705-2023</t>
        </is>
      </c>
      <c r="B2233" s="1" t="n">
        <v>44936</v>
      </c>
      <c r="C2233" s="1" t="n">
        <v>45186</v>
      </c>
      <c r="D2233" t="inlineStr">
        <is>
          <t>STOCKHOLMS LÄN</t>
        </is>
      </c>
      <c r="E2233" t="inlineStr">
        <is>
          <t>VAXHOLM</t>
        </is>
      </c>
      <c r="F2233" t="inlineStr">
        <is>
          <t>Övriga statliga verk och myndigheter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1368-2023</t>
        </is>
      </c>
      <c r="B2234" s="1" t="n">
        <v>44936</v>
      </c>
      <c r="C2234" s="1" t="n">
        <v>45186</v>
      </c>
      <c r="D2234" t="inlineStr">
        <is>
          <t>STOCKHOLMS LÄN</t>
        </is>
      </c>
      <c r="E2234" t="inlineStr">
        <is>
          <t>BOTKYRKA</t>
        </is>
      </c>
      <c r="F2234" t="inlineStr">
        <is>
          <t>Övriga Aktiebolag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1335-2023</t>
        </is>
      </c>
      <c r="B2235" s="1" t="n">
        <v>44936</v>
      </c>
      <c r="C2235" s="1" t="n">
        <v>45186</v>
      </c>
      <c r="D2235" t="inlineStr">
        <is>
          <t>STOCKHOLMS LÄN</t>
        </is>
      </c>
      <c r="E2235" t="inlineStr">
        <is>
          <t>NORRTÄLJE</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1448-2023</t>
        </is>
      </c>
      <c r="B2236" s="1" t="n">
        <v>44937</v>
      </c>
      <c r="C2236" s="1" t="n">
        <v>45186</v>
      </c>
      <c r="D2236" t="inlineStr">
        <is>
          <t>STOCKHOLMS LÄN</t>
        </is>
      </c>
      <c r="E2236" t="inlineStr">
        <is>
          <t>NORRTÄLJE</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1847-2023</t>
        </is>
      </c>
      <c r="B2237" s="1" t="n">
        <v>44938</v>
      </c>
      <c r="C2237" s="1" t="n">
        <v>45186</v>
      </c>
      <c r="D2237" t="inlineStr">
        <is>
          <t>STOCKHOLMS LÄN</t>
        </is>
      </c>
      <c r="E2237" t="inlineStr">
        <is>
          <t>NORRTÄLJE</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2271-2023</t>
        </is>
      </c>
      <c r="B2238" s="1" t="n">
        <v>44938</v>
      </c>
      <c r="C2238" s="1" t="n">
        <v>45186</v>
      </c>
      <c r="D2238" t="inlineStr">
        <is>
          <t>STOCKHOLMS LÄN</t>
        </is>
      </c>
      <c r="E2238" t="inlineStr">
        <is>
          <t>VÄRMDÖ</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1695-2023</t>
        </is>
      </c>
      <c r="B2239" s="1" t="n">
        <v>44938</v>
      </c>
      <c r="C2239" s="1" t="n">
        <v>45186</v>
      </c>
      <c r="D2239" t="inlineStr">
        <is>
          <t>STOCKHOLMS LÄN</t>
        </is>
      </c>
      <c r="E2239" t="inlineStr">
        <is>
          <t>BOTKYRKA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1740-2023</t>
        </is>
      </c>
      <c r="B2240" s="1" t="n">
        <v>44938</v>
      </c>
      <c r="C2240" s="1" t="n">
        <v>45186</v>
      </c>
      <c r="D2240" t="inlineStr">
        <is>
          <t>STOCKHOLMS LÄN</t>
        </is>
      </c>
      <c r="E2240" t="inlineStr">
        <is>
          <t>NORRTÄLJE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2240-2023</t>
        </is>
      </c>
      <c r="B2241" s="1" t="n">
        <v>44938</v>
      </c>
      <c r="C2241" s="1" t="n">
        <v>45186</v>
      </c>
      <c r="D2241" t="inlineStr">
        <is>
          <t>STOCKHOLMS LÄN</t>
        </is>
      </c>
      <c r="E2241" t="inlineStr">
        <is>
          <t>VÄRMDÖ</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2229-2023</t>
        </is>
      </c>
      <c r="B2242" s="1" t="n">
        <v>44939</v>
      </c>
      <c r="C2242" s="1" t="n">
        <v>45186</v>
      </c>
      <c r="D2242" t="inlineStr">
        <is>
          <t>STOCKHOLMS LÄN</t>
        </is>
      </c>
      <c r="E2242" t="inlineStr">
        <is>
          <t>VAXHOLM</t>
        </is>
      </c>
      <c r="F2242" t="inlineStr">
        <is>
          <t>Övriga statliga verk och myndigheter</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2170-2023</t>
        </is>
      </c>
      <c r="B2243" s="1" t="n">
        <v>44941</v>
      </c>
      <c r="C2243" s="1" t="n">
        <v>45186</v>
      </c>
      <c r="D2243" t="inlineStr">
        <is>
          <t>STOCKHOLMS LÄN</t>
        </is>
      </c>
      <c r="E2243" t="inlineStr">
        <is>
          <t>NYNÄSHAMN</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2854-2023</t>
        </is>
      </c>
      <c r="B2244" s="1" t="n">
        <v>44945</v>
      </c>
      <c r="C2244" s="1" t="n">
        <v>45186</v>
      </c>
      <c r="D2244" t="inlineStr">
        <is>
          <t>STOCKHOLMS LÄN</t>
        </is>
      </c>
      <c r="E2244" t="inlineStr">
        <is>
          <t>NORRTÄLJE</t>
        </is>
      </c>
      <c r="G2244" t="n">
        <v>14.5</v>
      </c>
      <c r="H2244" t="n">
        <v>0</v>
      </c>
      <c r="I2244" t="n">
        <v>0</v>
      </c>
      <c r="J2244" t="n">
        <v>0</v>
      </c>
      <c r="K2244" t="n">
        <v>0</v>
      </c>
      <c r="L2244" t="n">
        <v>0</v>
      </c>
      <c r="M2244" t="n">
        <v>0</v>
      </c>
      <c r="N2244" t="n">
        <v>0</v>
      </c>
      <c r="O2244" t="n">
        <v>0</v>
      </c>
      <c r="P2244" t="n">
        <v>0</v>
      </c>
      <c r="Q2244" t="n">
        <v>0</v>
      </c>
      <c r="R2244" s="2" t="inlineStr"/>
    </row>
    <row r="2245" ht="15" customHeight="1">
      <c r="A2245" t="inlineStr">
        <is>
          <t>A 2890-2023</t>
        </is>
      </c>
      <c r="B2245" s="1" t="n">
        <v>44945</v>
      </c>
      <c r="C2245" s="1" t="n">
        <v>45186</v>
      </c>
      <c r="D2245" t="inlineStr">
        <is>
          <t>STOCKHOLMS LÄN</t>
        </is>
      </c>
      <c r="E2245" t="inlineStr">
        <is>
          <t>NORRTÄLJE</t>
        </is>
      </c>
      <c r="F2245" t="inlineStr">
        <is>
          <t>Holmen skog AB</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2990-2023</t>
        </is>
      </c>
      <c r="B2246" s="1" t="n">
        <v>44945</v>
      </c>
      <c r="C2246" s="1" t="n">
        <v>45186</v>
      </c>
      <c r="D2246" t="inlineStr">
        <is>
          <t>STOCKHOLMS LÄN</t>
        </is>
      </c>
      <c r="E2246" t="inlineStr">
        <is>
          <t>SALEM</t>
        </is>
      </c>
      <c r="F2246" t="inlineStr">
        <is>
          <t>Kommuner</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3071-2023</t>
        </is>
      </c>
      <c r="B2247" s="1" t="n">
        <v>44946</v>
      </c>
      <c r="C2247" s="1" t="n">
        <v>45186</v>
      </c>
      <c r="D2247" t="inlineStr">
        <is>
          <t>STOCKHOLMS LÄN</t>
        </is>
      </c>
      <c r="E2247" t="inlineStr">
        <is>
          <t>VALLENTUNA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3383-2023</t>
        </is>
      </c>
      <c r="B2248" s="1" t="n">
        <v>44949</v>
      </c>
      <c r="C2248" s="1" t="n">
        <v>45186</v>
      </c>
      <c r="D2248" t="inlineStr">
        <is>
          <t>STOCKHOLMS LÄN</t>
        </is>
      </c>
      <c r="E2248" t="inlineStr">
        <is>
          <t>NORRTÄLJE</t>
        </is>
      </c>
      <c r="G2248" t="n">
        <v>14.6</v>
      </c>
      <c r="H2248" t="n">
        <v>0</v>
      </c>
      <c r="I2248" t="n">
        <v>0</v>
      </c>
      <c r="J2248" t="n">
        <v>0</v>
      </c>
      <c r="K2248" t="n">
        <v>0</v>
      </c>
      <c r="L2248" t="n">
        <v>0</v>
      </c>
      <c r="M2248" t="n">
        <v>0</v>
      </c>
      <c r="N2248" t="n">
        <v>0</v>
      </c>
      <c r="O2248" t="n">
        <v>0</v>
      </c>
      <c r="P2248" t="n">
        <v>0</v>
      </c>
      <c r="Q2248" t="n">
        <v>0</v>
      </c>
      <c r="R2248" s="2" t="inlineStr"/>
    </row>
    <row r="2249" ht="15" customHeight="1">
      <c r="A2249" t="inlineStr">
        <is>
          <t>A 3444-2023</t>
        </is>
      </c>
      <c r="B2249" s="1" t="n">
        <v>44949</v>
      </c>
      <c r="C2249" s="1" t="n">
        <v>45186</v>
      </c>
      <c r="D2249" t="inlineStr">
        <is>
          <t>STOCKHOLMS LÄN</t>
        </is>
      </c>
      <c r="E2249" t="inlineStr">
        <is>
          <t>NORRTÄLJE</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3350-2023</t>
        </is>
      </c>
      <c r="B2250" s="1" t="n">
        <v>44949</v>
      </c>
      <c r="C2250" s="1" t="n">
        <v>45186</v>
      </c>
      <c r="D2250" t="inlineStr">
        <is>
          <t>STOCKHOLMS LÄN</t>
        </is>
      </c>
      <c r="E2250" t="inlineStr">
        <is>
          <t>VALLENTUNA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3630-2023</t>
        </is>
      </c>
      <c r="B2251" s="1" t="n">
        <v>44950</v>
      </c>
      <c r="C2251" s="1" t="n">
        <v>45186</v>
      </c>
      <c r="D2251" t="inlineStr">
        <is>
          <t>STOCKHOLMS LÄN</t>
        </is>
      </c>
      <c r="E2251" t="inlineStr">
        <is>
          <t>UPPLANDS-BRO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3622-2023</t>
        </is>
      </c>
      <c r="B2252" s="1" t="n">
        <v>44950</v>
      </c>
      <c r="C2252" s="1" t="n">
        <v>45186</v>
      </c>
      <c r="D2252" t="inlineStr">
        <is>
          <t>STOCKHOLMS LÄN</t>
        </is>
      </c>
      <c r="E2252" t="inlineStr">
        <is>
          <t>UPPLANDS-BRO</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4153-2023</t>
        </is>
      </c>
      <c r="B2253" s="1" t="n">
        <v>44950</v>
      </c>
      <c r="C2253" s="1" t="n">
        <v>45186</v>
      </c>
      <c r="D2253" t="inlineStr">
        <is>
          <t>STOCKHOLMS LÄN</t>
        </is>
      </c>
      <c r="E2253" t="inlineStr">
        <is>
          <t>UPPLANDS-BRO</t>
        </is>
      </c>
      <c r="F2253" t="inlineStr">
        <is>
          <t>Övriga statliga verk och myndigheter</t>
        </is>
      </c>
      <c r="G2253" t="n">
        <v>7.3</v>
      </c>
      <c r="H2253" t="n">
        <v>0</v>
      </c>
      <c r="I2253" t="n">
        <v>0</v>
      </c>
      <c r="J2253" t="n">
        <v>0</v>
      </c>
      <c r="K2253" t="n">
        <v>0</v>
      </c>
      <c r="L2253" t="n">
        <v>0</v>
      </c>
      <c r="M2253" t="n">
        <v>0</v>
      </c>
      <c r="N2253" t="n">
        <v>0</v>
      </c>
      <c r="O2253" t="n">
        <v>0</v>
      </c>
      <c r="P2253" t="n">
        <v>0</v>
      </c>
      <c r="Q2253" t="n">
        <v>0</v>
      </c>
      <c r="R2253" s="2" t="inlineStr"/>
    </row>
    <row r="2254" ht="15" customHeight="1">
      <c r="A2254" t="inlineStr">
        <is>
          <t>A 3817-2023</t>
        </is>
      </c>
      <c r="B2254" s="1" t="n">
        <v>44951</v>
      </c>
      <c r="C2254" s="1" t="n">
        <v>45186</v>
      </c>
      <c r="D2254" t="inlineStr">
        <is>
          <t>STOCKHOLMS LÄN</t>
        </is>
      </c>
      <c r="E2254" t="inlineStr">
        <is>
          <t>ÖSTERÅKER</t>
        </is>
      </c>
      <c r="F2254" t="inlineStr">
        <is>
          <t>Kommuner</t>
        </is>
      </c>
      <c r="G2254" t="n">
        <v>4.7</v>
      </c>
      <c r="H2254" t="n">
        <v>0</v>
      </c>
      <c r="I2254" t="n">
        <v>0</v>
      </c>
      <c r="J2254" t="n">
        <v>0</v>
      </c>
      <c r="K2254" t="n">
        <v>0</v>
      </c>
      <c r="L2254" t="n">
        <v>0</v>
      </c>
      <c r="M2254" t="n">
        <v>0</v>
      </c>
      <c r="N2254" t="n">
        <v>0</v>
      </c>
      <c r="O2254" t="n">
        <v>0</v>
      </c>
      <c r="P2254" t="n">
        <v>0</v>
      </c>
      <c r="Q2254" t="n">
        <v>0</v>
      </c>
      <c r="R2254" s="2" t="inlineStr"/>
    </row>
    <row r="2255" ht="15" customHeight="1">
      <c r="A2255" t="inlineStr">
        <is>
          <t>A 3828-2023</t>
        </is>
      </c>
      <c r="B2255" s="1" t="n">
        <v>44951</v>
      </c>
      <c r="C2255" s="1" t="n">
        <v>45186</v>
      </c>
      <c r="D2255" t="inlineStr">
        <is>
          <t>STOCKHOLMS LÄN</t>
        </is>
      </c>
      <c r="E2255" t="inlineStr">
        <is>
          <t>ÖSTERÅKER</t>
        </is>
      </c>
      <c r="F2255" t="inlineStr">
        <is>
          <t>Kommuner</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4058-2023</t>
        </is>
      </c>
      <c r="B2256" s="1" t="n">
        <v>44952</v>
      </c>
      <c r="C2256" s="1" t="n">
        <v>45186</v>
      </c>
      <c r="D2256" t="inlineStr">
        <is>
          <t>STOCKHOLMS LÄN</t>
        </is>
      </c>
      <c r="E2256" t="inlineStr">
        <is>
          <t>NORRTÄLJE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3917-2023</t>
        </is>
      </c>
      <c r="B2257" s="1" t="n">
        <v>44952</v>
      </c>
      <c r="C2257" s="1" t="n">
        <v>45186</v>
      </c>
      <c r="D2257" t="inlineStr">
        <is>
          <t>STOCKHOLMS LÄN</t>
        </is>
      </c>
      <c r="E2257" t="inlineStr">
        <is>
          <t>ÖSTERÅKER</t>
        </is>
      </c>
      <c r="F2257" t="inlineStr">
        <is>
          <t>Kommuner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4338-2023</t>
        </is>
      </c>
      <c r="B2258" s="1" t="n">
        <v>44953</v>
      </c>
      <c r="C2258" s="1" t="n">
        <v>45186</v>
      </c>
      <c r="D2258" t="inlineStr">
        <is>
          <t>STOCKHOLMS LÄN</t>
        </is>
      </c>
      <c r="E2258" t="inlineStr">
        <is>
          <t>UPPLANDS-BRO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4194-2023</t>
        </is>
      </c>
      <c r="B2259" s="1" t="n">
        <v>44953</v>
      </c>
      <c r="C2259" s="1" t="n">
        <v>45186</v>
      </c>
      <c r="D2259" t="inlineStr">
        <is>
          <t>STOCKHOLMS LÄN</t>
        </is>
      </c>
      <c r="E2259" t="inlineStr">
        <is>
          <t>NORRTÄLJE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4168-2023</t>
        </is>
      </c>
      <c r="B2260" s="1" t="n">
        <v>44953</v>
      </c>
      <c r="C2260" s="1" t="n">
        <v>45186</v>
      </c>
      <c r="D2260" t="inlineStr">
        <is>
          <t>STOCKHOLMS LÄN</t>
        </is>
      </c>
      <c r="E2260" t="inlineStr">
        <is>
          <t>NORRTÄLJE</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4364-2023</t>
        </is>
      </c>
      <c r="B2261" s="1" t="n">
        <v>44954</v>
      </c>
      <c r="C2261" s="1" t="n">
        <v>45186</v>
      </c>
      <c r="D2261" t="inlineStr">
        <is>
          <t>STOCKHOLMS LÄN</t>
        </is>
      </c>
      <c r="E2261" t="inlineStr">
        <is>
          <t>NORRTÄLJE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4440-2023</t>
        </is>
      </c>
      <c r="B2262" s="1" t="n">
        <v>44956</v>
      </c>
      <c r="C2262" s="1" t="n">
        <v>45186</v>
      </c>
      <c r="D2262" t="inlineStr">
        <is>
          <t>STOCKHOLMS LÄN</t>
        </is>
      </c>
      <c r="E2262" t="inlineStr">
        <is>
          <t>SÖDERTÄLJE</t>
        </is>
      </c>
      <c r="G2262" t="n">
        <v>18.4</v>
      </c>
      <c r="H2262" t="n">
        <v>0</v>
      </c>
      <c r="I2262" t="n">
        <v>0</v>
      </c>
      <c r="J2262" t="n">
        <v>0</v>
      </c>
      <c r="K2262" t="n">
        <v>0</v>
      </c>
      <c r="L2262" t="n">
        <v>0</v>
      </c>
      <c r="M2262" t="n">
        <v>0</v>
      </c>
      <c r="N2262" t="n">
        <v>0</v>
      </c>
      <c r="O2262" t="n">
        <v>0</v>
      </c>
      <c r="P2262" t="n">
        <v>0</v>
      </c>
      <c r="Q2262" t="n">
        <v>0</v>
      </c>
      <c r="R2262" s="2" t="inlineStr"/>
    </row>
    <row r="2263" ht="15" customHeight="1">
      <c r="A2263" t="inlineStr">
        <is>
          <t>A 5243-2023</t>
        </is>
      </c>
      <c r="B2263" s="1" t="n">
        <v>44956</v>
      </c>
      <c r="C2263" s="1" t="n">
        <v>45186</v>
      </c>
      <c r="D2263" t="inlineStr">
        <is>
          <t>STOCKHOLMS LÄN</t>
        </is>
      </c>
      <c r="E2263" t="inlineStr">
        <is>
          <t>HANINGE</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4597-2023</t>
        </is>
      </c>
      <c r="B2264" s="1" t="n">
        <v>44956</v>
      </c>
      <c r="C2264" s="1" t="n">
        <v>45186</v>
      </c>
      <c r="D2264" t="inlineStr">
        <is>
          <t>STOCKHOLMS LÄN</t>
        </is>
      </c>
      <c r="E2264" t="inlineStr">
        <is>
          <t>VALLENTUNA</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4596-2023</t>
        </is>
      </c>
      <c r="B2265" s="1" t="n">
        <v>44956</v>
      </c>
      <c r="C2265" s="1" t="n">
        <v>45186</v>
      </c>
      <c r="D2265" t="inlineStr">
        <is>
          <t>STOCKHOLMS LÄN</t>
        </is>
      </c>
      <c r="E2265" t="inlineStr">
        <is>
          <t>NORRTÄLJE</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4438-2023</t>
        </is>
      </c>
      <c r="B2266" s="1" t="n">
        <v>44956</v>
      </c>
      <c r="C2266" s="1" t="n">
        <v>45186</v>
      </c>
      <c r="D2266" t="inlineStr">
        <is>
          <t>STOCKHOLMS LÄN</t>
        </is>
      </c>
      <c r="E2266" t="inlineStr">
        <is>
          <t>NORRTÄLJE</t>
        </is>
      </c>
      <c r="G2266" t="n">
        <v>9.199999999999999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4593-2023</t>
        </is>
      </c>
      <c r="B2267" s="1" t="n">
        <v>44956</v>
      </c>
      <c r="C2267" s="1" t="n">
        <v>45186</v>
      </c>
      <c r="D2267" t="inlineStr">
        <is>
          <t>STOCKHOLMS LÄN</t>
        </is>
      </c>
      <c r="E2267" t="inlineStr">
        <is>
          <t>NORRTÄLJE</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4904-2023</t>
        </is>
      </c>
      <c r="B2268" s="1" t="n">
        <v>44956</v>
      </c>
      <c r="C2268" s="1" t="n">
        <v>45186</v>
      </c>
      <c r="D2268" t="inlineStr">
        <is>
          <t>STOCKHOLMS LÄN</t>
        </is>
      </c>
      <c r="E2268" t="inlineStr">
        <is>
          <t>EKERÖ</t>
        </is>
      </c>
      <c r="F2268" t="inlineStr">
        <is>
          <t>Övriga statliga verk och myndigheter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5528-2023</t>
        </is>
      </c>
      <c r="B2269" s="1" t="n">
        <v>44957</v>
      </c>
      <c r="C2269" s="1" t="n">
        <v>45186</v>
      </c>
      <c r="D2269" t="inlineStr">
        <is>
          <t>STOCKHOLMS LÄN</t>
        </is>
      </c>
      <c r="E2269" t="inlineStr">
        <is>
          <t>VAXHOLM</t>
        </is>
      </c>
      <c r="F2269" t="inlineStr">
        <is>
          <t>Övriga statliga verk och myndigheter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4688-2023</t>
        </is>
      </c>
      <c r="B2270" s="1" t="n">
        <v>44957</v>
      </c>
      <c r="C2270" s="1" t="n">
        <v>45186</v>
      </c>
      <c r="D2270" t="inlineStr">
        <is>
          <t>STOCKHOLMS LÄN</t>
        </is>
      </c>
      <c r="E2270" t="inlineStr">
        <is>
          <t>NYNÄSHAMN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5137-2023</t>
        </is>
      </c>
      <c r="B2271" s="1" t="n">
        <v>44958</v>
      </c>
      <c r="C2271" s="1" t="n">
        <v>45186</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5264-2023</t>
        </is>
      </c>
      <c r="B2272" s="1" t="n">
        <v>44959</v>
      </c>
      <c r="C2272" s="1" t="n">
        <v>45186</v>
      </c>
      <c r="D2272" t="inlineStr">
        <is>
          <t>STOCKHOLMS LÄN</t>
        </is>
      </c>
      <c r="E2272" t="inlineStr">
        <is>
          <t>UPPLANDS-BRO</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5968-2023</t>
        </is>
      </c>
      <c r="B2273" s="1" t="n">
        <v>44959</v>
      </c>
      <c r="C2273" s="1" t="n">
        <v>45186</v>
      </c>
      <c r="D2273" t="inlineStr">
        <is>
          <t>STOCKHOLMS LÄN</t>
        </is>
      </c>
      <c r="E2273" t="inlineStr">
        <is>
          <t>VAXHOLM</t>
        </is>
      </c>
      <c r="F2273" t="inlineStr">
        <is>
          <t>Övriga statliga verk och myndigheter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6312-2023</t>
        </is>
      </c>
      <c r="B2274" s="1" t="n">
        <v>44959</v>
      </c>
      <c r="C2274" s="1" t="n">
        <v>45186</v>
      </c>
      <c r="D2274" t="inlineStr">
        <is>
          <t>STOCKHOLMS LÄN</t>
        </is>
      </c>
      <c r="E2274" t="inlineStr">
        <is>
          <t>NORRTÄLJE</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5681-2023</t>
        </is>
      </c>
      <c r="B2275" s="1" t="n">
        <v>44960</v>
      </c>
      <c r="C2275" s="1" t="n">
        <v>45186</v>
      </c>
      <c r="D2275" t="inlineStr">
        <is>
          <t>STOCKHOLMS LÄN</t>
        </is>
      </c>
      <c r="E2275" t="inlineStr">
        <is>
          <t>ÖSTERÅKER</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5501-2023</t>
        </is>
      </c>
      <c r="B2276" s="1" t="n">
        <v>44960</v>
      </c>
      <c r="C2276" s="1" t="n">
        <v>45186</v>
      </c>
      <c r="D2276" t="inlineStr">
        <is>
          <t>STOCKHOLMS LÄN</t>
        </is>
      </c>
      <c r="E2276" t="inlineStr">
        <is>
          <t>NORRTÄLJE</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5567-2023</t>
        </is>
      </c>
      <c r="B2277" s="1" t="n">
        <v>44960</v>
      </c>
      <c r="C2277" s="1" t="n">
        <v>45186</v>
      </c>
      <c r="D2277" t="inlineStr">
        <is>
          <t>STOCKHOLMS LÄN</t>
        </is>
      </c>
      <c r="E2277" t="inlineStr">
        <is>
          <t>NYNÄSHAMN</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6496-2023</t>
        </is>
      </c>
      <c r="B2278" s="1" t="n">
        <v>44960</v>
      </c>
      <c r="C2278" s="1" t="n">
        <v>45186</v>
      </c>
      <c r="D2278" t="inlineStr">
        <is>
          <t>STOCKHOLMS LÄN</t>
        </is>
      </c>
      <c r="E2278" t="inlineStr">
        <is>
          <t>NORRTÄLJE</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5732-2023</t>
        </is>
      </c>
      <c r="B2279" s="1" t="n">
        <v>44962</v>
      </c>
      <c r="C2279" s="1" t="n">
        <v>45186</v>
      </c>
      <c r="D2279" t="inlineStr">
        <is>
          <t>STOCKHOLMS LÄN</t>
        </is>
      </c>
      <c r="E2279" t="inlineStr">
        <is>
          <t>NORRTÄLJE</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5839-2023</t>
        </is>
      </c>
      <c r="B2280" s="1" t="n">
        <v>44963</v>
      </c>
      <c r="C2280" s="1" t="n">
        <v>45186</v>
      </c>
      <c r="D2280" t="inlineStr">
        <is>
          <t>STOCKHOLMS LÄN</t>
        </is>
      </c>
      <c r="E2280" t="inlineStr">
        <is>
          <t>NORRTÄLJE</t>
        </is>
      </c>
      <c r="G2280" t="n">
        <v>3.6</v>
      </c>
      <c r="H2280" t="n">
        <v>0</v>
      </c>
      <c r="I2280" t="n">
        <v>0</v>
      </c>
      <c r="J2280" t="n">
        <v>0</v>
      </c>
      <c r="K2280" t="n">
        <v>0</v>
      </c>
      <c r="L2280" t="n">
        <v>0</v>
      </c>
      <c r="M2280" t="n">
        <v>0</v>
      </c>
      <c r="N2280" t="n">
        <v>0</v>
      </c>
      <c r="O2280" t="n">
        <v>0</v>
      </c>
      <c r="P2280" t="n">
        <v>0</v>
      </c>
      <c r="Q2280" t="n">
        <v>0</v>
      </c>
      <c r="R2280" s="2" t="inlineStr"/>
    </row>
    <row r="2281" ht="15" customHeight="1">
      <c r="A2281" t="inlineStr">
        <is>
          <t>A 5823-2023</t>
        </is>
      </c>
      <c r="B2281" s="1" t="n">
        <v>44963</v>
      </c>
      <c r="C2281" s="1" t="n">
        <v>45186</v>
      </c>
      <c r="D2281" t="inlineStr">
        <is>
          <t>STOCKHOLMS LÄN</t>
        </is>
      </c>
      <c r="E2281" t="inlineStr">
        <is>
          <t>NORRTÄLJE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6032-2023</t>
        </is>
      </c>
      <c r="B2282" s="1" t="n">
        <v>44964</v>
      </c>
      <c r="C2282" s="1" t="n">
        <v>45186</v>
      </c>
      <c r="D2282" t="inlineStr">
        <is>
          <t>STOCKHOLMS LÄN</t>
        </is>
      </c>
      <c r="E2282" t="inlineStr">
        <is>
          <t>SÖDERTÄLJE</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7230-2023</t>
        </is>
      </c>
      <c r="B2283" s="1" t="n">
        <v>44965</v>
      </c>
      <c r="C2283" s="1" t="n">
        <v>45186</v>
      </c>
      <c r="D2283" t="inlineStr">
        <is>
          <t>STOCKHOLMS LÄN</t>
        </is>
      </c>
      <c r="E2283" t="inlineStr">
        <is>
          <t>NORRTÄLJE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6582-2023</t>
        </is>
      </c>
      <c r="B2284" s="1" t="n">
        <v>44966</v>
      </c>
      <c r="C2284" s="1" t="n">
        <v>45186</v>
      </c>
      <c r="D2284" t="inlineStr">
        <is>
          <t>STOCKHOLMS LÄN</t>
        </is>
      </c>
      <c r="E2284" t="inlineStr">
        <is>
          <t>ÖSTERÅKER</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6648-2023</t>
        </is>
      </c>
      <c r="B2285" s="1" t="n">
        <v>44966</v>
      </c>
      <c r="C2285" s="1" t="n">
        <v>45186</v>
      </c>
      <c r="D2285" t="inlineStr">
        <is>
          <t>STOCKHOLMS LÄN</t>
        </is>
      </c>
      <c r="E2285" t="inlineStr">
        <is>
          <t>HANINGE</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7694-2023</t>
        </is>
      </c>
      <c r="B2286" s="1" t="n">
        <v>44967</v>
      </c>
      <c r="C2286" s="1" t="n">
        <v>45186</v>
      </c>
      <c r="D2286" t="inlineStr">
        <is>
          <t>STOCKHOLMS LÄN</t>
        </is>
      </c>
      <c r="E2286" t="inlineStr">
        <is>
          <t>VAXHOLM</t>
        </is>
      </c>
      <c r="F2286" t="inlineStr">
        <is>
          <t>Övriga statliga verk och myndigheter</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7862-2023</t>
        </is>
      </c>
      <c r="B2287" s="1" t="n">
        <v>44970</v>
      </c>
      <c r="C2287" s="1" t="n">
        <v>45186</v>
      </c>
      <c r="D2287" t="inlineStr">
        <is>
          <t>STOCKHOLMS LÄN</t>
        </is>
      </c>
      <c r="E2287" t="inlineStr">
        <is>
          <t>VAXHOLM</t>
        </is>
      </c>
      <c r="F2287" t="inlineStr">
        <is>
          <t>Övriga statliga verk och myndigheter</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7101-2023</t>
        </is>
      </c>
      <c r="B2288" s="1" t="n">
        <v>44970</v>
      </c>
      <c r="C2288" s="1" t="n">
        <v>45186</v>
      </c>
      <c r="D2288" t="inlineStr">
        <is>
          <t>STOCKHOLMS LÄN</t>
        </is>
      </c>
      <c r="E2288" t="inlineStr">
        <is>
          <t>NORRTÄLJE</t>
        </is>
      </c>
      <c r="F2288" t="inlineStr">
        <is>
          <t>Sveaskog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7190-2023</t>
        </is>
      </c>
      <c r="B2289" s="1" t="n">
        <v>44970</v>
      </c>
      <c r="C2289" s="1" t="n">
        <v>45186</v>
      </c>
      <c r="D2289" t="inlineStr">
        <is>
          <t>STOCKHOLMS LÄN</t>
        </is>
      </c>
      <c r="E2289" t="inlineStr">
        <is>
          <t>NORRTÄLJE</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7093-2023</t>
        </is>
      </c>
      <c r="B2290" s="1" t="n">
        <v>44970</v>
      </c>
      <c r="C2290" s="1" t="n">
        <v>45186</v>
      </c>
      <c r="D2290" t="inlineStr">
        <is>
          <t>STOCKHOLMS LÄN</t>
        </is>
      </c>
      <c r="E2290" t="inlineStr">
        <is>
          <t>NORRTÄLJE</t>
        </is>
      </c>
      <c r="F2290" t="inlineStr">
        <is>
          <t>Sveaskog</t>
        </is>
      </c>
      <c r="G2290" t="n">
        <v>8.4</v>
      </c>
      <c r="H2290" t="n">
        <v>0</v>
      </c>
      <c r="I2290" t="n">
        <v>0</v>
      </c>
      <c r="J2290" t="n">
        <v>0</v>
      </c>
      <c r="K2290" t="n">
        <v>0</v>
      </c>
      <c r="L2290" t="n">
        <v>0</v>
      </c>
      <c r="M2290" t="n">
        <v>0</v>
      </c>
      <c r="N2290" t="n">
        <v>0</v>
      </c>
      <c r="O2290" t="n">
        <v>0</v>
      </c>
      <c r="P2290" t="n">
        <v>0</v>
      </c>
      <c r="Q2290" t="n">
        <v>0</v>
      </c>
      <c r="R2290" s="2" t="inlineStr"/>
    </row>
    <row r="2291" ht="15" customHeight="1">
      <c r="A2291" t="inlineStr">
        <is>
          <t>A 7120-2023</t>
        </is>
      </c>
      <c r="B2291" s="1" t="n">
        <v>44970</v>
      </c>
      <c r="C2291" s="1" t="n">
        <v>45186</v>
      </c>
      <c r="D2291" t="inlineStr">
        <is>
          <t>STOCKHOLMS LÄN</t>
        </is>
      </c>
      <c r="E2291" t="inlineStr">
        <is>
          <t>NORRTÄLJE</t>
        </is>
      </c>
      <c r="F2291" t="inlineStr">
        <is>
          <t>Sveaskog</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7571-2023</t>
        </is>
      </c>
      <c r="B2292" s="1" t="n">
        <v>44972</v>
      </c>
      <c r="C2292" s="1" t="n">
        <v>45186</v>
      </c>
      <c r="D2292" t="inlineStr">
        <is>
          <t>STOCKHOLMS LÄN</t>
        </is>
      </c>
      <c r="E2292" t="inlineStr">
        <is>
          <t>NYNÄSHAMN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8756-2023</t>
        </is>
      </c>
      <c r="B2293" s="1" t="n">
        <v>44972</v>
      </c>
      <c r="C2293" s="1" t="n">
        <v>45186</v>
      </c>
      <c r="D2293" t="inlineStr">
        <is>
          <t>STOCKHOLMS LÄN</t>
        </is>
      </c>
      <c r="E2293" t="inlineStr">
        <is>
          <t>VÄRMDÖ</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7921-2023</t>
        </is>
      </c>
      <c r="B2294" s="1" t="n">
        <v>44973</v>
      </c>
      <c r="C2294" s="1" t="n">
        <v>45186</v>
      </c>
      <c r="D2294" t="inlineStr">
        <is>
          <t>STOCKHOLMS LÄN</t>
        </is>
      </c>
      <c r="E2294" t="inlineStr">
        <is>
          <t>NYKVARN</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8820-2023</t>
        </is>
      </c>
      <c r="B2295" s="1" t="n">
        <v>44973</v>
      </c>
      <c r="C2295" s="1" t="n">
        <v>45186</v>
      </c>
      <c r="D2295" t="inlineStr">
        <is>
          <t>STOCKHOLMS LÄN</t>
        </is>
      </c>
      <c r="E2295" t="inlineStr">
        <is>
          <t>VALLENTUNA</t>
        </is>
      </c>
      <c r="G2295" t="n">
        <v>7</v>
      </c>
      <c r="H2295" t="n">
        <v>0</v>
      </c>
      <c r="I2295" t="n">
        <v>0</v>
      </c>
      <c r="J2295" t="n">
        <v>0</v>
      </c>
      <c r="K2295" t="n">
        <v>0</v>
      </c>
      <c r="L2295" t="n">
        <v>0</v>
      </c>
      <c r="M2295" t="n">
        <v>0</v>
      </c>
      <c r="N2295" t="n">
        <v>0</v>
      </c>
      <c r="O2295" t="n">
        <v>0</v>
      </c>
      <c r="P2295" t="n">
        <v>0</v>
      </c>
      <c r="Q2295" t="n">
        <v>0</v>
      </c>
      <c r="R2295" s="2" t="inlineStr"/>
    </row>
    <row r="2296" ht="15" customHeight="1">
      <c r="A2296" t="inlineStr">
        <is>
          <t>A 7776-2023</t>
        </is>
      </c>
      <c r="B2296" s="1" t="n">
        <v>44973</v>
      </c>
      <c r="C2296" s="1" t="n">
        <v>45186</v>
      </c>
      <c r="D2296" t="inlineStr">
        <is>
          <t>STOCKHOLMS LÄN</t>
        </is>
      </c>
      <c r="E2296" t="inlineStr">
        <is>
          <t>NYNÄSHAMN</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8296-2023</t>
        </is>
      </c>
      <c r="B2297" s="1" t="n">
        <v>44974</v>
      </c>
      <c r="C2297" s="1" t="n">
        <v>45186</v>
      </c>
      <c r="D2297" t="inlineStr">
        <is>
          <t>STOCKHOLMS LÄN</t>
        </is>
      </c>
      <c r="E2297" t="inlineStr">
        <is>
          <t>NORRTÄLJE</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8586-2023</t>
        </is>
      </c>
      <c r="B2298" s="1" t="n">
        <v>44977</v>
      </c>
      <c r="C2298" s="1" t="n">
        <v>45186</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8611-2023</t>
        </is>
      </c>
      <c r="B2299" s="1" t="n">
        <v>44977</v>
      </c>
      <c r="C2299" s="1" t="n">
        <v>45186</v>
      </c>
      <c r="D2299" t="inlineStr">
        <is>
          <t>STOCKHOLMS LÄN</t>
        </is>
      </c>
      <c r="E2299" t="inlineStr">
        <is>
          <t>SÖDERTÄLJE</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9224-2023</t>
        </is>
      </c>
      <c r="B2300" s="1" t="n">
        <v>44977</v>
      </c>
      <c r="C2300" s="1" t="n">
        <v>45186</v>
      </c>
      <c r="D2300" t="inlineStr">
        <is>
          <t>STOCKHOLMS LÄN</t>
        </is>
      </c>
      <c r="E2300" t="inlineStr">
        <is>
          <t>SIGTUNA</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9401-2023</t>
        </is>
      </c>
      <c r="B2301" s="1" t="n">
        <v>44977</v>
      </c>
      <c r="C2301" s="1" t="n">
        <v>45186</v>
      </c>
      <c r="D2301" t="inlineStr">
        <is>
          <t>STOCKHOLMS LÄN</t>
        </is>
      </c>
      <c r="E2301" t="inlineStr">
        <is>
          <t>NORRTÄLJE</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8939-2023</t>
        </is>
      </c>
      <c r="B2302" s="1" t="n">
        <v>44979</v>
      </c>
      <c r="C2302" s="1" t="n">
        <v>45186</v>
      </c>
      <c r="D2302" t="inlineStr">
        <is>
          <t>STOCKHOLMS LÄN</t>
        </is>
      </c>
      <c r="E2302" t="inlineStr">
        <is>
          <t>NYNÄSHAMN</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9011-2023</t>
        </is>
      </c>
      <c r="B2303" s="1" t="n">
        <v>44979</v>
      </c>
      <c r="C2303" s="1" t="n">
        <v>45186</v>
      </c>
      <c r="D2303" t="inlineStr">
        <is>
          <t>STOCKHOLMS LÄN</t>
        </is>
      </c>
      <c r="E2303" t="inlineStr">
        <is>
          <t>NYNÄSHAMN</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8899-2023</t>
        </is>
      </c>
      <c r="B2304" s="1" t="n">
        <v>44979</v>
      </c>
      <c r="C2304" s="1" t="n">
        <v>45186</v>
      </c>
      <c r="D2304" t="inlineStr">
        <is>
          <t>STOCKHOLMS LÄN</t>
        </is>
      </c>
      <c r="E2304" t="inlineStr">
        <is>
          <t>NORRTÄLJE</t>
        </is>
      </c>
      <c r="F2304" t="inlineStr">
        <is>
          <t>Naturvårdsverket</t>
        </is>
      </c>
      <c r="G2304" t="n">
        <v>14.9</v>
      </c>
      <c r="H2304" t="n">
        <v>0</v>
      </c>
      <c r="I2304" t="n">
        <v>0</v>
      </c>
      <c r="J2304" t="n">
        <v>0</v>
      </c>
      <c r="K2304" t="n">
        <v>0</v>
      </c>
      <c r="L2304" t="n">
        <v>0</v>
      </c>
      <c r="M2304" t="n">
        <v>0</v>
      </c>
      <c r="N2304" t="n">
        <v>0</v>
      </c>
      <c r="O2304" t="n">
        <v>0</v>
      </c>
      <c r="P2304" t="n">
        <v>0</v>
      </c>
      <c r="Q2304" t="n">
        <v>0</v>
      </c>
      <c r="R2304" s="2" t="inlineStr"/>
    </row>
    <row r="2305" ht="15" customHeight="1">
      <c r="A2305" t="inlineStr">
        <is>
          <t>A 9017-2023</t>
        </is>
      </c>
      <c r="B2305" s="1" t="n">
        <v>44979</v>
      </c>
      <c r="C2305" s="1" t="n">
        <v>45186</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9032-2023</t>
        </is>
      </c>
      <c r="B2306" s="1" t="n">
        <v>44979</v>
      </c>
      <c r="C2306" s="1" t="n">
        <v>45186</v>
      </c>
      <c r="D2306" t="inlineStr">
        <is>
          <t>STOCKHOLMS LÄN</t>
        </is>
      </c>
      <c r="E2306" t="inlineStr">
        <is>
          <t>BOTKYRKA</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8932-2023</t>
        </is>
      </c>
      <c r="B2307" s="1" t="n">
        <v>44979</v>
      </c>
      <c r="C2307" s="1" t="n">
        <v>45186</v>
      </c>
      <c r="D2307" t="inlineStr">
        <is>
          <t>STOCKHOLMS LÄN</t>
        </is>
      </c>
      <c r="E2307" t="inlineStr">
        <is>
          <t>NYNÄSHAMN</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9020-2023</t>
        </is>
      </c>
      <c r="B2308" s="1" t="n">
        <v>44979</v>
      </c>
      <c r="C2308" s="1" t="n">
        <v>45186</v>
      </c>
      <c r="D2308" t="inlineStr">
        <is>
          <t>STOCKHOLMS LÄN</t>
        </is>
      </c>
      <c r="E2308" t="inlineStr">
        <is>
          <t>NYNÄSHAMN</t>
        </is>
      </c>
      <c r="F2308" t="inlineStr">
        <is>
          <t>Kommuner</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9189-2023</t>
        </is>
      </c>
      <c r="B2309" s="1" t="n">
        <v>44980</v>
      </c>
      <c r="C2309" s="1" t="n">
        <v>45186</v>
      </c>
      <c r="D2309" t="inlineStr">
        <is>
          <t>STOCKHOLMS LÄN</t>
        </is>
      </c>
      <c r="E2309" t="inlineStr">
        <is>
          <t>NORRTÄLJE</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9329-2023</t>
        </is>
      </c>
      <c r="B2310" s="1" t="n">
        <v>44980</v>
      </c>
      <c r="C2310" s="1" t="n">
        <v>45186</v>
      </c>
      <c r="D2310" t="inlineStr">
        <is>
          <t>STOCKHOLMS LÄN</t>
        </is>
      </c>
      <c r="E2310" t="inlineStr">
        <is>
          <t>NORRTÄLJE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9184-2023</t>
        </is>
      </c>
      <c r="B2311" s="1" t="n">
        <v>44980</v>
      </c>
      <c r="C2311" s="1" t="n">
        <v>45186</v>
      </c>
      <c r="D2311" t="inlineStr">
        <is>
          <t>STOCKHOLMS LÄN</t>
        </is>
      </c>
      <c r="E2311" t="inlineStr">
        <is>
          <t>NORRTÄLJE</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9255-2023</t>
        </is>
      </c>
      <c r="B2312" s="1" t="n">
        <v>44980</v>
      </c>
      <c r="C2312" s="1" t="n">
        <v>45186</v>
      </c>
      <c r="D2312" t="inlineStr">
        <is>
          <t>STOCKHOLMS LÄN</t>
        </is>
      </c>
      <c r="E2312" t="inlineStr">
        <is>
          <t>NORRTÄLJE</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9793-2023</t>
        </is>
      </c>
      <c r="B2313" s="1" t="n">
        <v>44984</v>
      </c>
      <c r="C2313" s="1" t="n">
        <v>45186</v>
      </c>
      <c r="D2313" t="inlineStr">
        <is>
          <t>STOCKHOLMS LÄN</t>
        </is>
      </c>
      <c r="E2313" t="inlineStr">
        <is>
          <t>NORRTÄLJE</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9945-2023</t>
        </is>
      </c>
      <c r="B2314" s="1" t="n">
        <v>44985</v>
      </c>
      <c r="C2314" s="1" t="n">
        <v>45186</v>
      </c>
      <c r="D2314" t="inlineStr">
        <is>
          <t>STOCKHOLMS LÄN</t>
        </is>
      </c>
      <c r="E2314" t="inlineStr">
        <is>
          <t>NORRTÄLJE</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9965-2023</t>
        </is>
      </c>
      <c r="B2315" s="1" t="n">
        <v>44985</v>
      </c>
      <c r="C2315" s="1" t="n">
        <v>45186</v>
      </c>
      <c r="D2315" t="inlineStr">
        <is>
          <t>STOCKHOLMS LÄN</t>
        </is>
      </c>
      <c r="E2315" t="inlineStr">
        <is>
          <t>NORRTÄLJE</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9914-2023</t>
        </is>
      </c>
      <c r="B2316" s="1" t="n">
        <v>44985</v>
      </c>
      <c r="C2316" s="1" t="n">
        <v>45186</v>
      </c>
      <c r="D2316" t="inlineStr">
        <is>
          <t>STOCKHOLMS LÄN</t>
        </is>
      </c>
      <c r="E2316" t="inlineStr">
        <is>
          <t>NORRTÄLJE</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10105-2023</t>
        </is>
      </c>
      <c r="B2317" s="1" t="n">
        <v>44986</v>
      </c>
      <c r="C2317" s="1" t="n">
        <v>45186</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10336-2023</t>
        </is>
      </c>
      <c r="B2318" s="1" t="n">
        <v>44987</v>
      </c>
      <c r="C2318" s="1" t="n">
        <v>45186</v>
      </c>
      <c r="D2318" t="inlineStr">
        <is>
          <t>STOCKHOLMS LÄN</t>
        </is>
      </c>
      <c r="E2318" t="inlineStr">
        <is>
          <t>NYKVARN</t>
        </is>
      </c>
      <c r="F2318" t="inlineStr">
        <is>
          <t>Sveaskog</t>
        </is>
      </c>
      <c r="G2318" t="n">
        <v>8.4</v>
      </c>
      <c r="H2318" t="n">
        <v>0</v>
      </c>
      <c r="I2318" t="n">
        <v>0</v>
      </c>
      <c r="J2318" t="n">
        <v>0</v>
      </c>
      <c r="K2318" t="n">
        <v>0</v>
      </c>
      <c r="L2318" t="n">
        <v>0</v>
      </c>
      <c r="M2318" t="n">
        <v>0</v>
      </c>
      <c r="N2318" t="n">
        <v>0</v>
      </c>
      <c r="O2318" t="n">
        <v>0</v>
      </c>
      <c r="P2318" t="n">
        <v>0</v>
      </c>
      <c r="Q2318" t="n">
        <v>0</v>
      </c>
      <c r="R2318" s="2" t="inlineStr"/>
    </row>
    <row r="2319" ht="15" customHeight="1">
      <c r="A2319" t="inlineStr">
        <is>
          <t>A 10615-2023</t>
        </is>
      </c>
      <c r="B2319" s="1" t="n">
        <v>44988</v>
      </c>
      <c r="C2319" s="1" t="n">
        <v>45186</v>
      </c>
      <c r="D2319" t="inlineStr">
        <is>
          <t>STOCKHOLMS LÄN</t>
        </is>
      </c>
      <c r="E2319" t="inlineStr">
        <is>
          <t>NYNÄSHAMN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11285-2023</t>
        </is>
      </c>
      <c r="B2320" s="1" t="n">
        <v>44992</v>
      </c>
      <c r="C2320" s="1" t="n">
        <v>45186</v>
      </c>
      <c r="D2320" t="inlineStr">
        <is>
          <t>STOCKHOLMS LÄN</t>
        </is>
      </c>
      <c r="E2320" t="inlineStr">
        <is>
          <t>SIGTUNA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11280-2023</t>
        </is>
      </c>
      <c r="B2321" s="1" t="n">
        <v>44992</v>
      </c>
      <c r="C2321" s="1" t="n">
        <v>45186</v>
      </c>
      <c r="D2321" t="inlineStr">
        <is>
          <t>STOCKHOLMS LÄN</t>
        </is>
      </c>
      <c r="E2321" t="inlineStr">
        <is>
          <t>NORRTÄLJE</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12282-2023</t>
        </is>
      </c>
      <c r="B2322" s="1" t="n">
        <v>44995</v>
      </c>
      <c r="C2322" s="1" t="n">
        <v>45186</v>
      </c>
      <c r="D2322" t="inlineStr">
        <is>
          <t>STOCKHOLMS LÄN</t>
        </is>
      </c>
      <c r="E2322" t="inlineStr">
        <is>
          <t>BOTKYRKA</t>
        </is>
      </c>
      <c r="F2322" t="inlineStr">
        <is>
          <t>Övriga statliga verk och myndigheter</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11940-2023</t>
        </is>
      </c>
      <c r="B2323" s="1" t="n">
        <v>44995</v>
      </c>
      <c r="C2323" s="1" t="n">
        <v>45186</v>
      </c>
      <c r="D2323" t="inlineStr">
        <is>
          <t>STOCKHOLMS LÄN</t>
        </is>
      </c>
      <c r="E2323" t="inlineStr">
        <is>
          <t>NORRTÄLJE</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12562-2023</t>
        </is>
      </c>
      <c r="B2324" s="1" t="n">
        <v>45000</v>
      </c>
      <c r="C2324" s="1" t="n">
        <v>45186</v>
      </c>
      <c r="D2324" t="inlineStr">
        <is>
          <t>STOCKHOLMS LÄN</t>
        </is>
      </c>
      <c r="E2324" t="inlineStr">
        <is>
          <t>VALLENTUNA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13202-2023</t>
        </is>
      </c>
      <c r="B2325" s="1" t="n">
        <v>45002</v>
      </c>
      <c r="C2325" s="1" t="n">
        <v>45186</v>
      </c>
      <c r="D2325" t="inlineStr">
        <is>
          <t>STOCKHOLMS LÄN</t>
        </is>
      </c>
      <c r="E2325" t="inlineStr">
        <is>
          <t>SÖDERTÄLJE</t>
        </is>
      </c>
      <c r="G2325" t="n">
        <v>8.1</v>
      </c>
      <c r="H2325" t="n">
        <v>0</v>
      </c>
      <c r="I2325" t="n">
        <v>0</v>
      </c>
      <c r="J2325" t="n">
        <v>0</v>
      </c>
      <c r="K2325" t="n">
        <v>0</v>
      </c>
      <c r="L2325" t="n">
        <v>0</v>
      </c>
      <c r="M2325" t="n">
        <v>0</v>
      </c>
      <c r="N2325" t="n">
        <v>0</v>
      </c>
      <c r="O2325" t="n">
        <v>0</v>
      </c>
      <c r="P2325" t="n">
        <v>0</v>
      </c>
      <c r="Q2325" t="n">
        <v>0</v>
      </c>
      <c r="R2325" s="2" t="inlineStr"/>
    </row>
    <row r="2326" ht="15" customHeight="1">
      <c r="A2326" t="inlineStr">
        <is>
          <t>A 13360-2023</t>
        </is>
      </c>
      <c r="B2326" s="1" t="n">
        <v>45005</v>
      </c>
      <c r="C2326" s="1" t="n">
        <v>45186</v>
      </c>
      <c r="D2326" t="inlineStr">
        <is>
          <t>STOCKHOLMS LÄN</t>
        </is>
      </c>
      <c r="E2326" t="inlineStr">
        <is>
          <t>NORRTÄLJE</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13354-2023</t>
        </is>
      </c>
      <c r="B2327" s="1" t="n">
        <v>45005</v>
      </c>
      <c r="C2327" s="1" t="n">
        <v>45186</v>
      </c>
      <c r="D2327" t="inlineStr">
        <is>
          <t>STOCKHOLMS LÄN</t>
        </is>
      </c>
      <c r="E2327" t="inlineStr">
        <is>
          <t>NORRTÄLJE</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13860-2023</t>
        </is>
      </c>
      <c r="B2328" s="1" t="n">
        <v>45007</v>
      </c>
      <c r="C2328" s="1" t="n">
        <v>45186</v>
      </c>
      <c r="D2328" t="inlineStr">
        <is>
          <t>STOCKHOLMS LÄN</t>
        </is>
      </c>
      <c r="E2328" t="inlineStr">
        <is>
          <t>NORRTÄLJE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14015-2023</t>
        </is>
      </c>
      <c r="B2329" s="1" t="n">
        <v>45008</v>
      </c>
      <c r="C2329" s="1" t="n">
        <v>45186</v>
      </c>
      <c r="D2329" t="inlineStr">
        <is>
          <t>STOCKHOLMS LÄN</t>
        </is>
      </c>
      <c r="E2329" t="inlineStr">
        <is>
          <t>EKERÖ</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13977-2023</t>
        </is>
      </c>
      <c r="B2330" s="1" t="n">
        <v>45008</v>
      </c>
      <c r="C2330" s="1" t="n">
        <v>45186</v>
      </c>
      <c r="D2330" t="inlineStr">
        <is>
          <t>STOCKHOLMS LÄN</t>
        </is>
      </c>
      <c r="E2330" t="inlineStr">
        <is>
          <t>NORRTÄLJE</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14014-2023</t>
        </is>
      </c>
      <c r="B2331" s="1" t="n">
        <v>45008</v>
      </c>
      <c r="C2331" s="1" t="n">
        <v>45186</v>
      </c>
      <c r="D2331" t="inlineStr">
        <is>
          <t>STOCKHOLMS LÄN</t>
        </is>
      </c>
      <c r="E2331" t="inlineStr">
        <is>
          <t>EKERÖ</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14092-2023</t>
        </is>
      </c>
      <c r="B2332" s="1" t="n">
        <v>45009</v>
      </c>
      <c r="C2332" s="1" t="n">
        <v>45186</v>
      </c>
      <c r="D2332" t="inlineStr">
        <is>
          <t>STOCKHOLMS LÄN</t>
        </is>
      </c>
      <c r="E2332" t="inlineStr">
        <is>
          <t>SÖDERTÄLJE</t>
        </is>
      </c>
      <c r="F2332" t="inlineStr">
        <is>
          <t>Kyrkan</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14135-2023</t>
        </is>
      </c>
      <c r="B2333" s="1" t="n">
        <v>45009</v>
      </c>
      <c r="C2333" s="1" t="n">
        <v>45186</v>
      </c>
      <c r="D2333" t="inlineStr">
        <is>
          <t>STOCKHOLMS LÄN</t>
        </is>
      </c>
      <c r="E2333" t="inlineStr">
        <is>
          <t>NORRTÄLJE</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14244-2023</t>
        </is>
      </c>
      <c r="B2334" s="1" t="n">
        <v>45009</v>
      </c>
      <c r="C2334" s="1" t="n">
        <v>45186</v>
      </c>
      <c r="D2334" t="inlineStr">
        <is>
          <t>STOCKHOLMS LÄN</t>
        </is>
      </c>
      <c r="E2334" t="inlineStr">
        <is>
          <t>VÄRMDÖ</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14824-2023</t>
        </is>
      </c>
      <c r="B2335" s="1" t="n">
        <v>45013</v>
      </c>
      <c r="C2335" s="1" t="n">
        <v>45186</v>
      </c>
      <c r="D2335" t="inlineStr">
        <is>
          <t>STOCKHOLMS LÄN</t>
        </is>
      </c>
      <c r="E2335" t="inlineStr">
        <is>
          <t>UPPLANDS-BRO</t>
        </is>
      </c>
      <c r="F2335" t="inlineStr">
        <is>
          <t>Allmännings- och besparingsskogar</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15260-2023</t>
        </is>
      </c>
      <c r="B2336" s="1" t="n">
        <v>45019</v>
      </c>
      <c r="C2336" s="1" t="n">
        <v>45186</v>
      </c>
      <c r="D2336" t="inlineStr">
        <is>
          <t>STOCKHOLMS LÄN</t>
        </is>
      </c>
      <c r="E2336" t="inlineStr">
        <is>
          <t>NACKA</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15300-2023</t>
        </is>
      </c>
      <c r="B2337" s="1" t="n">
        <v>45019</v>
      </c>
      <c r="C2337" s="1" t="n">
        <v>45186</v>
      </c>
      <c r="D2337" t="inlineStr">
        <is>
          <t>STOCKHOLMS LÄN</t>
        </is>
      </c>
      <c r="E2337" t="inlineStr">
        <is>
          <t>VALLENTUNA</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15692-2023</t>
        </is>
      </c>
      <c r="B2338" s="1" t="n">
        <v>45020</v>
      </c>
      <c r="C2338" s="1" t="n">
        <v>45186</v>
      </c>
      <c r="D2338" t="inlineStr">
        <is>
          <t>STOCKHOLMS LÄN</t>
        </is>
      </c>
      <c r="E2338" t="inlineStr">
        <is>
          <t>BOTKYRKA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15459-2023</t>
        </is>
      </c>
      <c r="B2339" s="1" t="n">
        <v>45020</v>
      </c>
      <c r="C2339" s="1" t="n">
        <v>45186</v>
      </c>
      <c r="D2339" t="inlineStr">
        <is>
          <t>STOCKHOLMS LÄN</t>
        </is>
      </c>
      <c r="E2339" t="inlineStr">
        <is>
          <t>NORRTÄLJE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15690-2023</t>
        </is>
      </c>
      <c r="B2340" s="1" t="n">
        <v>45020</v>
      </c>
      <c r="C2340" s="1" t="n">
        <v>45186</v>
      </c>
      <c r="D2340" t="inlineStr">
        <is>
          <t>STOCKHOLMS LÄN</t>
        </is>
      </c>
      <c r="E2340" t="inlineStr">
        <is>
          <t>BOTKYRKA</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15447-2023</t>
        </is>
      </c>
      <c r="B2341" s="1" t="n">
        <v>45020</v>
      </c>
      <c r="C2341" s="1" t="n">
        <v>45186</v>
      </c>
      <c r="D2341" t="inlineStr">
        <is>
          <t>STOCKHOLMS LÄN</t>
        </is>
      </c>
      <c r="E2341" t="inlineStr">
        <is>
          <t>NORRTÄLJE</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15452-2023</t>
        </is>
      </c>
      <c r="B2342" s="1" t="n">
        <v>45020</v>
      </c>
      <c r="C2342" s="1" t="n">
        <v>45186</v>
      </c>
      <c r="D2342" t="inlineStr">
        <is>
          <t>STOCKHOLMS LÄN</t>
        </is>
      </c>
      <c r="E2342" t="inlineStr">
        <is>
          <t>SIGTUNA</t>
        </is>
      </c>
      <c r="F2342" t="inlineStr">
        <is>
          <t>Allmännings- och besparingsskogar</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15576-2023</t>
        </is>
      </c>
      <c r="B2343" s="1" t="n">
        <v>45020</v>
      </c>
      <c r="C2343" s="1" t="n">
        <v>45186</v>
      </c>
      <c r="D2343" t="inlineStr">
        <is>
          <t>STOCKHOLMS LÄN</t>
        </is>
      </c>
      <c r="E2343" t="inlineStr">
        <is>
          <t>NYKVARN</t>
        </is>
      </c>
      <c r="F2343" t="inlineStr">
        <is>
          <t>Sveaskog</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15724-2023</t>
        </is>
      </c>
      <c r="B2344" s="1" t="n">
        <v>45021</v>
      </c>
      <c r="C2344" s="1" t="n">
        <v>45186</v>
      </c>
      <c r="D2344" t="inlineStr">
        <is>
          <t>STOCKHOLMS LÄN</t>
        </is>
      </c>
      <c r="E2344" t="inlineStr">
        <is>
          <t>UPPLANDS-BRO</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15655-2023</t>
        </is>
      </c>
      <c r="B2345" s="1" t="n">
        <v>45021</v>
      </c>
      <c r="C2345" s="1" t="n">
        <v>45186</v>
      </c>
      <c r="D2345" t="inlineStr">
        <is>
          <t>STOCKHOLMS LÄN</t>
        </is>
      </c>
      <c r="E2345" t="inlineStr">
        <is>
          <t>NORRTÄLJE</t>
        </is>
      </c>
      <c r="F2345" t="inlineStr">
        <is>
          <t>Holmen skog AB</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15915-2023</t>
        </is>
      </c>
      <c r="B2346" s="1" t="n">
        <v>45022</v>
      </c>
      <c r="C2346" s="1" t="n">
        <v>45186</v>
      </c>
      <c r="D2346" t="inlineStr">
        <is>
          <t>STOCKHOLMS LÄN</t>
        </is>
      </c>
      <c r="E2346" t="inlineStr">
        <is>
          <t>NORRTÄLJE</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15905-2023</t>
        </is>
      </c>
      <c r="B2347" s="1" t="n">
        <v>45022</v>
      </c>
      <c r="C2347" s="1" t="n">
        <v>45186</v>
      </c>
      <c r="D2347" t="inlineStr">
        <is>
          <t>STOCKHOLMS LÄN</t>
        </is>
      </c>
      <c r="E2347" t="inlineStr">
        <is>
          <t>NORRTÄLJE</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16793-2023</t>
        </is>
      </c>
      <c r="B2348" s="1" t="n">
        <v>45028</v>
      </c>
      <c r="C2348" s="1" t="n">
        <v>45186</v>
      </c>
      <c r="D2348" t="inlineStr">
        <is>
          <t>STOCKHOLMS LÄN</t>
        </is>
      </c>
      <c r="E2348" t="inlineStr">
        <is>
          <t>NYNÄSHAMN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16483-2023</t>
        </is>
      </c>
      <c r="B2349" s="1" t="n">
        <v>45029</v>
      </c>
      <c r="C2349" s="1" t="n">
        <v>45186</v>
      </c>
      <c r="D2349" t="inlineStr">
        <is>
          <t>STOCKHOLMS LÄN</t>
        </is>
      </c>
      <c r="E2349" t="inlineStr">
        <is>
          <t>BOTKYRKA</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16658-2023</t>
        </is>
      </c>
      <c r="B2350" s="1" t="n">
        <v>45030</v>
      </c>
      <c r="C2350" s="1" t="n">
        <v>45186</v>
      </c>
      <c r="D2350" t="inlineStr">
        <is>
          <t>STOCKHOLMS LÄN</t>
        </is>
      </c>
      <c r="E2350" t="inlineStr">
        <is>
          <t>SÖDERTÄLJE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16842-2023</t>
        </is>
      </c>
      <c r="B2351" s="1" t="n">
        <v>45033</v>
      </c>
      <c r="C2351" s="1" t="n">
        <v>45186</v>
      </c>
      <c r="D2351" t="inlineStr">
        <is>
          <t>STOCKHOLMS LÄN</t>
        </is>
      </c>
      <c r="E2351" t="inlineStr">
        <is>
          <t>HANINGE</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16977-2023</t>
        </is>
      </c>
      <c r="B2352" s="1" t="n">
        <v>45033</v>
      </c>
      <c r="C2352" s="1" t="n">
        <v>45186</v>
      </c>
      <c r="D2352" t="inlineStr">
        <is>
          <t>STOCKHOLMS LÄN</t>
        </is>
      </c>
      <c r="E2352" t="inlineStr">
        <is>
          <t>NORRTÄLJE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16980-2023</t>
        </is>
      </c>
      <c r="B2353" s="1" t="n">
        <v>45033</v>
      </c>
      <c r="C2353" s="1" t="n">
        <v>45186</v>
      </c>
      <c r="D2353" t="inlineStr">
        <is>
          <t>STOCKHOLMS LÄN</t>
        </is>
      </c>
      <c r="E2353" t="inlineStr">
        <is>
          <t>NORRTÄLJE</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17025-2023</t>
        </is>
      </c>
      <c r="B2354" s="1" t="n">
        <v>45034</v>
      </c>
      <c r="C2354" s="1" t="n">
        <v>45186</v>
      </c>
      <c r="D2354" t="inlineStr">
        <is>
          <t>STOCKHOLMS LÄN</t>
        </is>
      </c>
      <c r="E2354" t="inlineStr">
        <is>
          <t>NYKVARN</t>
        </is>
      </c>
      <c r="F2354" t="inlineStr">
        <is>
          <t>Kommuner</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17779-2023</t>
        </is>
      </c>
      <c r="B2355" s="1" t="n">
        <v>45036</v>
      </c>
      <c r="C2355" s="1" t="n">
        <v>45186</v>
      </c>
      <c r="D2355" t="inlineStr">
        <is>
          <t>STOCKHOLMS LÄN</t>
        </is>
      </c>
      <c r="E2355" t="inlineStr">
        <is>
          <t>NYKVARN</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17984-2023</t>
        </is>
      </c>
      <c r="B2356" s="1" t="n">
        <v>45040</v>
      </c>
      <c r="C2356" s="1" t="n">
        <v>45186</v>
      </c>
      <c r="D2356" t="inlineStr">
        <is>
          <t>STOCKHOLMS LÄN</t>
        </is>
      </c>
      <c r="E2356" t="inlineStr">
        <is>
          <t>NORRTÄLJE</t>
        </is>
      </c>
      <c r="F2356" t="inlineStr">
        <is>
          <t>Holmen skog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18023-2023</t>
        </is>
      </c>
      <c r="B2357" s="1" t="n">
        <v>45040</v>
      </c>
      <c r="C2357" s="1" t="n">
        <v>45186</v>
      </c>
      <c r="D2357" t="inlineStr">
        <is>
          <t>STOCKHOLMS LÄN</t>
        </is>
      </c>
      <c r="E2357" t="inlineStr">
        <is>
          <t>NORRTÄLJE</t>
        </is>
      </c>
      <c r="F2357" t="inlineStr">
        <is>
          <t>Sveaskog</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18592-2023</t>
        </is>
      </c>
      <c r="B2358" s="1" t="n">
        <v>45043</v>
      </c>
      <c r="C2358" s="1" t="n">
        <v>45186</v>
      </c>
      <c r="D2358" t="inlineStr">
        <is>
          <t>STOCKHOLMS LÄN</t>
        </is>
      </c>
      <c r="E2358" t="inlineStr">
        <is>
          <t>SÖDERTÄLJE</t>
        </is>
      </c>
      <c r="G2358" t="n">
        <v>4.4</v>
      </c>
      <c r="H2358" t="n">
        <v>0</v>
      </c>
      <c r="I2358" t="n">
        <v>0</v>
      </c>
      <c r="J2358" t="n">
        <v>0</v>
      </c>
      <c r="K2358" t="n">
        <v>0</v>
      </c>
      <c r="L2358" t="n">
        <v>0</v>
      </c>
      <c r="M2358" t="n">
        <v>0</v>
      </c>
      <c r="N2358" t="n">
        <v>0</v>
      </c>
      <c r="O2358" t="n">
        <v>0</v>
      </c>
      <c r="P2358" t="n">
        <v>0</v>
      </c>
      <c r="Q2358" t="n">
        <v>0</v>
      </c>
      <c r="R2358" s="2" t="inlineStr"/>
    </row>
    <row r="2359" ht="15" customHeight="1">
      <c r="A2359" t="inlineStr">
        <is>
          <t>A 18723-2023</t>
        </is>
      </c>
      <c r="B2359" s="1" t="n">
        <v>45043</v>
      </c>
      <c r="C2359" s="1" t="n">
        <v>45186</v>
      </c>
      <c r="D2359" t="inlineStr">
        <is>
          <t>STOCKHOLMS LÄN</t>
        </is>
      </c>
      <c r="E2359" t="inlineStr">
        <is>
          <t>EKERÖ</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18793-2023</t>
        </is>
      </c>
      <c r="B2360" s="1" t="n">
        <v>45044</v>
      </c>
      <c r="C2360" s="1" t="n">
        <v>45186</v>
      </c>
      <c r="D2360" t="inlineStr">
        <is>
          <t>STOCKHOLMS LÄN</t>
        </is>
      </c>
      <c r="E2360" t="inlineStr">
        <is>
          <t>NYKVARN</t>
        </is>
      </c>
      <c r="F2360" t="inlineStr">
        <is>
          <t>Kyrkan</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18956-2023</t>
        </is>
      </c>
      <c r="B2361" s="1" t="n">
        <v>45044</v>
      </c>
      <c r="C2361" s="1" t="n">
        <v>45186</v>
      </c>
      <c r="D2361" t="inlineStr">
        <is>
          <t>STOCKHOLMS LÄN</t>
        </is>
      </c>
      <c r="E2361" t="inlineStr">
        <is>
          <t>BOTKYRKA</t>
        </is>
      </c>
      <c r="F2361" t="inlineStr">
        <is>
          <t>Kyrkan</t>
        </is>
      </c>
      <c r="G2361" t="n">
        <v>11.2</v>
      </c>
      <c r="H2361" t="n">
        <v>0</v>
      </c>
      <c r="I2361" t="n">
        <v>0</v>
      </c>
      <c r="J2361" t="n">
        <v>0</v>
      </c>
      <c r="K2361" t="n">
        <v>0</v>
      </c>
      <c r="L2361" t="n">
        <v>0</v>
      </c>
      <c r="M2361" t="n">
        <v>0</v>
      </c>
      <c r="N2361" t="n">
        <v>0</v>
      </c>
      <c r="O2361" t="n">
        <v>0</v>
      </c>
      <c r="P2361" t="n">
        <v>0</v>
      </c>
      <c r="Q2361" t="n">
        <v>0</v>
      </c>
      <c r="R2361" s="2" t="inlineStr"/>
    </row>
    <row r="2362" ht="15" customHeight="1">
      <c r="A2362" t="inlineStr">
        <is>
          <t>A 18895-2023</t>
        </is>
      </c>
      <c r="B2362" s="1" t="n">
        <v>45044</v>
      </c>
      <c r="C2362" s="1" t="n">
        <v>45186</v>
      </c>
      <c r="D2362" t="inlineStr">
        <is>
          <t>STOCKHOLMS LÄN</t>
        </is>
      </c>
      <c r="E2362" t="inlineStr">
        <is>
          <t>NORRTÄLJE</t>
        </is>
      </c>
      <c r="F2362" t="inlineStr">
        <is>
          <t>Kommuner</t>
        </is>
      </c>
      <c r="G2362" t="n">
        <v>12.7</v>
      </c>
      <c r="H2362" t="n">
        <v>0</v>
      </c>
      <c r="I2362" t="n">
        <v>0</v>
      </c>
      <c r="J2362" t="n">
        <v>0</v>
      </c>
      <c r="K2362" t="n">
        <v>0</v>
      </c>
      <c r="L2362" t="n">
        <v>0</v>
      </c>
      <c r="M2362" t="n">
        <v>0</v>
      </c>
      <c r="N2362" t="n">
        <v>0</v>
      </c>
      <c r="O2362" t="n">
        <v>0</v>
      </c>
      <c r="P2362" t="n">
        <v>0</v>
      </c>
      <c r="Q2362" t="n">
        <v>0</v>
      </c>
      <c r="R2362" s="2" t="inlineStr"/>
    </row>
    <row r="2363" ht="15" customHeight="1">
      <c r="A2363" t="inlineStr">
        <is>
          <t>A 18795-2023</t>
        </is>
      </c>
      <c r="B2363" s="1" t="n">
        <v>45044</v>
      </c>
      <c r="C2363" s="1" t="n">
        <v>45186</v>
      </c>
      <c r="D2363" t="inlineStr">
        <is>
          <t>STOCKHOLMS LÄN</t>
        </is>
      </c>
      <c r="E2363" t="inlineStr">
        <is>
          <t>NYKVARN</t>
        </is>
      </c>
      <c r="F2363" t="inlineStr">
        <is>
          <t>Kyrkan</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19058-2023</t>
        </is>
      </c>
      <c r="B2364" s="1" t="n">
        <v>45048</v>
      </c>
      <c r="C2364" s="1" t="n">
        <v>45186</v>
      </c>
      <c r="D2364" t="inlineStr">
        <is>
          <t>STOCKHOLMS LÄN</t>
        </is>
      </c>
      <c r="E2364" t="inlineStr">
        <is>
          <t>NORRTÄLJE</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19074-2023</t>
        </is>
      </c>
      <c r="B2365" s="1" t="n">
        <v>45048</v>
      </c>
      <c r="C2365" s="1" t="n">
        <v>45186</v>
      </c>
      <c r="D2365" t="inlineStr">
        <is>
          <t>STOCKHOLMS LÄN</t>
        </is>
      </c>
      <c r="E2365" t="inlineStr">
        <is>
          <t>NORRTÄLJE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19138-2023</t>
        </is>
      </c>
      <c r="B2366" s="1" t="n">
        <v>45048</v>
      </c>
      <c r="C2366" s="1" t="n">
        <v>45186</v>
      </c>
      <c r="D2366" t="inlineStr">
        <is>
          <t>STOCKHOLMS LÄN</t>
        </is>
      </c>
      <c r="E2366" t="inlineStr">
        <is>
          <t>VÄRMDÖ</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19220-2023</t>
        </is>
      </c>
      <c r="B2367" s="1" t="n">
        <v>45048</v>
      </c>
      <c r="C2367" s="1" t="n">
        <v>45186</v>
      </c>
      <c r="D2367" t="inlineStr">
        <is>
          <t>STOCKHOLMS LÄN</t>
        </is>
      </c>
      <c r="E2367" t="inlineStr">
        <is>
          <t>HANINGE</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19488-2023</t>
        </is>
      </c>
      <c r="B2368" s="1" t="n">
        <v>45050</v>
      </c>
      <c r="C2368" s="1" t="n">
        <v>45186</v>
      </c>
      <c r="D2368" t="inlineStr">
        <is>
          <t>STOCKHOLMS LÄN</t>
        </is>
      </c>
      <c r="E2368" t="inlineStr">
        <is>
          <t>NYKVARN</t>
        </is>
      </c>
      <c r="F2368" t="inlineStr">
        <is>
          <t>Sveaskog</t>
        </is>
      </c>
      <c r="G2368" t="n">
        <v>8.9</v>
      </c>
      <c r="H2368" t="n">
        <v>0</v>
      </c>
      <c r="I2368" t="n">
        <v>0</v>
      </c>
      <c r="J2368" t="n">
        <v>0</v>
      </c>
      <c r="K2368" t="n">
        <v>0</v>
      </c>
      <c r="L2368" t="n">
        <v>0</v>
      </c>
      <c r="M2368" t="n">
        <v>0</v>
      </c>
      <c r="N2368" t="n">
        <v>0</v>
      </c>
      <c r="O2368" t="n">
        <v>0</v>
      </c>
      <c r="P2368" t="n">
        <v>0</v>
      </c>
      <c r="Q2368" t="n">
        <v>0</v>
      </c>
      <c r="R2368" s="2" t="inlineStr"/>
    </row>
    <row r="2369" ht="15" customHeight="1">
      <c r="A2369" t="inlineStr">
        <is>
          <t>A 19577-2023</t>
        </is>
      </c>
      <c r="B2369" s="1" t="n">
        <v>45050</v>
      </c>
      <c r="C2369" s="1" t="n">
        <v>45186</v>
      </c>
      <c r="D2369" t="inlineStr">
        <is>
          <t>STOCKHOLMS LÄN</t>
        </is>
      </c>
      <c r="E2369" t="inlineStr">
        <is>
          <t>BOTKYRKA</t>
        </is>
      </c>
      <c r="F2369" t="inlineStr">
        <is>
          <t>Kyrkan</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19464-2023</t>
        </is>
      </c>
      <c r="B2370" s="1" t="n">
        <v>45050</v>
      </c>
      <c r="C2370" s="1" t="n">
        <v>45186</v>
      </c>
      <c r="D2370" t="inlineStr">
        <is>
          <t>STOCKHOLMS LÄN</t>
        </is>
      </c>
      <c r="E2370" t="inlineStr">
        <is>
          <t>TÄBY</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19487-2023</t>
        </is>
      </c>
      <c r="B2371" s="1" t="n">
        <v>45050</v>
      </c>
      <c r="C2371" s="1" t="n">
        <v>45186</v>
      </c>
      <c r="D2371" t="inlineStr">
        <is>
          <t>STOCKHOLMS LÄN</t>
        </is>
      </c>
      <c r="E2371" t="inlineStr">
        <is>
          <t>NYKVARN</t>
        </is>
      </c>
      <c r="F2371" t="inlineStr">
        <is>
          <t>Sveaskog</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19490-2023</t>
        </is>
      </c>
      <c r="B2372" s="1" t="n">
        <v>45050</v>
      </c>
      <c r="C2372" s="1" t="n">
        <v>45186</v>
      </c>
      <c r="D2372" t="inlineStr">
        <is>
          <t>STOCKHOLMS LÄN</t>
        </is>
      </c>
      <c r="E2372" t="inlineStr">
        <is>
          <t>NYKVARN</t>
        </is>
      </c>
      <c r="F2372" t="inlineStr">
        <is>
          <t>Sveaskog</t>
        </is>
      </c>
      <c r="G2372" t="n">
        <v>8</v>
      </c>
      <c r="H2372" t="n">
        <v>0</v>
      </c>
      <c r="I2372" t="n">
        <v>0</v>
      </c>
      <c r="J2372" t="n">
        <v>0</v>
      </c>
      <c r="K2372" t="n">
        <v>0</v>
      </c>
      <c r="L2372" t="n">
        <v>0</v>
      </c>
      <c r="M2372" t="n">
        <v>0</v>
      </c>
      <c r="N2372" t="n">
        <v>0</v>
      </c>
      <c r="O2372" t="n">
        <v>0</v>
      </c>
      <c r="P2372" t="n">
        <v>0</v>
      </c>
      <c r="Q2372" t="n">
        <v>0</v>
      </c>
      <c r="R2372" s="2" t="inlineStr"/>
    </row>
    <row r="2373" ht="15" customHeight="1">
      <c r="A2373" t="inlineStr">
        <is>
          <t>A 19501-2023</t>
        </is>
      </c>
      <c r="B2373" s="1" t="n">
        <v>45050</v>
      </c>
      <c r="C2373" s="1" t="n">
        <v>45186</v>
      </c>
      <c r="D2373" t="inlineStr">
        <is>
          <t>STOCKHOLMS LÄN</t>
        </is>
      </c>
      <c r="E2373" t="inlineStr">
        <is>
          <t>VALLENTUNA</t>
        </is>
      </c>
      <c r="G2373" t="n">
        <v>4.6</v>
      </c>
      <c r="H2373" t="n">
        <v>0</v>
      </c>
      <c r="I2373" t="n">
        <v>0</v>
      </c>
      <c r="J2373" t="n">
        <v>0</v>
      </c>
      <c r="K2373" t="n">
        <v>0</v>
      </c>
      <c r="L2373" t="n">
        <v>0</v>
      </c>
      <c r="M2373" t="n">
        <v>0</v>
      </c>
      <c r="N2373" t="n">
        <v>0</v>
      </c>
      <c r="O2373" t="n">
        <v>0</v>
      </c>
      <c r="P2373" t="n">
        <v>0</v>
      </c>
      <c r="Q2373" t="n">
        <v>0</v>
      </c>
      <c r="R2373" s="2" t="inlineStr"/>
    </row>
    <row r="2374" ht="15" customHeight="1">
      <c r="A2374" t="inlineStr">
        <is>
          <t>A 19702-2023</t>
        </is>
      </c>
      <c r="B2374" s="1" t="n">
        <v>45051</v>
      </c>
      <c r="C2374" s="1" t="n">
        <v>45186</v>
      </c>
      <c r="D2374" t="inlineStr">
        <is>
          <t>STOCKHOLMS LÄN</t>
        </is>
      </c>
      <c r="E2374" t="inlineStr">
        <is>
          <t>NORRTÄLJE</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19632-2023</t>
        </is>
      </c>
      <c r="B2375" s="1" t="n">
        <v>45051</v>
      </c>
      <c r="C2375" s="1" t="n">
        <v>45186</v>
      </c>
      <c r="D2375" t="inlineStr">
        <is>
          <t>STOCKHOLMS LÄN</t>
        </is>
      </c>
      <c r="E2375" t="inlineStr">
        <is>
          <t>NORRTÄLJE</t>
        </is>
      </c>
      <c r="G2375" t="n">
        <v>6.9</v>
      </c>
      <c r="H2375" t="n">
        <v>0</v>
      </c>
      <c r="I2375" t="n">
        <v>0</v>
      </c>
      <c r="J2375" t="n">
        <v>0</v>
      </c>
      <c r="K2375" t="n">
        <v>0</v>
      </c>
      <c r="L2375" t="n">
        <v>0</v>
      </c>
      <c r="M2375" t="n">
        <v>0</v>
      </c>
      <c r="N2375" t="n">
        <v>0</v>
      </c>
      <c r="O2375" t="n">
        <v>0</v>
      </c>
      <c r="P2375" t="n">
        <v>0</v>
      </c>
      <c r="Q2375" t="n">
        <v>0</v>
      </c>
      <c r="R2375" s="2" t="inlineStr"/>
    </row>
    <row r="2376" ht="15" customHeight="1">
      <c r="A2376" t="inlineStr">
        <is>
          <t>A 19719-2023</t>
        </is>
      </c>
      <c r="B2376" s="1" t="n">
        <v>45051</v>
      </c>
      <c r="C2376" s="1" t="n">
        <v>45186</v>
      </c>
      <c r="D2376" t="inlineStr">
        <is>
          <t>STOCKHOLMS LÄN</t>
        </is>
      </c>
      <c r="E2376" t="inlineStr">
        <is>
          <t>NORRTÄLJE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19854-2023</t>
        </is>
      </c>
      <c r="B2377" s="1" t="n">
        <v>45053</v>
      </c>
      <c r="C2377" s="1" t="n">
        <v>45186</v>
      </c>
      <c r="D2377" t="inlineStr">
        <is>
          <t>STOCKHOLMS LÄN</t>
        </is>
      </c>
      <c r="E2377" t="inlineStr">
        <is>
          <t>NORRTÄLJE</t>
        </is>
      </c>
      <c r="G2377" t="n">
        <v>15.8</v>
      </c>
      <c r="H2377" t="n">
        <v>0</v>
      </c>
      <c r="I2377" t="n">
        <v>0</v>
      </c>
      <c r="J2377" t="n">
        <v>0</v>
      </c>
      <c r="K2377" t="n">
        <v>0</v>
      </c>
      <c r="L2377" t="n">
        <v>0</v>
      </c>
      <c r="M2377" t="n">
        <v>0</v>
      </c>
      <c r="N2377" t="n">
        <v>0</v>
      </c>
      <c r="O2377" t="n">
        <v>0</v>
      </c>
      <c r="P2377" t="n">
        <v>0</v>
      </c>
      <c r="Q2377" t="n">
        <v>0</v>
      </c>
      <c r="R2377" s="2" t="inlineStr"/>
    </row>
    <row r="2378" ht="15" customHeight="1">
      <c r="A2378" t="inlineStr">
        <is>
          <t>A 20015-2023</t>
        </is>
      </c>
      <c r="B2378" s="1" t="n">
        <v>45054</v>
      </c>
      <c r="C2378" s="1" t="n">
        <v>45186</v>
      </c>
      <c r="D2378" t="inlineStr">
        <is>
          <t>STOCKHOLMS LÄN</t>
        </is>
      </c>
      <c r="E2378" t="inlineStr">
        <is>
          <t>NORRTÄLJE</t>
        </is>
      </c>
      <c r="G2378" t="n">
        <v>8.300000000000001</v>
      </c>
      <c r="H2378" t="n">
        <v>0</v>
      </c>
      <c r="I2378" t="n">
        <v>0</v>
      </c>
      <c r="J2378" t="n">
        <v>0</v>
      </c>
      <c r="K2378" t="n">
        <v>0</v>
      </c>
      <c r="L2378" t="n">
        <v>0</v>
      </c>
      <c r="M2378" t="n">
        <v>0</v>
      </c>
      <c r="N2378" t="n">
        <v>0</v>
      </c>
      <c r="O2378" t="n">
        <v>0</v>
      </c>
      <c r="P2378" t="n">
        <v>0</v>
      </c>
      <c r="Q2378" t="n">
        <v>0</v>
      </c>
      <c r="R2378" s="2" t="inlineStr"/>
    </row>
    <row r="2379" ht="15" customHeight="1">
      <c r="A2379" t="inlineStr">
        <is>
          <t>A 20375-2023</t>
        </is>
      </c>
      <c r="B2379" s="1" t="n">
        <v>45054</v>
      </c>
      <c r="C2379" s="1" t="n">
        <v>45186</v>
      </c>
      <c r="D2379" t="inlineStr">
        <is>
          <t>STOCKHOLMS LÄN</t>
        </is>
      </c>
      <c r="E2379" t="inlineStr">
        <is>
          <t>SIGTUNA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19903-2023</t>
        </is>
      </c>
      <c r="B2380" s="1" t="n">
        <v>45054</v>
      </c>
      <c r="C2380" s="1" t="n">
        <v>45186</v>
      </c>
      <c r="D2380" t="inlineStr">
        <is>
          <t>STOCKHOLMS LÄN</t>
        </is>
      </c>
      <c r="E2380" t="inlineStr">
        <is>
          <t>NYKVARN</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19951-2023</t>
        </is>
      </c>
      <c r="B2381" s="1" t="n">
        <v>45054</v>
      </c>
      <c r="C2381" s="1" t="n">
        <v>45186</v>
      </c>
      <c r="D2381" t="inlineStr">
        <is>
          <t>STOCKHOLMS LÄN</t>
        </is>
      </c>
      <c r="E2381" t="inlineStr">
        <is>
          <t>NORRTÄLJE</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20053-2023</t>
        </is>
      </c>
      <c r="B2382" s="1" t="n">
        <v>45054</v>
      </c>
      <c r="C2382" s="1" t="n">
        <v>45186</v>
      </c>
      <c r="D2382" t="inlineStr">
        <is>
          <t>STOCKHOLMS LÄN</t>
        </is>
      </c>
      <c r="E2382" t="inlineStr">
        <is>
          <t>VÄRMDÖ</t>
        </is>
      </c>
      <c r="F2382" t="inlineStr">
        <is>
          <t>Övriga Aktiebolag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19971-2023</t>
        </is>
      </c>
      <c r="B2383" s="1" t="n">
        <v>45054</v>
      </c>
      <c r="C2383" s="1" t="n">
        <v>45186</v>
      </c>
      <c r="D2383" t="inlineStr">
        <is>
          <t>STOCKHOLMS LÄN</t>
        </is>
      </c>
      <c r="E2383" t="inlineStr">
        <is>
          <t>NORRTÄLJE</t>
        </is>
      </c>
      <c r="G2383" t="n">
        <v>3.3</v>
      </c>
      <c r="H2383" t="n">
        <v>0</v>
      </c>
      <c r="I2383" t="n">
        <v>0</v>
      </c>
      <c r="J2383" t="n">
        <v>0</v>
      </c>
      <c r="K2383" t="n">
        <v>0</v>
      </c>
      <c r="L2383" t="n">
        <v>0</v>
      </c>
      <c r="M2383" t="n">
        <v>0</v>
      </c>
      <c r="N2383" t="n">
        <v>0</v>
      </c>
      <c r="O2383" t="n">
        <v>0</v>
      </c>
      <c r="P2383" t="n">
        <v>0</v>
      </c>
      <c r="Q2383" t="n">
        <v>0</v>
      </c>
      <c r="R2383" s="2" t="inlineStr"/>
    </row>
    <row r="2384" ht="15" customHeight="1">
      <c r="A2384" t="inlineStr">
        <is>
          <t>A 19994-2023</t>
        </is>
      </c>
      <c r="B2384" s="1" t="n">
        <v>45054</v>
      </c>
      <c r="C2384" s="1" t="n">
        <v>45186</v>
      </c>
      <c r="D2384" t="inlineStr">
        <is>
          <t>STOCKHOLMS LÄN</t>
        </is>
      </c>
      <c r="E2384" t="inlineStr">
        <is>
          <t>NORRTÄLJE</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20004-2023</t>
        </is>
      </c>
      <c r="B2385" s="1" t="n">
        <v>45054</v>
      </c>
      <c r="C2385" s="1" t="n">
        <v>45186</v>
      </c>
      <c r="D2385" t="inlineStr">
        <is>
          <t>STOCKHOLMS LÄN</t>
        </is>
      </c>
      <c r="E2385" t="inlineStr">
        <is>
          <t>NORRTÄLJE</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20363-2023</t>
        </is>
      </c>
      <c r="B2386" s="1" t="n">
        <v>45054</v>
      </c>
      <c r="C2386" s="1" t="n">
        <v>45186</v>
      </c>
      <c r="D2386" t="inlineStr">
        <is>
          <t>STOCKHOLMS LÄN</t>
        </is>
      </c>
      <c r="E2386" t="inlineStr">
        <is>
          <t>SIGTUNA</t>
        </is>
      </c>
      <c r="G2386" t="n">
        <v>3.2</v>
      </c>
      <c r="H2386" t="n">
        <v>0</v>
      </c>
      <c r="I2386" t="n">
        <v>0</v>
      </c>
      <c r="J2386" t="n">
        <v>0</v>
      </c>
      <c r="K2386" t="n">
        <v>0</v>
      </c>
      <c r="L2386" t="n">
        <v>0</v>
      </c>
      <c r="M2386" t="n">
        <v>0</v>
      </c>
      <c r="N2386" t="n">
        <v>0</v>
      </c>
      <c r="O2386" t="n">
        <v>0</v>
      </c>
      <c r="P2386" t="n">
        <v>0</v>
      </c>
      <c r="Q2386" t="n">
        <v>0</v>
      </c>
      <c r="R2386" s="2" t="inlineStr"/>
    </row>
    <row r="2387" ht="15" customHeight="1">
      <c r="A2387" t="inlineStr">
        <is>
          <t>A 20304-2023</t>
        </is>
      </c>
      <c r="B2387" s="1" t="n">
        <v>45056</v>
      </c>
      <c r="C2387" s="1" t="n">
        <v>45186</v>
      </c>
      <c r="D2387" t="inlineStr">
        <is>
          <t>STOCKHOLMS LÄN</t>
        </is>
      </c>
      <c r="E2387" t="inlineStr">
        <is>
          <t>NORRTÄLJE</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20535-2023</t>
        </is>
      </c>
      <c r="B2388" s="1" t="n">
        <v>45057</v>
      </c>
      <c r="C2388" s="1" t="n">
        <v>45186</v>
      </c>
      <c r="D2388" t="inlineStr">
        <is>
          <t>STOCKHOLMS LÄN</t>
        </is>
      </c>
      <c r="E2388" t="inlineStr">
        <is>
          <t>NORRTÄLJE</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20960-2023</t>
        </is>
      </c>
      <c r="B2389" s="1" t="n">
        <v>45061</v>
      </c>
      <c r="C2389" s="1" t="n">
        <v>45186</v>
      </c>
      <c r="D2389" t="inlineStr">
        <is>
          <t>STOCKHOLMS LÄN</t>
        </is>
      </c>
      <c r="E2389" t="inlineStr">
        <is>
          <t>SIGTUNA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20957-2023</t>
        </is>
      </c>
      <c r="B2390" s="1" t="n">
        <v>45061</v>
      </c>
      <c r="C2390" s="1" t="n">
        <v>45186</v>
      </c>
      <c r="D2390" t="inlineStr">
        <is>
          <t>STOCKHOLMS LÄN</t>
        </is>
      </c>
      <c r="E2390" t="inlineStr">
        <is>
          <t>SIGTUNA</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21285-2023</t>
        </is>
      </c>
      <c r="B2391" s="1" t="n">
        <v>45062</v>
      </c>
      <c r="C2391" s="1" t="n">
        <v>45186</v>
      </c>
      <c r="D2391" t="inlineStr">
        <is>
          <t>STOCKHOLMS LÄN</t>
        </is>
      </c>
      <c r="E2391" t="inlineStr">
        <is>
          <t>BOTKYRKA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21237-2023</t>
        </is>
      </c>
      <c r="B2392" s="1" t="n">
        <v>45062</v>
      </c>
      <c r="C2392" s="1" t="n">
        <v>45186</v>
      </c>
      <c r="D2392" t="inlineStr">
        <is>
          <t>STOCKHOLMS LÄN</t>
        </is>
      </c>
      <c r="E2392" t="inlineStr">
        <is>
          <t>NORRTÄLJE</t>
        </is>
      </c>
      <c r="F2392" t="inlineStr">
        <is>
          <t>Övriga Aktiebolag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21192-2023</t>
        </is>
      </c>
      <c r="B2393" s="1" t="n">
        <v>45062</v>
      </c>
      <c r="C2393" s="1" t="n">
        <v>45186</v>
      </c>
      <c r="D2393" t="inlineStr">
        <is>
          <t>STOCKHOLMS LÄN</t>
        </is>
      </c>
      <c r="E2393" t="inlineStr">
        <is>
          <t>NYNÄSHAMN</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21431-2023</t>
        </is>
      </c>
      <c r="B2394" s="1" t="n">
        <v>45063</v>
      </c>
      <c r="C2394" s="1" t="n">
        <v>45186</v>
      </c>
      <c r="D2394" t="inlineStr">
        <is>
          <t>STOCKHOLMS LÄN</t>
        </is>
      </c>
      <c r="E2394" t="inlineStr">
        <is>
          <t>NORRTÄLJE</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21444-2023</t>
        </is>
      </c>
      <c r="B2395" s="1" t="n">
        <v>45063</v>
      </c>
      <c r="C2395" s="1" t="n">
        <v>45186</v>
      </c>
      <c r="D2395" t="inlineStr">
        <is>
          <t>STOCKHOLMS LÄN</t>
        </is>
      </c>
      <c r="E2395" t="inlineStr">
        <is>
          <t>VALLENTUNA</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21732-2023</t>
        </is>
      </c>
      <c r="B2396" s="1" t="n">
        <v>45063</v>
      </c>
      <c r="C2396" s="1" t="n">
        <v>45186</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21435-2023</t>
        </is>
      </c>
      <c r="B2397" s="1" t="n">
        <v>45063</v>
      </c>
      <c r="C2397" s="1" t="n">
        <v>45186</v>
      </c>
      <c r="D2397" t="inlineStr">
        <is>
          <t>STOCKHOLMS LÄN</t>
        </is>
      </c>
      <c r="E2397" t="inlineStr">
        <is>
          <t>NORRTÄLJE</t>
        </is>
      </c>
      <c r="G2397" t="n">
        <v>19.1</v>
      </c>
      <c r="H2397" t="n">
        <v>0</v>
      </c>
      <c r="I2397" t="n">
        <v>0</v>
      </c>
      <c r="J2397" t="n">
        <v>0</v>
      </c>
      <c r="K2397" t="n">
        <v>0</v>
      </c>
      <c r="L2397" t="n">
        <v>0</v>
      </c>
      <c r="M2397" t="n">
        <v>0</v>
      </c>
      <c r="N2397" t="n">
        <v>0</v>
      </c>
      <c r="O2397" t="n">
        <v>0</v>
      </c>
      <c r="P2397" t="n">
        <v>0</v>
      </c>
      <c r="Q2397" t="n">
        <v>0</v>
      </c>
      <c r="R2397" s="2" t="inlineStr"/>
    </row>
    <row r="2398" ht="15" customHeight="1">
      <c r="A2398" t="inlineStr">
        <is>
          <t>A 21445-2023</t>
        </is>
      </c>
      <c r="B2398" s="1" t="n">
        <v>45063</v>
      </c>
      <c r="C2398" s="1" t="n">
        <v>45186</v>
      </c>
      <c r="D2398" t="inlineStr">
        <is>
          <t>STOCKHOLMS LÄN</t>
        </is>
      </c>
      <c r="E2398" t="inlineStr">
        <is>
          <t>VALLENTUNA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21733-2023</t>
        </is>
      </c>
      <c r="B2399" s="1" t="n">
        <v>45063</v>
      </c>
      <c r="C2399" s="1" t="n">
        <v>45186</v>
      </c>
      <c r="D2399" t="inlineStr">
        <is>
          <t>STOCKHOLMS LÄN</t>
        </is>
      </c>
      <c r="E2399" t="inlineStr">
        <is>
          <t>NORRTÄLJE</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21654-2023</t>
        </is>
      </c>
      <c r="B2400" s="1" t="n">
        <v>45063</v>
      </c>
      <c r="C2400" s="1" t="n">
        <v>45186</v>
      </c>
      <c r="D2400" t="inlineStr">
        <is>
          <t>STOCKHOLMS LÄN</t>
        </is>
      </c>
      <c r="E2400" t="inlineStr">
        <is>
          <t>SÖDERTÄLJE</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21731-2023</t>
        </is>
      </c>
      <c r="B2401" s="1" t="n">
        <v>45063</v>
      </c>
      <c r="C2401" s="1" t="n">
        <v>45186</v>
      </c>
      <c r="D2401" t="inlineStr">
        <is>
          <t>STOCKHOLMS LÄN</t>
        </is>
      </c>
      <c r="E2401" t="inlineStr">
        <is>
          <t>NORRTÄLJE</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21583-2023</t>
        </is>
      </c>
      <c r="B2402" s="1" t="n">
        <v>45063</v>
      </c>
      <c r="C2402" s="1" t="n">
        <v>45186</v>
      </c>
      <c r="D2402" t="inlineStr">
        <is>
          <t>STOCKHOLMS LÄN</t>
        </is>
      </c>
      <c r="E2402" t="inlineStr">
        <is>
          <t>VALLENTUNA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21659-2023</t>
        </is>
      </c>
      <c r="B2403" s="1" t="n">
        <v>45063</v>
      </c>
      <c r="C2403" s="1" t="n">
        <v>45186</v>
      </c>
      <c r="D2403" t="inlineStr">
        <is>
          <t>STOCKHOLMS LÄN</t>
        </is>
      </c>
      <c r="E2403" t="inlineStr">
        <is>
          <t>UPPLANDS-BRO</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21765-2023</t>
        </is>
      </c>
      <c r="B2404" s="1" t="n">
        <v>45064</v>
      </c>
      <c r="C2404" s="1" t="n">
        <v>45186</v>
      </c>
      <c r="D2404" t="inlineStr">
        <is>
          <t>STOCKHOLMS LÄN</t>
        </is>
      </c>
      <c r="E2404" t="inlineStr">
        <is>
          <t>VALLENTUNA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21716-2023</t>
        </is>
      </c>
      <c r="B2405" s="1" t="n">
        <v>45065</v>
      </c>
      <c r="C2405" s="1" t="n">
        <v>45186</v>
      </c>
      <c r="D2405" t="inlineStr">
        <is>
          <t>STOCKHOLMS LÄN</t>
        </is>
      </c>
      <c r="E2405" t="inlineStr">
        <is>
          <t>NORRTÄLJE</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21718-2023</t>
        </is>
      </c>
      <c r="B2406" s="1" t="n">
        <v>45065</v>
      </c>
      <c r="C2406" s="1" t="n">
        <v>45186</v>
      </c>
      <c r="D2406" t="inlineStr">
        <is>
          <t>STOCKHOLMS LÄN</t>
        </is>
      </c>
      <c r="E2406" t="inlineStr">
        <is>
          <t>NORRTÄLJE</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21744-2023</t>
        </is>
      </c>
      <c r="B2407" s="1" t="n">
        <v>45065</v>
      </c>
      <c r="C2407" s="1" t="n">
        <v>45186</v>
      </c>
      <c r="D2407" t="inlineStr">
        <is>
          <t>STOCKHOLMS LÄN</t>
        </is>
      </c>
      <c r="E2407" t="inlineStr">
        <is>
          <t>NORRTÄLJE</t>
        </is>
      </c>
      <c r="F2407" t="inlineStr">
        <is>
          <t>Holmen skog AB</t>
        </is>
      </c>
      <c r="G2407" t="n">
        <v>4.2</v>
      </c>
      <c r="H2407" t="n">
        <v>0</v>
      </c>
      <c r="I2407" t="n">
        <v>0</v>
      </c>
      <c r="J2407" t="n">
        <v>0</v>
      </c>
      <c r="K2407" t="n">
        <v>0</v>
      </c>
      <c r="L2407" t="n">
        <v>0</v>
      </c>
      <c r="M2407" t="n">
        <v>0</v>
      </c>
      <c r="N2407" t="n">
        <v>0</v>
      </c>
      <c r="O2407" t="n">
        <v>0</v>
      </c>
      <c r="P2407" t="n">
        <v>0</v>
      </c>
      <c r="Q2407" t="n">
        <v>0</v>
      </c>
      <c r="R2407" s="2" t="inlineStr"/>
    </row>
    <row r="2408" ht="15" customHeight="1">
      <c r="A2408" t="inlineStr">
        <is>
          <t>A 21720-2023</t>
        </is>
      </c>
      <c r="B2408" s="1" t="n">
        <v>45065</v>
      </c>
      <c r="C2408" s="1" t="n">
        <v>45186</v>
      </c>
      <c r="D2408" t="inlineStr">
        <is>
          <t>STOCKHOLMS LÄN</t>
        </is>
      </c>
      <c r="E2408" t="inlineStr">
        <is>
          <t>NORRTÄLJE</t>
        </is>
      </c>
      <c r="G2408" t="n">
        <v>13.6</v>
      </c>
      <c r="H2408" t="n">
        <v>0</v>
      </c>
      <c r="I2408" t="n">
        <v>0</v>
      </c>
      <c r="J2408" t="n">
        <v>0</v>
      </c>
      <c r="K2408" t="n">
        <v>0</v>
      </c>
      <c r="L2408" t="n">
        <v>0</v>
      </c>
      <c r="M2408" t="n">
        <v>0</v>
      </c>
      <c r="N2408" t="n">
        <v>0</v>
      </c>
      <c r="O2408" t="n">
        <v>0</v>
      </c>
      <c r="P2408" t="n">
        <v>0</v>
      </c>
      <c r="Q2408" t="n">
        <v>0</v>
      </c>
      <c r="R2408" s="2" t="inlineStr"/>
    </row>
    <row r="2409" ht="15" customHeight="1">
      <c r="A2409" t="inlineStr">
        <is>
          <t>A 21825-2023</t>
        </is>
      </c>
      <c r="B2409" s="1" t="n">
        <v>45068</v>
      </c>
      <c r="C2409" s="1" t="n">
        <v>45186</v>
      </c>
      <c r="D2409" t="inlineStr">
        <is>
          <t>STOCKHOLMS LÄN</t>
        </is>
      </c>
      <c r="E2409" t="inlineStr">
        <is>
          <t>NORRTÄLJE</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21993-2023</t>
        </is>
      </c>
      <c r="B2410" s="1" t="n">
        <v>45068</v>
      </c>
      <c r="C2410" s="1" t="n">
        <v>45186</v>
      </c>
      <c r="D2410" t="inlineStr">
        <is>
          <t>STOCKHOLMS LÄN</t>
        </is>
      </c>
      <c r="E2410" t="inlineStr">
        <is>
          <t>NORRTÄLJE</t>
        </is>
      </c>
      <c r="G2410" t="n">
        <v>17.2</v>
      </c>
      <c r="H2410" t="n">
        <v>0</v>
      </c>
      <c r="I2410" t="n">
        <v>0</v>
      </c>
      <c r="J2410" t="n">
        <v>0</v>
      </c>
      <c r="K2410" t="n">
        <v>0</v>
      </c>
      <c r="L2410" t="n">
        <v>0</v>
      </c>
      <c r="M2410" t="n">
        <v>0</v>
      </c>
      <c r="N2410" t="n">
        <v>0</v>
      </c>
      <c r="O2410" t="n">
        <v>0</v>
      </c>
      <c r="P2410" t="n">
        <v>0</v>
      </c>
      <c r="Q2410" t="n">
        <v>0</v>
      </c>
      <c r="R2410" s="2" t="inlineStr"/>
    </row>
    <row r="2411" ht="15" customHeight="1">
      <c r="A2411" t="inlineStr">
        <is>
          <t>A 21832-2023</t>
        </is>
      </c>
      <c r="B2411" s="1" t="n">
        <v>45068</v>
      </c>
      <c r="C2411" s="1" t="n">
        <v>45186</v>
      </c>
      <c r="D2411" t="inlineStr">
        <is>
          <t>STOCKHOLMS LÄN</t>
        </is>
      </c>
      <c r="E2411" t="inlineStr">
        <is>
          <t>NORRTÄLJE</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21897-2023</t>
        </is>
      </c>
      <c r="B2412" s="1" t="n">
        <v>45068</v>
      </c>
      <c r="C2412" s="1" t="n">
        <v>45186</v>
      </c>
      <c r="D2412" t="inlineStr">
        <is>
          <t>STOCKHOLMS LÄN</t>
        </is>
      </c>
      <c r="E2412" t="inlineStr">
        <is>
          <t>NORRTÄLJE</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22054-2023</t>
        </is>
      </c>
      <c r="B2413" s="1" t="n">
        <v>45069</v>
      </c>
      <c r="C2413" s="1" t="n">
        <v>45186</v>
      </c>
      <c r="D2413" t="inlineStr">
        <is>
          <t>STOCKHOLMS LÄN</t>
        </is>
      </c>
      <c r="E2413" t="inlineStr">
        <is>
          <t>NYKVARN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22157-2023</t>
        </is>
      </c>
      <c r="B2414" s="1" t="n">
        <v>45069</v>
      </c>
      <c r="C2414" s="1" t="n">
        <v>45186</v>
      </c>
      <c r="D2414" t="inlineStr">
        <is>
          <t>STOCKHOLMS LÄN</t>
        </is>
      </c>
      <c r="E2414" t="inlineStr">
        <is>
          <t>NORRTÄLJE</t>
        </is>
      </c>
      <c r="G2414" t="n">
        <v>0.6</v>
      </c>
      <c r="H2414" t="n">
        <v>0</v>
      </c>
      <c r="I2414" t="n">
        <v>0</v>
      </c>
      <c r="J2414" t="n">
        <v>0</v>
      </c>
      <c r="K2414" t="n">
        <v>0</v>
      </c>
      <c r="L2414" t="n">
        <v>0</v>
      </c>
      <c r="M2414" t="n">
        <v>0</v>
      </c>
      <c r="N2414" t="n">
        <v>0</v>
      </c>
      <c r="O2414" t="n">
        <v>0</v>
      </c>
      <c r="P2414" t="n">
        <v>0</v>
      </c>
      <c r="Q2414" t="n">
        <v>0</v>
      </c>
      <c r="R2414" s="2" t="inlineStr"/>
      <c r="U2414">
        <f>HYPERLINK("https://klasma.github.io/Logging_NORRTALJE/knärot/A 22157-2023.png", "A 22157-2023")</f>
        <v/>
      </c>
      <c r="V2414">
        <f>HYPERLINK("https://klasma.github.io/Logging_NORRTALJE/klagomål/A 22157-2023.docx", "A 22157-2023")</f>
        <v/>
      </c>
      <c r="W2414">
        <f>HYPERLINK("https://klasma.github.io/Logging_NORRTALJE/klagomålsmail/A 22157-2023.docx", "A 22157-2023")</f>
        <v/>
      </c>
      <c r="X2414">
        <f>HYPERLINK("https://klasma.github.io/Logging_NORRTALJE/tillsyn/A 22157-2023.docx", "A 22157-2023")</f>
        <v/>
      </c>
      <c r="Y2414">
        <f>HYPERLINK("https://klasma.github.io/Logging_NORRTALJE/tillsynsmail/A 22157-2023.docx", "A 22157-2023")</f>
        <v/>
      </c>
    </row>
    <row r="2415" ht="15" customHeight="1">
      <c r="A2415" t="inlineStr">
        <is>
          <t>A 22175-2023</t>
        </is>
      </c>
      <c r="B2415" s="1" t="n">
        <v>45069</v>
      </c>
      <c r="C2415" s="1" t="n">
        <v>45186</v>
      </c>
      <c r="D2415" t="inlineStr">
        <is>
          <t>STOCKHOLMS LÄN</t>
        </is>
      </c>
      <c r="E2415" t="inlineStr">
        <is>
          <t>NORRTÄLJE</t>
        </is>
      </c>
      <c r="G2415" t="n">
        <v>32.7</v>
      </c>
      <c r="H2415" t="n">
        <v>0</v>
      </c>
      <c r="I2415" t="n">
        <v>0</v>
      </c>
      <c r="J2415" t="n">
        <v>0</v>
      </c>
      <c r="K2415" t="n">
        <v>0</v>
      </c>
      <c r="L2415" t="n">
        <v>0</v>
      </c>
      <c r="M2415" t="n">
        <v>0</v>
      </c>
      <c r="N2415" t="n">
        <v>0</v>
      </c>
      <c r="O2415" t="n">
        <v>0</v>
      </c>
      <c r="P2415" t="n">
        <v>0</v>
      </c>
      <c r="Q2415" t="n">
        <v>0</v>
      </c>
      <c r="R2415" s="2" t="inlineStr"/>
    </row>
    <row r="2416" ht="15" customHeight="1">
      <c r="A2416" t="inlineStr">
        <is>
          <t>A 22288-2023</t>
        </is>
      </c>
      <c r="B2416" s="1" t="n">
        <v>45070</v>
      </c>
      <c r="C2416" s="1" t="n">
        <v>45186</v>
      </c>
      <c r="D2416" t="inlineStr">
        <is>
          <t>STOCKHOLMS LÄN</t>
        </is>
      </c>
      <c r="E2416" t="inlineStr">
        <is>
          <t>HANINGE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22456-2023</t>
        </is>
      </c>
      <c r="B2417" s="1" t="n">
        <v>45070</v>
      </c>
      <c r="C2417" s="1" t="n">
        <v>45186</v>
      </c>
      <c r="D2417" t="inlineStr">
        <is>
          <t>STOCKHOLMS LÄN</t>
        </is>
      </c>
      <c r="E2417" t="inlineStr">
        <is>
          <t>NORRTÄLJE</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22249-2023</t>
        </is>
      </c>
      <c r="B2418" s="1" t="n">
        <v>45070</v>
      </c>
      <c r="C2418" s="1" t="n">
        <v>45186</v>
      </c>
      <c r="D2418" t="inlineStr">
        <is>
          <t>STOCKHOLMS LÄN</t>
        </is>
      </c>
      <c r="E2418" t="inlineStr">
        <is>
          <t>NORRTÄLJE</t>
        </is>
      </c>
      <c r="F2418" t="inlineStr">
        <is>
          <t>Övriga Aktiebolag</t>
        </is>
      </c>
      <c r="G2418" t="n">
        <v>17.7</v>
      </c>
      <c r="H2418" t="n">
        <v>0</v>
      </c>
      <c r="I2418" t="n">
        <v>0</v>
      </c>
      <c r="J2418" t="n">
        <v>0</v>
      </c>
      <c r="K2418" t="n">
        <v>0</v>
      </c>
      <c r="L2418" t="n">
        <v>0</v>
      </c>
      <c r="M2418" t="n">
        <v>0</v>
      </c>
      <c r="N2418" t="n">
        <v>0</v>
      </c>
      <c r="O2418" t="n">
        <v>0</v>
      </c>
      <c r="P2418" t="n">
        <v>0</v>
      </c>
      <c r="Q2418" t="n">
        <v>0</v>
      </c>
      <c r="R2418" s="2" t="inlineStr"/>
    </row>
    <row r="2419" ht="15" customHeight="1">
      <c r="A2419" t="inlineStr">
        <is>
          <t>A 22398-2023</t>
        </is>
      </c>
      <c r="B2419" s="1" t="n">
        <v>45070</v>
      </c>
      <c r="C2419" s="1" t="n">
        <v>45186</v>
      </c>
      <c r="D2419" t="inlineStr">
        <is>
          <t>STOCKHOLMS LÄN</t>
        </is>
      </c>
      <c r="E2419" t="inlineStr">
        <is>
          <t>NORRTÄLJE</t>
        </is>
      </c>
      <c r="F2419" t="inlineStr">
        <is>
          <t>Övriga Aktiebolag</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22406-2023</t>
        </is>
      </c>
      <c r="B2420" s="1" t="n">
        <v>45070</v>
      </c>
      <c r="C2420" s="1" t="n">
        <v>45186</v>
      </c>
      <c r="D2420" t="inlineStr">
        <is>
          <t>STOCKHOLMS LÄN</t>
        </is>
      </c>
      <c r="E2420" t="inlineStr">
        <is>
          <t>NORRTÄLJE</t>
        </is>
      </c>
      <c r="G2420" t="n">
        <v>6.8</v>
      </c>
      <c r="H2420" t="n">
        <v>0</v>
      </c>
      <c r="I2420" t="n">
        <v>0</v>
      </c>
      <c r="J2420" t="n">
        <v>0</v>
      </c>
      <c r="K2420" t="n">
        <v>0</v>
      </c>
      <c r="L2420" t="n">
        <v>0</v>
      </c>
      <c r="M2420" t="n">
        <v>0</v>
      </c>
      <c r="N2420" t="n">
        <v>0</v>
      </c>
      <c r="O2420" t="n">
        <v>0</v>
      </c>
      <c r="P2420" t="n">
        <v>0</v>
      </c>
      <c r="Q2420" t="n">
        <v>0</v>
      </c>
      <c r="R2420" s="2" t="inlineStr"/>
    </row>
    <row r="2421" ht="15" customHeight="1">
      <c r="A2421" t="inlineStr">
        <is>
          <t>A 22376-2023</t>
        </is>
      </c>
      <c r="B2421" s="1" t="n">
        <v>45070</v>
      </c>
      <c r="C2421" s="1" t="n">
        <v>45186</v>
      </c>
      <c r="D2421" t="inlineStr">
        <is>
          <t>STOCKHOLMS LÄN</t>
        </is>
      </c>
      <c r="E2421" t="inlineStr">
        <is>
          <t>NORRTÄLJE</t>
        </is>
      </c>
      <c r="F2421" t="inlineStr">
        <is>
          <t>Kommuner</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22682-2023</t>
        </is>
      </c>
      <c r="B2422" s="1" t="n">
        <v>45071</v>
      </c>
      <c r="C2422" s="1" t="n">
        <v>45186</v>
      </c>
      <c r="D2422" t="inlineStr">
        <is>
          <t>STOCKHOLMS LÄN</t>
        </is>
      </c>
      <c r="E2422" t="inlineStr">
        <is>
          <t>VALLENTUNA</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22553-2023</t>
        </is>
      </c>
      <c r="B2423" s="1" t="n">
        <v>45071</v>
      </c>
      <c r="C2423" s="1" t="n">
        <v>45186</v>
      </c>
      <c r="D2423" t="inlineStr">
        <is>
          <t>STOCKHOLMS LÄN</t>
        </is>
      </c>
      <c r="E2423" t="inlineStr">
        <is>
          <t>NORRTÄLJE</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22683-2023</t>
        </is>
      </c>
      <c r="B2424" s="1" t="n">
        <v>45071</v>
      </c>
      <c r="C2424" s="1" t="n">
        <v>45186</v>
      </c>
      <c r="D2424" t="inlineStr">
        <is>
          <t>STOCKHOLMS LÄN</t>
        </is>
      </c>
      <c r="E2424" t="inlineStr">
        <is>
          <t>VALLENTUNA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23060-2023</t>
        </is>
      </c>
      <c r="B2425" s="1" t="n">
        <v>45075</v>
      </c>
      <c r="C2425" s="1" t="n">
        <v>45186</v>
      </c>
      <c r="D2425" t="inlineStr">
        <is>
          <t>STOCKHOLMS LÄN</t>
        </is>
      </c>
      <c r="E2425" t="inlineStr">
        <is>
          <t>NORRTÄLJE</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23263-2023</t>
        </is>
      </c>
      <c r="B2426" s="1" t="n">
        <v>45075</v>
      </c>
      <c r="C2426" s="1" t="n">
        <v>45186</v>
      </c>
      <c r="D2426" t="inlineStr">
        <is>
          <t>STOCKHOLMS LÄN</t>
        </is>
      </c>
      <c r="E2426" t="inlineStr">
        <is>
          <t>NORRTÄLJE</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23090-2023</t>
        </is>
      </c>
      <c r="B2427" s="1" t="n">
        <v>45075</v>
      </c>
      <c r="C2427" s="1" t="n">
        <v>45186</v>
      </c>
      <c r="D2427" t="inlineStr">
        <is>
          <t>STOCKHOLMS LÄN</t>
        </is>
      </c>
      <c r="E2427" t="inlineStr">
        <is>
          <t>SÖDERTÄLJE</t>
        </is>
      </c>
      <c r="F2427" t="inlineStr">
        <is>
          <t>Sveaskog</t>
        </is>
      </c>
      <c r="G2427" t="n">
        <v>10.5</v>
      </c>
      <c r="H2427" t="n">
        <v>0</v>
      </c>
      <c r="I2427" t="n">
        <v>0</v>
      </c>
      <c r="J2427" t="n">
        <v>0</v>
      </c>
      <c r="K2427" t="n">
        <v>0</v>
      </c>
      <c r="L2427" t="n">
        <v>0</v>
      </c>
      <c r="M2427" t="n">
        <v>0</v>
      </c>
      <c r="N2427" t="n">
        <v>0</v>
      </c>
      <c r="O2427" t="n">
        <v>0</v>
      </c>
      <c r="P2427" t="n">
        <v>0</v>
      </c>
      <c r="Q2427" t="n">
        <v>0</v>
      </c>
      <c r="R2427" s="2" t="inlineStr"/>
    </row>
    <row r="2428" ht="15" customHeight="1">
      <c r="A2428" t="inlineStr">
        <is>
          <t>A 23056-2023</t>
        </is>
      </c>
      <c r="B2428" s="1" t="n">
        <v>45075</v>
      </c>
      <c r="C2428" s="1" t="n">
        <v>45186</v>
      </c>
      <c r="D2428" t="inlineStr">
        <is>
          <t>STOCKHOLMS LÄN</t>
        </is>
      </c>
      <c r="E2428" t="inlineStr">
        <is>
          <t>NORRTÄLJE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23070-2023</t>
        </is>
      </c>
      <c r="B2429" s="1" t="n">
        <v>45075</v>
      </c>
      <c r="C2429" s="1" t="n">
        <v>45186</v>
      </c>
      <c r="D2429" t="inlineStr">
        <is>
          <t>STOCKHOLMS LÄN</t>
        </is>
      </c>
      <c r="E2429" t="inlineStr">
        <is>
          <t>NORRTÄLJE</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23092-2023</t>
        </is>
      </c>
      <c r="B2430" s="1" t="n">
        <v>45075</v>
      </c>
      <c r="C2430" s="1" t="n">
        <v>45186</v>
      </c>
      <c r="D2430" t="inlineStr">
        <is>
          <t>STOCKHOLMS LÄN</t>
        </is>
      </c>
      <c r="E2430" t="inlineStr">
        <is>
          <t>SÖDERTÄLJE</t>
        </is>
      </c>
      <c r="F2430" t="inlineStr">
        <is>
          <t>Sveaskog</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23264-2023</t>
        </is>
      </c>
      <c r="B2431" s="1" t="n">
        <v>45075</v>
      </c>
      <c r="C2431" s="1" t="n">
        <v>45186</v>
      </c>
      <c r="D2431" t="inlineStr">
        <is>
          <t>STOCKHOLMS LÄN</t>
        </is>
      </c>
      <c r="E2431" t="inlineStr">
        <is>
          <t>NORRTÄLJE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23093-2023</t>
        </is>
      </c>
      <c r="B2432" s="1" t="n">
        <v>45075</v>
      </c>
      <c r="C2432" s="1" t="n">
        <v>45186</v>
      </c>
      <c r="D2432" t="inlineStr">
        <is>
          <t>STOCKHOLMS LÄN</t>
        </is>
      </c>
      <c r="E2432" t="inlineStr">
        <is>
          <t>SÖDERTÄLJE</t>
        </is>
      </c>
      <c r="F2432" t="inlineStr">
        <is>
          <t>Sveaskog</t>
        </is>
      </c>
      <c r="G2432" t="n">
        <v>7.6</v>
      </c>
      <c r="H2432" t="n">
        <v>0</v>
      </c>
      <c r="I2432" t="n">
        <v>0</v>
      </c>
      <c r="J2432" t="n">
        <v>0</v>
      </c>
      <c r="K2432" t="n">
        <v>0</v>
      </c>
      <c r="L2432" t="n">
        <v>0</v>
      </c>
      <c r="M2432" t="n">
        <v>0</v>
      </c>
      <c r="N2432" t="n">
        <v>0</v>
      </c>
      <c r="O2432" t="n">
        <v>0</v>
      </c>
      <c r="P2432" t="n">
        <v>0</v>
      </c>
      <c r="Q2432" t="n">
        <v>0</v>
      </c>
      <c r="R2432" s="2" t="inlineStr"/>
    </row>
    <row r="2433" ht="15" customHeight="1">
      <c r="A2433" t="inlineStr">
        <is>
          <t>A 23272-2023</t>
        </is>
      </c>
      <c r="B2433" s="1" t="n">
        <v>45075</v>
      </c>
      <c r="C2433" s="1" t="n">
        <v>45186</v>
      </c>
      <c r="D2433" t="inlineStr">
        <is>
          <t>STOCKHOLMS LÄN</t>
        </is>
      </c>
      <c r="E2433" t="inlineStr">
        <is>
          <t>NORRTÄLJE</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24264-2023</t>
        </is>
      </c>
      <c r="B2434" s="1" t="n">
        <v>45076</v>
      </c>
      <c r="C2434" s="1" t="n">
        <v>45186</v>
      </c>
      <c r="D2434" t="inlineStr">
        <is>
          <t>STOCKHOLMS LÄN</t>
        </is>
      </c>
      <c r="E2434" t="inlineStr">
        <is>
          <t>HUDDINGE</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24257-2023</t>
        </is>
      </c>
      <c r="B2435" s="1" t="n">
        <v>45076</v>
      </c>
      <c r="C2435" s="1" t="n">
        <v>45186</v>
      </c>
      <c r="D2435" t="inlineStr">
        <is>
          <t>STOCKHOLMS LÄN</t>
        </is>
      </c>
      <c r="E2435" t="inlineStr">
        <is>
          <t>HUDDINGE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24363-2023</t>
        </is>
      </c>
      <c r="B2436" s="1" t="n">
        <v>45076</v>
      </c>
      <c r="C2436" s="1" t="n">
        <v>45186</v>
      </c>
      <c r="D2436" t="inlineStr">
        <is>
          <t>STOCKHOLMS LÄN</t>
        </is>
      </c>
      <c r="E2436" t="inlineStr">
        <is>
          <t>HUDDINGE</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24384-2023</t>
        </is>
      </c>
      <c r="B2437" s="1" t="n">
        <v>45076</v>
      </c>
      <c r="C2437" s="1" t="n">
        <v>45186</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24254-2023</t>
        </is>
      </c>
      <c r="B2438" s="1" t="n">
        <v>45076</v>
      </c>
      <c r="C2438" s="1" t="n">
        <v>45186</v>
      </c>
      <c r="D2438" t="inlineStr">
        <is>
          <t>STOCKHOLMS LÄN</t>
        </is>
      </c>
      <c r="E2438" t="inlineStr">
        <is>
          <t>HUDDINGE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24368-2023</t>
        </is>
      </c>
      <c r="B2439" s="1" t="n">
        <v>45076</v>
      </c>
      <c r="C2439" s="1" t="n">
        <v>45186</v>
      </c>
      <c r="D2439" t="inlineStr">
        <is>
          <t>STOCKHOLMS LÄN</t>
        </is>
      </c>
      <c r="E2439" t="inlineStr">
        <is>
          <t>HUDDINGE</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24262-2023</t>
        </is>
      </c>
      <c r="B2440" s="1" t="n">
        <v>45076</v>
      </c>
      <c r="C2440" s="1" t="n">
        <v>45186</v>
      </c>
      <c r="D2440" t="inlineStr">
        <is>
          <t>STOCKHOLMS LÄN</t>
        </is>
      </c>
      <c r="E2440" t="inlineStr">
        <is>
          <t>HUDDINGE</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24365-2023</t>
        </is>
      </c>
      <c r="B2441" s="1" t="n">
        <v>45076</v>
      </c>
      <c r="C2441" s="1" t="n">
        <v>45186</v>
      </c>
      <c r="D2441" t="inlineStr">
        <is>
          <t>STOCKHOLMS LÄN</t>
        </is>
      </c>
      <c r="E2441" t="inlineStr">
        <is>
          <t>HUDDINGE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23699-2023</t>
        </is>
      </c>
      <c r="B2442" s="1" t="n">
        <v>45077</v>
      </c>
      <c r="C2442" s="1" t="n">
        <v>45186</v>
      </c>
      <c r="D2442" t="inlineStr">
        <is>
          <t>STOCKHOLMS LÄN</t>
        </is>
      </c>
      <c r="E2442" t="inlineStr">
        <is>
          <t>NORRTÄLJE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23981-2023</t>
        </is>
      </c>
      <c r="B2443" s="1" t="n">
        <v>45078</v>
      </c>
      <c r="C2443" s="1" t="n">
        <v>45186</v>
      </c>
      <c r="D2443" t="inlineStr">
        <is>
          <t>STOCKHOLMS LÄN</t>
        </is>
      </c>
      <c r="E2443" t="inlineStr">
        <is>
          <t>SALEM</t>
        </is>
      </c>
      <c r="F2443" t="inlineStr">
        <is>
          <t>Kommuner</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23986-2023</t>
        </is>
      </c>
      <c r="B2444" s="1" t="n">
        <v>45078</v>
      </c>
      <c r="C2444" s="1" t="n">
        <v>45186</v>
      </c>
      <c r="D2444" t="inlineStr">
        <is>
          <t>STOCKHOLMS LÄN</t>
        </is>
      </c>
      <c r="E2444" t="inlineStr">
        <is>
          <t>VALLENTUNA</t>
        </is>
      </c>
      <c r="F2444" t="inlineStr">
        <is>
          <t>Kyrkan</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23992-2023</t>
        </is>
      </c>
      <c r="B2445" s="1" t="n">
        <v>45078</v>
      </c>
      <c r="C2445" s="1" t="n">
        <v>45186</v>
      </c>
      <c r="D2445" t="inlineStr">
        <is>
          <t>STOCKHOLMS LÄN</t>
        </is>
      </c>
      <c r="E2445" t="inlineStr">
        <is>
          <t>SALEM</t>
        </is>
      </c>
      <c r="F2445" t="inlineStr">
        <is>
          <t>Kommuner</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24735-2023</t>
        </is>
      </c>
      <c r="B2446" s="1" t="n">
        <v>45078</v>
      </c>
      <c r="C2446" s="1" t="n">
        <v>45186</v>
      </c>
      <c r="D2446" t="inlineStr">
        <is>
          <t>STOCKHOLMS LÄN</t>
        </is>
      </c>
      <c r="E2446" t="inlineStr">
        <is>
          <t>SÖDERTÄLJE</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24330-2023</t>
        </is>
      </c>
      <c r="B2447" s="1" t="n">
        <v>45081</v>
      </c>
      <c r="C2447" s="1" t="n">
        <v>45186</v>
      </c>
      <c r="D2447" t="inlineStr">
        <is>
          <t>STOCKHOLMS LÄN</t>
        </is>
      </c>
      <c r="E2447" t="inlineStr">
        <is>
          <t>NORRTÄLJE</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25549-2023</t>
        </is>
      </c>
      <c r="B2448" s="1" t="n">
        <v>45082</v>
      </c>
      <c r="C2448" s="1" t="n">
        <v>45186</v>
      </c>
      <c r="D2448" t="inlineStr">
        <is>
          <t>STOCKHOLMS LÄN</t>
        </is>
      </c>
      <c r="E2448" t="inlineStr">
        <is>
          <t>SÖDERTÄLJE</t>
        </is>
      </c>
      <c r="G2448" t="n">
        <v>12.2</v>
      </c>
      <c r="H2448" t="n">
        <v>0</v>
      </c>
      <c r="I2448" t="n">
        <v>0</v>
      </c>
      <c r="J2448" t="n">
        <v>0</v>
      </c>
      <c r="K2448" t="n">
        <v>0</v>
      </c>
      <c r="L2448" t="n">
        <v>0</v>
      </c>
      <c r="M2448" t="n">
        <v>0</v>
      </c>
      <c r="N2448" t="n">
        <v>0</v>
      </c>
      <c r="O2448" t="n">
        <v>0</v>
      </c>
      <c r="P2448" t="n">
        <v>0</v>
      </c>
      <c r="Q2448" t="n">
        <v>0</v>
      </c>
      <c r="R2448" s="2" t="inlineStr"/>
    </row>
    <row r="2449" ht="15" customHeight="1">
      <c r="A2449" t="inlineStr">
        <is>
          <t>A 24499-2023</t>
        </is>
      </c>
      <c r="B2449" s="1" t="n">
        <v>45082</v>
      </c>
      <c r="C2449" s="1" t="n">
        <v>45186</v>
      </c>
      <c r="D2449" t="inlineStr">
        <is>
          <t>STOCKHOLMS LÄN</t>
        </is>
      </c>
      <c r="E2449" t="inlineStr">
        <is>
          <t>ÖSTERÅKER</t>
        </is>
      </c>
      <c r="G2449" t="n">
        <v>0.1</v>
      </c>
      <c r="H2449" t="n">
        <v>0</v>
      </c>
      <c r="I2449" t="n">
        <v>0</v>
      </c>
      <c r="J2449" t="n">
        <v>0</v>
      </c>
      <c r="K2449" t="n">
        <v>0</v>
      </c>
      <c r="L2449" t="n">
        <v>0</v>
      </c>
      <c r="M2449" t="n">
        <v>0</v>
      </c>
      <c r="N2449" t="n">
        <v>0</v>
      </c>
      <c r="O2449" t="n">
        <v>0</v>
      </c>
      <c r="P2449" t="n">
        <v>0</v>
      </c>
      <c r="Q2449" t="n">
        <v>0</v>
      </c>
      <c r="R2449" s="2" t="inlineStr"/>
    </row>
    <row r="2450" ht="15" customHeight="1">
      <c r="A2450" t="inlineStr">
        <is>
          <t>A 24501-2023</t>
        </is>
      </c>
      <c r="B2450" s="1" t="n">
        <v>45082</v>
      </c>
      <c r="C2450" s="1" t="n">
        <v>45186</v>
      </c>
      <c r="D2450" t="inlineStr">
        <is>
          <t>STOCKHOLMS LÄN</t>
        </is>
      </c>
      <c r="E2450" t="inlineStr">
        <is>
          <t>NORRTÄLJE</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25531-2023</t>
        </is>
      </c>
      <c r="B2451" s="1" t="n">
        <v>45082</v>
      </c>
      <c r="C2451" s="1" t="n">
        <v>45186</v>
      </c>
      <c r="D2451" t="inlineStr">
        <is>
          <t>STOCKHOLMS LÄN</t>
        </is>
      </c>
      <c r="E2451" t="inlineStr">
        <is>
          <t>SIGTUNA</t>
        </is>
      </c>
      <c r="G2451" t="n">
        <v>6.4</v>
      </c>
      <c r="H2451" t="n">
        <v>0</v>
      </c>
      <c r="I2451" t="n">
        <v>0</v>
      </c>
      <c r="J2451" t="n">
        <v>0</v>
      </c>
      <c r="K2451" t="n">
        <v>0</v>
      </c>
      <c r="L2451" t="n">
        <v>0</v>
      </c>
      <c r="M2451" t="n">
        <v>0</v>
      </c>
      <c r="N2451" t="n">
        <v>0</v>
      </c>
      <c r="O2451" t="n">
        <v>0</v>
      </c>
      <c r="P2451" t="n">
        <v>0</v>
      </c>
      <c r="Q2451" t="n">
        <v>0</v>
      </c>
      <c r="R2451" s="2" t="inlineStr"/>
    </row>
    <row r="2452" ht="15" customHeight="1">
      <c r="A2452" t="inlineStr">
        <is>
          <t>A 24789-2023</t>
        </is>
      </c>
      <c r="B2452" s="1" t="n">
        <v>45084</v>
      </c>
      <c r="C2452" s="1" t="n">
        <v>45186</v>
      </c>
      <c r="D2452" t="inlineStr">
        <is>
          <t>STOCKHOLMS LÄN</t>
        </is>
      </c>
      <c r="E2452" t="inlineStr">
        <is>
          <t>NORRTÄLJE</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25754-2023</t>
        </is>
      </c>
      <c r="B2453" s="1" t="n">
        <v>45084</v>
      </c>
      <c r="C2453" s="1" t="n">
        <v>45186</v>
      </c>
      <c r="D2453" t="inlineStr">
        <is>
          <t>STOCKHOLMS LÄN</t>
        </is>
      </c>
      <c r="E2453" t="inlineStr">
        <is>
          <t>NYKVARN</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24636-2023</t>
        </is>
      </c>
      <c r="B2454" s="1" t="n">
        <v>45084</v>
      </c>
      <c r="C2454" s="1" t="n">
        <v>45186</v>
      </c>
      <c r="D2454" t="inlineStr">
        <is>
          <t>STOCKHOLMS LÄN</t>
        </is>
      </c>
      <c r="E2454" t="inlineStr">
        <is>
          <t>SIGTUNA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24707-2023</t>
        </is>
      </c>
      <c r="B2455" s="1" t="n">
        <v>45084</v>
      </c>
      <c r="C2455" s="1" t="n">
        <v>45186</v>
      </c>
      <c r="D2455" t="inlineStr">
        <is>
          <t>STOCKHOLMS LÄN</t>
        </is>
      </c>
      <c r="E2455" t="inlineStr">
        <is>
          <t>VALLENTUNA</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24749-2023</t>
        </is>
      </c>
      <c r="B2456" s="1" t="n">
        <v>45084</v>
      </c>
      <c r="C2456" s="1" t="n">
        <v>45186</v>
      </c>
      <c r="D2456" t="inlineStr">
        <is>
          <t>STOCKHOLMS LÄN</t>
        </is>
      </c>
      <c r="E2456" t="inlineStr">
        <is>
          <t>VALLENTUNA</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24788-2023</t>
        </is>
      </c>
      <c r="B2457" s="1" t="n">
        <v>45084</v>
      </c>
      <c r="C2457" s="1" t="n">
        <v>45186</v>
      </c>
      <c r="D2457" t="inlineStr">
        <is>
          <t>STOCKHOLMS LÄN</t>
        </is>
      </c>
      <c r="E2457" t="inlineStr">
        <is>
          <t>NORRTÄLJE</t>
        </is>
      </c>
      <c r="F2457" t="inlineStr">
        <is>
          <t>Sveaskog</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24887-2023</t>
        </is>
      </c>
      <c r="B2458" s="1" t="n">
        <v>45085</v>
      </c>
      <c r="C2458" s="1" t="n">
        <v>45186</v>
      </c>
      <c r="D2458" t="inlineStr">
        <is>
          <t>STOCKHOLMS LÄN</t>
        </is>
      </c>
      <c r="E2458" t="inlineStr">
        <is>
          <t>NORRTÄLJE</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24873-2023</t>
        </is>
      </c>
      <c r="B2459" s="1" t="n">
        <v>45085</v>
      </c>
      <c r="C2459" s="1" t="n">
        <v>45186</v>
      </c>
      <c r="D2459" t="inlineStr">
        <is>
          <t>STOCKHOLMS LÄN</t>
        </is>
      </c>
      <c r="E2459" t="inlineStr">
        <is>
          <t>HANINGE</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25175-2023</t>
        </is>
      </c>
      <c r="B2460" s="1" t="n">
        <v>45086</v>
      </c>
      <c r="C2460" s="1" t="n">
        <v>45186</v>
      </c>
      <c r="D2460" t="inlineStr">
        <is>
          <t>STOCKHOLMS LÄN</t>
        </is>
      </c>
      <c r="E2460" t="inlineStr">
        <is>
          <t>NYNÄSHAMN</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26408-2023</t>
        </is>
      </c>
      <c r="B2461" s="1" t="n">
        <v>45086</v>
      </c>
      <c r="C2461" s="1" t="n">
        <v>45186</v>
      </c>
      <c r="D2461" t="inlineStr">
        <is>
          <t>STOCKHOLMS LÄN</t>
        </is>
      </c>
      <c r="E2461" t="inlineStr">
        <is>
          <t>VALLENTUNA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26390-2023</t>
        </is>
      </c>
      <c r="B2462" s="1" t="n">
        <v>45086</v>
      </c>
      <c r="C2462" s="1" t="n">
        <v>45186</v>
      </c>
      <c r="D2462" t="inlineStr">
        <is>
          <t>STOCKHOLMS LÄN</t>
        </is>
      </c>
      <c r="E2462" t="inlineStr">
        <is>
          <t>VALLENTUNA</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25452-2023</t>
        </is>
      </c>
      <c r="B2463" s="1" t="n">
        <v>45089</v>
      </c>
      <c r="C2463" s="1" t="n">
        <v>45186</v>
      </c>
      <c r="D2463" t="inlineStr">
        <is>
          <t>STOCKHOLMS LÄN</t>
        </is>
      </c>
      <c r="E2463" t="inlineStr">
        <is>
          <t>SIGTUNA</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25464-2023</t>
        </is>
      </c>
      <c r="B2464" s="1" t="n">
        <v>45089</v>
      </c>
      <c r="C2464" s="1" t="n">
        <v>45186</v>
      </c>
      <c r="D2464" t="inlineStr">
        <is>
          <t>STOCKHOLMS LÄN</t>
        </is>
      </c>
      <c r="E2464" t="inlineStr">
        <is>
          <t>SIGTUNA</t>
        </is>
      </c>
      <c r="F2464" t="inlineStr">
        <is>
          <t>Sveaskog</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25557-2023</t>
        </is>
      </c>
      <c r="B2465" s="1" t="n">
        <v>45089</v>
      </c>
      <c r="C2465" s="1" t="n">
        <v>45186</v>
      </c>
      <c r="D2465" t="inlineStr">
        <is>
          <t>STOCKHOLMS LÄN</t>
        </is>
      </c>
      <c r="E2465" t="inlineStr">
        <is>
          <t>NORRTÄLJE</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25625-2023</t>
        </is>
      </c>
      <c r="B2466" s="1" t="n">
        <v>45089</v>
      </c>
      <c r="C2466" s="1" t="n">
        <v>45186</v>
      </c>
      <c r="D2466" t="inlineStr">
        <is>
          <t>STOCKHOLMS LÄN</t>
        </is>
      </c>
      <c r="E2466" t="inlineStr">
        <is>
          <t>NORRTÄLJE</t>
        </is>
      </c>
      <c r="G2466" t="n">
        <v>5.5</v>
      </c>
      <c r="H2466" t="n">
        <v>0</v>
      </c>
      <c r="I2466" t="n">
        <v>0</v>
      </c>
      <c r="J2466" t="n">
        <v>0</v>
      </c>
      <c r="K2466" t="n">
        <v>0</v>
      </c>
      <c r="L2466" t="n">
        <v>0</v>
      </c>
      <c r="M2466" t="n">
        <v>0</v>
      </c>
      <c r="N2466" t="n">
        <v>0</v>
      </c>
      <c r="O2466" t="n">
        <v>0</v>
      </c>
      <c r="P2466" t="n">
        <v>0</v>
      </c>
      <c r="Q2466" t="n">
        <v>0</v>
      </c>
      <c r="R2466" s="2" t="inlineStr"/>
    </row>
    <row r="2467" ht="15" customHeight="1">
      <c r="A2467" t="inlineStr">
        <is>
          <t>A 25459-2023</t>
        </is>
      </c>
      <c r="B2467" s="1" t="n">
        <v>45089</v>
      </c>
      <c r="C2467" s="1" t="n">
        <v>45186</v>
      </c>
      <c r="D2467" t="inlineStr">
        <is>
          <t>STOCKHOLMS LÄN</t>
        </is>
      </c>
      <c r="E2467" t="inlineStr">
        <is>
          <t>SIGTUNA</t>
        </is>
      </c>
      <c r="F2467" t="inlineStr">
        <is>
          <t>Sveaskog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25618-2023</t>
        </is>
      </c>
      <c r="B2468" s="1" t="n">
        <v>45089</v>
      </c>
      <c r="C2468" s="1" t="n">
        <v>45186</v>
      </c>
      <c r="D2468" t="inlineStr">
        <is>
          <t>STOCKHOLMS LÄN</t>
        </is>
      </c>
      <c r="E2468" t="inlineStr">
        <is>
          <t>NORRTÄLJE</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25656-2023</t>
        </is>
      </c>
      <c r="B2469" s="1" t="n">
        <v>45089</v>
      </c>
      <c r="C2469" s="1" t="n">
        <v>45186</v>
      </c>
      <c r="D2469" t="inlineStr">
        <is>
          <t>STOCKHOLMS LÄN</t>
        </is>
      </c>
      <c r="E2469" t="inlineStr">
        <is>
          <t>NORRTÄLJE</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25609-2023</t>
        </is>
      </c>
      <c r="B2470" s="1" t="n">
        <v>45089</v>
      </c>
      <c r="C2470" s="1" t="n">
        <v>45186</v>
      </c>
      <c r="D2470" t="inlineStr">
        <is>
          <t>STOCKHOLMS LÄN</t>
        </is>
      </c>
      <c r="E2470" t="inlineStr">
        <is>
          <t>NORRTÄLJE</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25654-2023</t>
        </is>
      </c>
      <c r="B2471" s="1" t="n">
        <v>45089</v>
      </c>
      <c r="C2471" s="1" t="n">
        <v>45186</v>
      </c>
      <c r="D2471" t="inlineStr">
        <is>
          <t>STOCKHOLMS LÄN</t>
        </is>
      </c>
      <c r="E2471" t="inlineStr">
        <is>
          <t>NORRTÄLJE</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25584-2023</t>
        </is>
      </c>
      <c r="B2472" s="1" t="n">
        <v>45089</v>
      </c>
      <c r="C2472" s="1" t="n">
        <v>45186</v>
      </c>
      <c r="D2472" t="inlineStr">
        <is>
          <t>STOCKHOLMS LÄN</t>
        </is>
      </c>
      <c r="E2472" t="inlineStr">
        <is>
          <t>HANINGE</t>
        </is>
      </c>
      <c r="G2472" t="n">
        <v>4.8</v>
      </c>
      <c r="H2472" t="n">
        <v>0</v>
      </c>
      <c r="I2472" t="n">
        <v>0</v>
      </c>
      <c r="J2472" t="n">
        <v>0</v>
      </c>
      <c r="K2472" t="n">
        <v>0</v>
      </c>
      <c r="L2472" t="n">
        <v>0</v>
      </c>
      <c r="M2472" t="n">
        <v>0</v>
      </c>
      <c r="N2472" t="n">
        <v>0</v>
      </c>
      <c r="O2472" t="n">
        <v>0</v>
      </c>
      <c r="P2472" t="n">
        <v>0</v>
      </c>
      <c r="Q2472" t="n">
        <v>0</v>
      </c>
      <c r="R2472" s="2" t="inlineStr"/>
    </row>
    <row r="2473" ht="15" customHeight="1">
      <c r="A2473" t="inlineStr">
        <is>
          <t>A 25614-2023</t>
        </is>
      </c>
      <c r="B2473" s="1" t="n">
        <v>45089</v>
      </c>
      <c r="C2473" s="1" t="n">
        <v>45186</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25831-2023</t>
        </is>
      </c>
      <c r="B2474" s="1" t="n">
        <v>45090</v>
      </c>
      <c r="C2474" s="1" t="n">
        <v>45186</v>
      </c>
      <c r="D2474" t="inlineStr">
        <is>
          <t>STOCKHOLMS LÄN</t>
        </is>
      </c>
      <c r="E2474" t="inlineStr">
        <is>
          <t>NORRTÄLJE</t>
        </is>
      </c>
      <c r="F2474" t="inlineStr">
        <is>
          <t>Övriga Aktiebolag</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25915-2023</t>
        </is>
      </c>
      <c r="B2475" s="1" t="n">
        <v>45090</v>
      </c>
      <c r="C2475" s="1" t="n">
        <v>45186</v>
      </c>
      <c r="D2475" t="inlineStr">
        <is>
          <t>STOCKHOLMS LÄN</t>
        </is>
      </c>
      <c r="E2475" t="inlineStr">
        <is>
          <t>NORRTÄLJE</t>
        </is>
      </c>
      <c r="F2475" t="inlineStr">
        <is>
          <t>Naturvårdsverket</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25706-2023</t>
        </is>
      </c>
      <c r="B2476" s="1" t="n">
        <v>45090</v>
      </c>
      <c r="C2476" s="1" t="n">
        <v>45186</v>
      </c>
      <c r="D2476" t="inlineStr">
        <is>
          <t>STOCKHOLMS LÄN</t>
        </is>
      </c>
      <c r="E2476" t="inlineStr">
        <is>
          <t>SÖDERTÄLJE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26570-2023</t>
        </is>
      </c>
      <c r="B2477" s="1" t="n">
        <v>45092</v>
      </c>
      <c r="C2477" s="1" t="n">
        <v>45186</v>
      </c>
      <c r="D2477" t="inlineStr">
        <is>
          <t>STOCKHOLMS LÄN</t>
        </is>
      </c>
      <c r="E2477" t="inlineStr">
        <is>
          <t>NORRTÄLJE</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26636-2023</t>
        </is>
      </c>
      <c r="B2478" s="1" t="n">
        <v>45092</v>
      </c>
      <c r="C2478" s="1" t="n">
        <v>45186</v>
      </c>
      <c r="D2478" t="inlineStr">
        <is>
          <t>STOCKHOLMS LÄN</t>
        </is>
      </c>
      <c r="E2478" t="inlineStr">
        <is>
          <t>NORRTÄLJE</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26640-2023</t>
        </is>
      </c>
      <c r="B2479" s="1" t="n">
        <v>45092</v>
      </c>
      <c r="C2479" s="1" t="n">
        <v>45186</v>
      </c>
      <c r="D2479" t="inlineStr">
        <is>
          <t>STOCKHOLMS LÄN</t>
        </is>
      </c>
      <c r="E2479" t="inlineStr">
        <is>
          <t>NORRTÄLJE</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26599-2023</t>
        </is>
      </c>
      <c r="B2480" s="1" t="n">
        <v>45092</v>
      </c>
      <c r="C2480" s="1" t="n">
        <v>45186</v>
      </c>
      <c r="D2480" t="inlineStr">
        <is>
          <t>STOCKHOLMS LÄN</t>
        </is>
      </c>
      <c r="E2480" t="inlineStr">
        <is>
          <t>SIGTUNA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26639-2023</t>
        </is>
      </c>
      <c r="B2481" s="1" t="n">
        <v>45092</v>
      </c>
      <c r="C2481" s="1" t="n">
        <v>45186</v>
      </c>
      <c r="D2481" t="inlineStr">
        <is>
          <t>STOCKHOLMS LÄN</t>
        </is>
      </c>
      <c r="E2481" t="inlineStr">
        <is>
          <t>NORRTÄLJE</t>
        </is>
      </c>
      <c r="G2481" t="n">
        <v>3.4</v>
      </c>
      <c r="H2481" t="n">
        <v>0</v>
      </c>
      <c r="I2481" t="n">
        <v>0</v>
      </c>
      <c r="J2481" t="n">
        <v>0</v>
      </c>
      <c r="K2481" t="n">
        <v>0</v>
      </c>
      <c r="L2481" t="n">
        <v>0</v>
      </c>
      <c r="M2481" t="n">
        <v>0</v>
      </c>
      <c r="N2481" t="n">
        <v>0</v>
      </c>
      <c r="O2481" t="n">
        <v>0</v>
      </c>
      <c r="P2481" t="n">
        <v>0</v>
      </c>
      <c r="Q2481" t="n">
        <v>0</v>
      </c>
      <c r="R2481" s="2" t="inlineStr"/>
    </row>
    <row r="2482" ht="15" customHeight="1">
      <c r="A2482" t="inlineStr">
        <is>
          <t>A 26637-2023</t>
        </is>
      </c>
      <c r="B2482" s="1" t="n">
        <v>45092</v>
      </c>
      <c r="C2482" s="1" t="n">
        <v>45186</v>
      </c>
      <c r="D2482" t="inlineStr">
        <is>
          <t>STOCKHOLMS LÄN</t>
        </is>
      </c>
      <c r="E2482" t="inlineStr">
        <is>
          <t>NORRTÄLJE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27299-2023</t>
        </is>
      </c>
      <c r="B2483" s="1" t="n">
        <v>45096</v>
      </c>
      <c r="C2483" s="1" t="n">
        <v>45186</v>
      </c>
      <c r="D2483" t="inlineStr">
        <is>
          <t>STOCKHOLMS LÄN</t>
        </is>
      </c>
      <c r="E2483" t="inlineStr">
        <is>
          <t>UPPLANDS-BRO</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27313-2023</t>
        </is>
      </c>
      <c r="B2484" s="1" t="n">
        <v>45096</v>
      </c>
      <c r="C2484" s="1" t="n">
        <v>45186</v>
      </c>
      <c r="D2484" t="inlineStr">
        <is>
          <t>STOCKHOLMS LÄN</t>
        </is>
      </c>
      <c r="E2484" t="inlineStr">
        <is>
          <t>UPPLANDS-BRO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27318-2023</t>
        </is>
      </c>
      <c r="B2485" s="1" t="n">
        <v>45096</v>
      </c>
      <c r="C2485" s="1" t="n">
        <v>45186</v>
      </c>
      <c r="D2485" t="inlineStr">
        <is>
          <t>STOCKHOLMS LÄN</t>
        </is>
      </c>
      <c r="E2485" t="inlineStr">
        <is>
          <t>UPPLANDS-BRO</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27748-2023</t>
        </is>
      </c>
      <c r="B2486" s="1" t="n">
        <v>45098</v>
      </c>
      <c r="C2486" s="1" t="n">
        <v>45186</v>
      </c>
      <c r="D2486" t="inlineStr">
        <is>
          <t>STOCKHOLMS LÄN</t>
        </is>
      </c>
      <c r="E2486" t="inlineStr">
        <is>
          <t>NYNÄSHAMN</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28290-2023</t>
        </is>
      </c>
      <c r="B2487" s="1" t="n">
        <v>45099</v>
      </c>
      <c r="C2487" s="1" t="n">
        <v>45186</v>
      </c>
      <c r="D2487" t="inlineStr">
        <is>
          <t>STOCKHOLMS LÄN</t>
        </is>
      </c>
      <c r="E2487" t="inlineStr">
        <is>
          <t>SÖDERTÄLJE</t>
        </is>
      </c>
      <c r="G2487" t="n">
        <v>4.7</v>
      </c>
      <c r="H2487" t="n">
        <v>0</v>
      </c>
      <c r="I2487" t="n">
        <v>0</v>
      </c>
      <c r="J2487" t="n">
        <v>0</v>
      </c>
      <c r="K2487" t="n">
        <v>0</v>
      </c>
      <c r="L2487" t="n">
        <v>0</v>
      </c>
      <c r="M2487" t="n">
        <v>0</v>
      </c>
      <c r="N2487" t="n">
        <v>0</v>
      </c>
      <c r="O2487" t="n">
        <v>0</v>
      </c>
      <c r="P2487" t="n">
        <v>0</v>
      </c>
      <c r="Q2487" t="n">
        <v>0</v>
      </c>
      <c r="R2487" s="2" t="inlineStr"/>
    </row>
    <row r="2488" ht="15" customHeight="1">
      <c r="A2488" t="inlineStr">
        <is>
          <t>A 28281-2023</t>
        </is>
      </c>
      <c r="B2488" s="1" t="n">
        <v>45099</v>
      </c>
      <c r="C2488" s="1" t="n">
        <v>45186</v>
      </c>
      <c r="D2488" t="inlineStr">
        <is>
          <t>STOCKHOLMS LÄN</t>
        </is>
      </c>
      <c r="E2488" t="inlineStr">
        <is>
          <t>NORRTÄLJE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28554-2023</t>
        </is>
      </c>
      <c r="B2489" s="1" t="n">
        <v>45103</v>
      </c>
      <c r="C2489" s="1" t="n">
        <v>45186</v>
      </c>
      <c r="D2489" t="inlineStr">
        <is>
          <t>STOCKHOLMS LÄN</t>
        </is>
      </c>
      <c r="E2489" t="inlineStr">
        <is>
          <t>SÖDERTÄLJE</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28700-2023</t>
        </is>
      </c>
      <c r="B2490" s="1" t="n">
        <v>45103</v>
      </c>
      <c r="C2490" s="1" t="n">
        <v>45186</v>
      </c>
      <c r="D2490" t="inlineStr">
        <is>
          <t>STOCKHOLMS LÄN</t>
        </is>
      </c>
      <c r="E2490" t="inlineStr">
        <is>
          <t>SÖDERTÄLJE</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28609-2023</t>
        </is>
      </c>
      <c r="B2491" s="1" t="n">
        <v>45103</v>
      </c>
      <c r="C2491" s="1" t="n">
        <v>45186</v>
      </c>
      <c r="D2491" t="inlineStr">
        <is>
          <t>STOCKHOLMS LÄN</t>
        </is>
      </c>
      <c r="E2491" t="inlineStr">
        <is>
          <t>SÖDERTÄLJE</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28502-2023</t>
        </is>
      </c>
      <c r="B2492" s="1" t="n">
        <v>45103</v>
      </c>
      <c r="C2492" s="1" t="n">
        <v>45186</v>
      </c>
      <c r="D2492" t="inlineStr">
        <is>
          <t>STOCKHOLMS LÄN</t>
        </is>
      </c>
      <c r="E2492" t="inlineStr">
        <is>
          <t>SÖDERTÄLJE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28695-2023</t>
        </is>
      </c>
      <c r="B2493" s="1" t="n">
        <v>45103</v>
      </c>
      <c r="C2493" s="1" t="n">
        <v>45186</v>
      </c>
      <c r="D2493" t="inlineStr">
        <is>
          <t>STOCKHOLMS LÄN</t>
        </is>
      </c>
      <c r="E2493" t="inlineStr">
        <is>
          <t>SÖDERTÄLJE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28516-2023</t>
        </is>
      </c>
      <c r="B2494" s="1" t="n">
        <v>45103</v>
      </c>
      <c r="C2494" s="1" t="n">
        <v>45186</v>
      </c>
      <c r="D2494" t="inlineStr">
        <is>
          <t>STOCKHOLMS LÄN</t>
        </is>
      </c>
      <c r="E2494" t="inlineStr">
        <is>
          <t>SÖDERTÄLJE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28566-2023</t>
        </is>
      </c>
      <c r="B2495" s="1" t="n">
        <v>45103</v>
      </c>
      <c r="C2495" s="1" t="n">
        <v>45186</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28698-2023</t>
        </is>
      </c>
      <c r="B2496" s="1" t="n">
        <v>45103</v>
      </c>
      <c r="C2496" s="1" t="n">
        <v>45186</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28816-2023</t>
        </is>
      </c>
      <c r="B2497" s="1" t="n">
        <v>45104</v>
      </c>
      <c r="C2497" s="1" t="n">
        <v>45186</v>
      </c>
      <c r="D2497" t="inlineStr">
        <is>
          <t>STOCKHOLMS LÄN</t>
        </is>
      </c>
      <c r="E2497" t="inlineStr">
        <is>
          <t>NORRTÄLJE</t>
        </is>
      </c>
      <c r="F2497" t="inlineStr">
        <is>
          <t>Kommuner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29003-2023</t>
        </is>
      </c>
      <c r="B2498" s="1" t="n">
        <v>45104</v>
      </c>
      <c r="C2498" s="1" t="n">
        <v>45186</v>
      </c>
      <c r="D2498" t="inlineStr">
        <is>
          <t>STOCKHOLMS LÄN</t>
        </is>
      </c>
      <c r="E2498" t="inlineStr">
        <is>
          <t>NORRTÄLJE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28809-2023</t>
        </is>
      </c>
      <c r="B2499" s="1" t="n">
        <v>45104</v>
      </c>
      <c r="C2499" s="1" t="n">
        <v>45186</v>
      </c>
      <c r="D2499" t="inlineStr">
        <is>
          <t>STOCKHOLMS LÄN</t>
        </is>
      </c>
      <c r="E2499" t="inlineStr">
        <is>
          <t>NORRTÄLJE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28981-2023</t>
        </is>
      </c>
      <c r="B2500" s="1" t="n">
        <v>45104</v>
      </c>
      <c r="C2500" s="1" t="n">
        <v>45186</v>
      </c>
      <c r="D2500" t="inlineStr">
        <is>
          <t>STOCKHOLMS LÄN</t>
        </is>
      </c>
      <c r="E2500" t="inlineStr">
        <is>
          <t>SÖDERTÄLJE</t>
        </is>
      </c>
      <c r="G2500" t="n">
        <v>15.3</v>
      </c>
      <c r="H2500" t="n">
        <v>0</v>
      </c>
      <c r="I2500" t="n">
        <v>0</v>
      </c>
      <c r="J2500" t="n">
        <v>0</v>
      </c>
      <c r="K2500" t="n">
        <v>0</v>
      </c>
      <c r="L2500" t="n">
        <v>0</v>
      </c>
      <c r="M2500" t="n">
        <v>0</v>
      </c>
      <c r="N2500" t="n">
        <v>0</v>
      </c>
      <c r="O2500" t="n">
        <v>0</v>
      </c>
      <c r="P2500" t="n">
        <v>0</v>
      </c>
      <c r="Q2500" t="n">
        <v>0</v>
      </c>
      <c r="R2500" s="2" t="inlineStr"/>
    </row>
    <row r="2501" ht="15" customHeight="1">
      <c r="A2501" t="inlineStr">
        <is>
          <t>A 28820-2023</t>
        </is>
      </c>
      <c r="B2501" s="1" t="n">
        <v>45104</v>
      </c>
      <c r="C2501" s="1" t="n">
        <v>45186</v>
      </c>
      <c r="D2501" t="inlineStr">
        <is>
          <t>STOCKHOLMS LÄN</t>
        </is>
      </c>
      <c r="E2501" t="inlineStr">
        <is>
          <t>NORRTÄLJE</t>
        </is>
      </c>
      <c r="F2501" t="inlineStr">
        <is>
          <t>Kommuner</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28958-2023</t>
        </is>
      </c>
      <c r="B2502" s="1" t="n">
        <v>45104</v>
      </c>
      <c r="C2502" s="1" t="n">
        <v>45186</v>
      </c>
      <c r="D2502" t="inlineStr">
        <is>
          <t>STOCKHOLMS LÄN</t>
        </is>
      </c>
      <c r="E2502" t="inlineStr">
        <is>
          <t>SÖDERTÄLJE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28813-2023</t>
        </is>
      </c>
      <c r="B2503" s="1" t="n">
        <v>45104</v>
      </c>
      <c r="C2503" s="1" t="n">
        <v>45186</v>
      </c>
      <c r="D2503" t="inlineStr">
        <is>
          <t>STOCKHOLMS LÄN</t>
        </is>
      </c>
      <c r="E2503" t="inlineStr">
        <is>
          <t>NORRTÄLJE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29254-2023</t>
        </is>
      </c>
      <c r="B2504" s="1" t="n">
        <v>45105</v>
      </c>
      <c r="C2504" s="1" t="n">
        <v>45186</v>
      </c>
      <c r="D2504" t="inlineStr">
        <is>
          <t>STOCKHOLMS LÄN</t>
        </is>
      </c>
      <c r="E2504" t="inlineStr">
        <is>
          <t>NORRTÄLJE</t>
        </is>
      </c>
      <c r="G2504" t="n">
        <v>5.9</v>
      </c>
      <c r="H2504" t="n">
        <v>0</v>
      </c>
      <c r="I2504" t="n">
        <v>0</v>
      </c>
      <c r="J2504" t="n">
        <v>0</v>
      </c>
      <c r="K2504" t="n">
        <v>0</v>
      </c>
      <c r="L2504" t="n">
        <v>0</v>
      </c>
      <c r="M2504" t="n">
        <v>0</v>
      </c>
      <c r="N2504" t="n">
        <v>0</v>
      </c>
      <c r="O2504" t="n">
        <v>0</v>
      </c>
      <c r="P2504" t="n">
        <v>0</v>
      </c>
      <c r="Q2504" t="n">
        <v>0</v>
      </c>
      <c r="R2504" s="2" t="inlineStr"/>
    </row>
    <row r="2505" ht="15" customHeight="1">
      <c r="A2505" t="inlineStr">
        <is>
          <t>A 29433-2023</t>
        </is>
      </c>
      <c r="B2505" s="1" t="n">
        <v>45106</v>
      </c>
      <c r="C2505" s="1" t="n">
        <v>45186</v>
      </c>
      <c r="D2505" t="inlineStr">
        <is>
          <t>STOCKHOLMS LÄN</t>
        </is>
      </c>
      <c r="E2505" t="inlineStr">
        <is>
          <t>NORRTÄLJE</t>
        </is>
      </c>
      <c r="F2505" t="inlineStr">
        <is>
          <t>Övriga Aktiebolag</t>
        </is>
      </c>
      <c r="G2505" t="n">
        <v>7.8</v>
      </c>
      <c r="H2505" t="n">
        <v>0</v>
      </c>
      <c r="I2505" t="n">
        <v>0</v>
      </c>
      <c r="J2505" t="n">
        <v>0</v>
      </c>
      <c r="K2505" t="n">
        <v>0</v>
      </c>
      <c r="L2505" t="n">
        <v>0</v>
      </c>
      <c r="M2505" t="n">
        <v>0</v>
      </c>
      <c r="N2505" t="n">
        <v>0</v>
      </c>
      <c r="O2505" t="n">
        <v>0</v>
      </c>
      <c r="P2505" t="n">
        <v>0</v>
      </c>
      <c r="Q2505" t="n">
        <v>0</v>
      </c>
      <c r="R2505" s="2" t="inlineStr"/>
    </row>
    <row r="2506" ht="15" customHeight="1">
      <c r="A2506" t="inlineStr">
        <is>
          <t>A 29705-2023</t>
        </is>
      </c>
      <c r="B2506" s="1" t="n">
        <v>45107</v>
      </c>
      <c r="C2506" s="1" t="n">
        <v>45186</v>
      </c>
      <c r="D2506" t="inlineStr">
        <is>
          <t>STOCKHOLMS LÄN</t>
        </is>
      </c>
      <c r="E2506" t="inlineStr">
        <is>
          <t>VALLENTUNA</t>
        </is>
      </c>
      <c r="G2506" t="n">
        <v>6.4</v>
      </c>
      <c r="H2506" t="n">
        <v>0</v>
      </c>
      <c r="I2506" t="n">
        <v>0</v>
      </c>
      <c r="J2506" t="n">
        <v>0</v>
      </c>
      <c r="K2506" t="n">
        <v>0</v>
      </c>
      <c r="L2506" t="n">
        <v>0</v>
      </c>
      <c r="M2506" t="n">
        <v>0</v>
      </c>
      <c r="N2506" t="n">
        <v>0</v>
      </c>
      <c r="O2506" t="n">
        <v>0</v>
      </c>
      <c r="P2506" t="n">
        <v>0</v>
      </c>
      <c r="Q2506" t="n">
        <v>0</v>
      </c>
      <c r="R2506" s="2" t="inlineStr"/>
    </row>
    <row r="2507" ht="15" customHeight="1">
      <c r="A2507" t="inlineStr">
        <is>
          <t>A 29704-2023</t>
        </is>
      </c>
      <c r="B2507" s="1" t="n">
        <v>45107</v>
      </c>
      <c r="C2507" s="1" t="n">
        <v>45186</v>
      </c>
      <c r="D2507" t="inlineStr">
        <is>
          <t>STOCKHOLMS LÄN</t>
        </is>
      </c>
      <c r="E2507" t="inlineStr">
        <is>
          <t>VALLENTUNA</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29710-2023</t>
        </is>
      </c>
      <c r="B2508" s="1" t="n">
        <v>45107</v>
      </c>
      <c r="C2508" s="1" t="n">
        <v>45186</v>
      </c>
      <c r="D2508" t="inlineStr">
        <is>
          <t>STOCKHOLMS LÄN</t>
        </is>
      </c>
      <c r="E2508" t="inlineStr">
        <is>
          <t>NORRTÄLJE</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30002-2023</t>
        </is>
      </c>
      <c r="B2509" s="1" t="n">
        <v>45109</v>
      </c>
      <c r="C2509" s="1" t="n">
        <v>45186</v>
      </c>
      <c r="D2509" t="inlineStr">
        <is>
          <t>STOCKHOLMS LÄN</t>
        </is>
      </c>
      <c r="E2509" t="inlineStr">
        <is>
          <t>VÄRMDÖ</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32420-2023</t>
        </is>
      </c>
      <c r="B2510" s="1" t="n">
        <v>45110</v>
      </c>
      <c r="C2510" s="1" t="n">
        <v>45186</v>
      </c>
      <c r="D2510" t="inlineStr">
        <is>
          <t>STOCKHOLMS LÄN</t>
        </is>
      </c>
      <c r="E2510" t="inlineStr">
        <is>
          <t>SIGTUNA</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30145-2023</t>
        </is>
      </c>
      <c r="B2511" s="1" t="n">
        <v>45110</v>
      </c>
      <c r="C2511" s="1" t="n">
        <v>45186</v>
      </c>
      <c r="D2511" t="inlineStr">
        <is>
          <t>STOCKHOLMS LÄN</t>
        </is>
      </c>
      <c r="E2511" t="inlineStr">
        <is>
          <t>SÖDERTÄLJE</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32426-2023</t>
        </is>
      </c>
      <c r="B2512" s="1" t="n">
        <v>45110</v>
      </c>
      <c r="C2512" s="1" t="n">
        <v>45186</v>
      </c>
      <c r="D2512" t="inlineStr">
        <is>
          <t>STOCKHOLMS LÄN</t>
        </is>
      </c>
      <c r="E2512" t="inlineStr">
        <is>
          <t>SIGTUNA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32424-2023</t>
        </is>
      </c>
      <c r="B2513" s="1" t="n">
        <v>45110</v>
      </c>
      <c r="C2513" s="1" t="n">
        <v>45186</v>
      </c>
      <c r="D2513" t="inlineStr">
        <is>
          <t>STOCKHOLMS LÄN</t>
        </is>
      </c>
      <c r="E2513" t="inlineStr">
        <is>
          <t>SIGTUNA</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30525-2023</t>
        </is>
      </c>
      <c r="B2514" s="1" t="n">
        <v>45111</v>
      </c>
      <c r="C2514" s="1" t="n">
        <v>45186</v>
      </c>
      <c r="D2514" t="inlineStr">
        <is>
          <t>STOCKHOLMS LÄN</t>
        </is>
      </c>
      <c r="E2514" t="inlineStr">
        <is>
          <t>NORRTÄLJE</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30425-2023</t>
        </is>
      </c>
      <c r="B2515" s="1" t="n">
        <v>45111</v>
      </c>
      <c r="C2515" s="1" t="n">
        <v>45186</v>
      </c>
      <c r="D2515" t="inlineStr">
        <is>
          <t>STOCKHOLMS LÄN</t>
        </is>
      </c>
      <c r="E2515" t="inlineStr">
        <is>
          <t>NORRTÄLJE</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30496-2023</t>
        </is>
      </c>
      <c r="B2516" s="1" t="n">
        <v>45111</v>
      </c>
      <c r="C2516" s="1" t="n">
        <v>45186</v>
      </c>
      <c r="D2516" t="inlineStr">
        <is>
          <t>STOCKHOLMS LÄN</t>
        </is>
      </c>
      <c r="E2516" t="inlineStr">
        <is>
          <t>NORRTÄLJE</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30571-2023</t>
        </is>
      </c>
      <c r="B2517" s="1" t="n">
        <v>45111</v>
      </c>
      <c r="C2517" s="1" t="n">
        <v>45186</v>
      </c>
      <c r="D2517" t="inlineStr">
        <is>
          <t>STOCKHOLMS LÄN</t>
        </is>
      </c>
      <c r="E2517" t="inlineStr">
        <is>
          <t>SIGTUNA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30424-2023</t>
        </is>
      </c>
      <c r="B2518" s="1" t="n">
        <v>45111</v>
      </c>
      <c r="C2518" s="1" t="n">
        <v>45186</v>
      </c>
      <c r="D2518" t="inlineStr">
        <is>
          <t>STOCKHOLMS LÄN</t>
        </is>
      </c>
      <c r="E2518" t="inlineStr">
        <is>
          <t>NORRTÄLJE</t>
        </is>
      </c>
      <c r="G2518" t="n">
        <v>6.3</v>
      </c>
      <c r="H2518" t="n">
        <v>0</v>
      </c>
      <c r="I2518" t="n">
        <v>0</v>
      </c>
      <c r="J2518" t="n">
        <v>0</v>
      </c>
      <c r="K2518" t="n">
        <v>0</v>
      </c>
      <c r="L2518" t="n">
        <v>0</v>
      </c>
      <c r="M2518" t="n">
        <v>0</v>
      </c>
      <c r="N2518" t="n">
        <v>0</v>
      </c>
      <c r="O2518" t="n">
        <v>0</v>
      </c>
      <c r="P2518" t="n">
        <v>0</v>
      </c>
      <c r="Q2518" t="n">
        <v>0</v>
      </c>
      <c r="R2518" s="2" t="inlineStr"/>
    </row>
    <row r="2519" ht="15" customHeight="1">
      <c r="A2519" t="inlineStr">
        <is>
          <t>A 30508-2023</t>
        </is>
      </c>
      <c r="B2519" s="1" t="n">
        <v>45111</v>
      </c>
      <c r="C2519" s="1" t="n">
        <v>45186</v>
      </c>
      <c r="D2519" t="inlineStr">
        <is>
          <t>STOCKHOLMS LÄN</t>
        </is>
      </c>
      <c r="E2519" t="inlineStr">
        <is>
          <t>NORRTÄLJE</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30516-2023</t>
        </is>
      </c>
      <c r="B2520" s="1" t="n">
        <v>45111</v>
      </c>
      <c r="C2520" s="1" t="n">
        <v>45186</v>
      </c>
      <c r="D2520" t="inlineStr">
        <is>
          <t>STOCKHOLMS LÄN</t>
        </is>
      </c>
      <c r="E2520" t="inlineStr">
        <is>
          <t>NORRTÄLJE</t>
        </is>
      </c>
      <c r="G2520" t="n">
        <v>6.8</v>
      </c>
      <c r="H2520" t="n">
        <v>0</v>
      </c>
      <c r="I2520" t="n">
        <v>0</v>
      </c>
      <c r="J2520" t="n">
        <v>0</v>
      </c>
      <c r="K2520" t="n">
        <v>0</v>
      </c>
      <c r="L2520" t="n">
        <v>0</v>
      </c>
      <c r="M2520" t="n">
        <v>0</v>
      </c>
      <c r="N2520" t="n">
        <v>0</v>
      </c>
      <c r="O2520" t="n">
        <v>0</v>
      </c>
      <c r="P2520" t="n">
        <v>0</v>
      </c>
      <c r="Q2520" t="n">
        <v>0</v>
      </c>
      <c r="R2520" s="2" t="inlineStr"/>
    </row>
    <row r="2521" ht="15" customHeight="1">
      <c r="A2521" t="inlineStr">
        <is>
          <t>A 30773-2023</t>
        </is>
      </c>
      <c r="B2521" s="1" t="n">
        <v>45112</v>
      </c>
      <c r="C2521" s="1" t="n">
        <v>45186</v>
      </c>
      <c r="D2521" t="inlineStr">
        <is>
          <t>STOCKHOLMS LÄN</t>
        </is>
      </c>
      <c r="E2521" t="inlineStr">
        <is>
          <t>NORRTÄLJE</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30663-2023</t>
        </is>
      </c>
      <c r="B2522" s="1" t="n">
        <v>45112</v>
      </c>
      <c r="C2522" s="1" t="n">
        <v>45186</v>
      </c>
      <c r="D2522" t="inlineStr">
        <is>
          <t>STOCKHOLMS LÄN</t>
        </is>
      </c>
      <c r="E2522" t="inlineStr">
        <is>
          <t>NORRTÄLJE</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30731-2023</t>
        </is>
      </c>
      <c r="B2523" s="1" t="n">
        <v>45112</v>
      </c>
      <c r="C2523" s="1" t="n">
        <v>45186</v>
      </c>
      <c r="D2523" t="inlineStr">
        <is>
          <t>STOCKHOLMS LÄN</t>
        </is>
      </c>
      <c r="E2523" t="inlineStr">
        <is>
          <t>NORRTÄLJE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30780-2023</t>
        </is>
      </c>
      <c r="B2524" s="1" t="n">
        <v>45112</v>
      </c>
      <c r="C2524" s="1" t="n">
        <v>45186</v>
      </c>
      <c r="D2524" t="inlineStr">
        <is>
          <t>STOCKHOLMS LÄN</t>
        </is>
      </c>
      <c r="E2524" t="inlineStr">
        <is>
          <t>NORRTÄLJE</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30910-2023</t>
        </is>
      </c>
      <c r="B2525" s="1" t="n">
        <v>45113</v>
      </c>
      <c r="C2525" s="1" t="n">
        <v>45186</v>
      </c>
      <c r="D2525" t="inlineStr">
        <is>
          <t>STOCKHOLMS LÄN</t>
        </is>
      </c>
      <c r="E2525" t="inlineStr">
        <is>
          <t>NYNÄSHAMN</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30917-2023</t>
        </is>
      </c>
      <c r="B2526" s="1" t="n">
        <v>45113</v>
      </c>
      <c r="C2526" s="1" t="n">
        <v>45186</v>
      </c>
      <c r="D2526" t="inlineStr">
        <is>
          <t>STOCKHOLMS LÄN</t>
        </is>
      </c>
      <c r="E2526" t="inlineStr">
        <is>
          <t>BOTKYRKA</t>
        </is>
      </c>
      <c r="F2526" t="inlineStr">
        <is>
          <t>Övriga Aktiebolag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30924-2023</t>
        </is>
      </c>
      <c r="B2527" s="1" t="n">
        <v>45113</v>
      </c>
      <c r="C2527" s="1" t="n">
        <v>45186</v>
      </c>
      <c r="D2527" t="inlineStr">
        <is>
          <t>STOCKHOLMS LÄN</t>
        </is>
      </c>
      <c r="E2527" t="inlineStr">
        <is>
          <t>NORRTÄLJE</t>
        </is>
      </c>
      <c r="F2527" t="inlineStr">
        <is>
          <t>Sveaskog</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33066-2023</t>
        </is>
      </c>
      <c r="B2528" s="1" t="n">
        <v>45113</v>
      </c>
      <c r="C2528" s="1" t="n">
        <v>45186</v>
      </c>
      <c r="D2528" t="inlineStr">
        <is>
          <t>STOCKHOLMS LÄN</t>
        </is>
      </c>
      <c r="E2528" t="inlineStr">
        <is>
          <t>UPPLANDS VÄSBY</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30923-2023</t>
        </is>
      </c>
      <c r="B2529" s="1" t="n">
        <v>45113</v>
      </c>
      <c r="C2529" s="1" t="n">
        <v>45186</v>
      </c>
      <c r="D2529" t="inlineStr">
        <is>
          <t>STOCKHOLMS LÄN</t>
        </is>
      </c>
      <c r="E2529" t="inlineStr">
        <is>
          <t>NORRTÄLJE</t>
        </is>
      </c>
      <c r="F2529" t="inlineStr">
        <is>
          <t>Sveaskog</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30921-2023</t>
        </is>
      </c>
      <c r="B2530" s="1" t="n">
        <v>45113</v>
      </c>
      <c r="C2530" s="1" t="n">
        <v>45186</v>
      </c>
      <c r="D2530" t="inlineStr">
        <is>
          <t>STOCKHOLMS LÄN</t>
        </is>
      </c>
      <c r="E2530" t="inlineStr">
        <is>
          <t>NORRTÄLJE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30925-2023</t>
        </is>
      </c>
      <c r="B2531" s="1" t="n">
        <v>45113</v>
      </c>
      <c r="C2531" s="1" t="n">
        <v>45186</v>
      </c>
      <c r="D2531" t="inlineStr">
        <is>
          <t>STOCKHOLMS LÄN</t>
        </is>
      </c>
      <c r="E2531" t="inlineStr">
        <is>
          <t>BOTKYRKA</t>
        </is>
      </c>
      <c r="F2531" t="inlineStr">
        <is>
          <t>Övriga Aktiebolag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31120-2023</t>
        </is>
      </c>
      <c r="B2532" s="1" t="n">
        <v>45113</v>
      </c>
      <c r="C2532" s="1" t="n">
        <v>45186</v>
      </c>
      <c r="D2532" t="inlineStr">
        <is>
          <t>STOCKHOLMS LÄN</t>
        </is>
      </c>
      <c r="E2532" t="inlineStr">
        <is>
          <t>UPPLANDS VÄSBY</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31134-2023</t>
        </is>
      </c>
      <c r="B2533" s="1" t="n">
        <v>45113</v>
      </c>
      <c r="C2533" s="1" t="n">
        <v>45186</v>
      </c>
      <c r="D2533" t="inlineStr">
        <is>
          <t>STOCKHOLMS LÄN</t>
        </is>
      </c>
      <c r="E2533" t="inlineStr">
        <is>
          <t>ÖSTERÅKER</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33069-2023</t>
        </is>
      </c>
      <c r="B2534" s="1" t="n">
        <v>45113</v>
      </c>
      <c r="C2534" s="1" t="n">
        <v>45186</v>
      </c>
      <c r="D2534" t="inlineStr">
        <is>
          <t>STOCKHOLMS LÄN</t>
        </is>
      </c>
      <c r="E2534" t="inlineStr">
        <is>
          <t>UPPLANDS VÄSBY</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31140-2023</t>
        </is>
      </c>
      <c r="B2535" s="1" t="n">
        <v>45113</v>
      </c>
      <c r="C2535" s="1" t="n">
        <v>45186</v>
      </c>
      <c r="D2535" t="inlineStr">
        <is>
          <t>STOCKHOLMS LÄN</t>
        </is>
      </c>
      <c r="E2535" t="inlineStr">
        <is>
          <t>NORRTÄLJE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31418-2023</t>
        </is>
      </c>
      <c r="B2536" s="1" t="n">
        <v>45114</v>
      </c>
      <c r="C2536" s="1" t="n">
        <v>45186</v>
      </c>
      <c r="D2536" t="inlineStr">
        <is>
          <t>STOCKHOLMS LÄN</t>
        </is>
      </c>
      <c r="E2536" t="inlineStr">
        <is>
          <t>NORRTÄLJE</t>
        </is>
      </c>
      <c r="G2536" t="n">
        <v>4.1</v>
      </c>
      <c r="H2536" t="n">
        <v>0</v>
      </c>
      <c r="I2536" t="n">
        <v>0</v>
      </c>
      <c r="J2536" t="n">
        <v>0</v>
      </c>
      <c r="K2536" t="n">
        <v>0</v>
      </c>
      <c r="L2536" t="n">
        <v>0</v>
      </c>
      <c r="M2536" t="n">
        <v>0</v>
      </c>
      <c r="N2536" t="n">
        <v>0</v>
      </c>
      <c r="O2536" t="n">
        <v>0</v>
      </c>
      <c r="P2536" t="n">
        <v>0</v>
      </c>
      <c r="Q2536" t="n">
        <v>0</v>
      </c>
      <c r="R2536" s="2" t="inlineStr"/>
    </row>
    <row r="2537" ht="15" customHeight="1">
      <c r="A2537" t="inlineStr">
        <is>
          <t>A 31716-2023</t>
        </is>
      </c>
      <c r="B2537" s="1" t="n">
        <v>45117</v>
      </c>
      <c r="C2537" s="1" t="n">
        <v>45186</v>
      </c>
      <c r="D2537" t="inlineStr">
        <is>
          <t>STOCKHOLMS LÄN</t>
        </is>
      </c>
      <c r="E2537" t="inlineStr">
        <is>
          <t>UPPLANDS-BRO</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31743-2023</t>
        </is>
      </c>
      <c r="B2538" s="1" t="n">
        <v>45117</v>
      </c>
      <c r="C2538" s="1" t="n">
        <v>45186</v>
      </c>
      <c r="D2538" t="inlineStr">
        <is>
          <t>STOCKHOLMS LÄN</t>
        </is>
      </c>
      <c r="E2538" t="inlineStr">
        <is>
          <t>SÖDERTÄLJE</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31842-2023</t>
        </is>
      </c>
      <c r="B2539" s="1" t="n">
        <v>45118</v>
      </c>
      <c r="C2539" s="1" t="n">
        <v>45186</v>
      </c>
      <c r="D2539" t="inlineStr">
        <is>
          <t>STOCKHOLMS LÄN</t>
        </is>
      </c>
      <c r="E2539" t="inlineStr">
        <is>
          <t>NYNÄSHAMN</t>
        </is>
      </c>
      <c r="F2539" t="inlineStr">
        <is>
          <t>Kommuner</t>
        </is>
      </c>
      <c r="G2539" t="n">
        <v>3.8</v>
      </c>
      <c r="H2539" t="n">
        <v>0</v>
      </c>
      <c r="I2539" t="n">
        <v>0</v>
      </c>
      <c r="J2539" t="n">
        <v>0</v>
      </c>
      <c r="K2539" t="n">
        <v>0</v>
      </c>
      <c r="L2539" t="n">
        <v>0</v>
      </c>
      <c r="M2539" t="n">
        <v>0</v>
      </c>
      <c r="N2539" t="n">
        <v>0</v>
      </c>
      <c r="O2539" t="n">
        <v>0</v>
      </c>
      <c r="P2539" t="n">
        <v>0</v>
      </c>
      <c r="Q2539" t="n">
        <v>0</v>
      </c>
      <c r="R2539" s="2" t="inlineStr"/>
    </row>
    <row r="2540" ht="15" customHeight="1">
      <c r="A2540" t="inlineStr">
        <is>
          <t>A 31812-2023</t>
        </is>
      </c>
      <c r="B2540" s="1" t="n">
        <v>45118</v>
      </c>
      <c r="C2540" s="1" t="n">
        <v>45186</v>
      </c>
      <c r="D2540" t="inlineStr">
        <is>
          <t>STOCKHOLMS LÄN</t>
        </is>
      </c>
      <c r="E2540" t="inlineStr">
        <is>
          <t>NORRTÄLJE</t>
        </is>
      </c>
      <c r="F2540" t="inlineStr">
        <is>
          <t>Kyrkan</t>
        </is>
      </c>
      <c r="G2540" t="n">
        <v>6.3</v>
      </c>
      <c r="H2540" t="n">
        <v>0</v>
      </c>
      <c r="I2540" t="n">
        <v>0</v>
      </c>
      <c r="J2540" t="n">
        <v>0</v>
      </c>
      <c r="K2540" t="n">
        <v>0</v>
      </c>
      <c r="L2540" t="n">
        <v>0</v>
      </c>
      <c r="M2540" t="n">
        <v>0</v>
      </c>
      <c r="N2540" t="n">
        <v>0</v>
      </c>
      <c r="O2540" t="n">
        <v>0</v>
      </c>
      <c r="P2540" t="n">
        <v>0</v>
      </c>
      <c r="Q2540" t="n">
        <v>0</v>
      </c>
      <c r="R2540" s="2" t="inlineStr"/>
    </row>
    <row r="2541" ht="15" customHeight="1">
      <c r="A2541" t="inlineStr">
        <is>
          <t>A 31827-2023</t>
        </is>
      </c>
      <c r="B2541" s="1" t="n">
        <v>45118</v>
      </c>
      <c r="C2541" s="1" t="n">
        <v>45186</v>
      </c>
      <c r="D2541" t="inlineStr">
        <is>
          <t>STOCKHOLMS LÄN</t>
        </is>
      </c>
      <c r="E2541" t="inlineStr">
        <is>
          <t>NORRTÄLJE</t>
        </is>
      </c>
      <c r="F2541" t="inlineStr">
        <is>
          <t>Kyrkan</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31832-2023</t>
        </is>
      </c>
      <c r="B2542" s="1" t="n">
        <v>45118</v>
      </c>
      <c r="C2542" s="1" t="n">
        <v>45186</v>
      </c>
      <c r="D2542" t="inlineStr">
        <is>
          <t>STOCKHOLMS LÄN</t>
        </is>
      </c>
      <c r="E2542" t="inlineStr">
        <is>
          <t>NORRTÄLJE</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32040-2023</t>
        </is>
      </c>
      <c r="B2543" s="1" t="n">
        <v>45119</v>
      </c>
      <c r="C2543" s="1" t="n">
        <v>45186</v>
      </c>
      <c r="D2543" t="inlineStr">
        <is>
          <t>STOCKHOLMS LÄN</t>
        </is>
      </c>
      <c r="E2543" t="inlineStr">
        <is>
          <t>SÖDERTÄLJE</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32044-2023</t>
        </is>
      </c>
      <c r="B2544" s="1" t="n">
        <v>45119</v>
      </c>
      <c r="C2544" s="1" t="n">
        <v>45186</v>
      </c>
      <c r="D2544" t="inlineStr">
        <is>
          <t>STOCKHOLMS LÄN</t>
        </is>
      </c>
      <c r="E2544" t="inlineStr">
        <is>
          <t>SÖDERTÄLJE</t>
        </is>
      </c>
      <c r="F2544" t="inlineStr">
        <is>
          <t>Sveaskog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32092-2023</t>
        </is>
      </c>
      <c r="B2545" s="1" t="n">
        <v>45119</v>
      </c>
      <c r="C2545" s="1" t="n">
        <v>45186</v>
      </c>
      <c r="D2545" t="inlineStr">
        <is>
          <t>STOCKHOLMS LÄN</t>
        </is>
      </c>
      <c r="E2545" t="inlineStr">
        <is>
          <t>NYNÄSHAMN</t>
        </is>
      </c>
      <c r="F2545" t="inlineStr">
        <is>
          <t>Kommuner</t>
        </is>
      </c>
      <c r="G2545" t="n">
        <v>12.4</v>
      </c>
      <c r="H2545" t="n">
        <v>0</v>
      </c>
      <c r="I2545" t="n">
        <v>0</v>
      </c>
      <c r="J2545" t="n">
        <v>0</v>
      </c>
      <c r="K2545" t="n">
        <v>0</v>
      </c>
      <c r="L2545" t="n">
        <v>0</v>
      </c>
      <c r="M2545" t="n">
        <v>0</v>
      </c>
      <c r="N2545" t="n">
        <v>0</v>
      </c>
      <c r="O2545" t="n">
        <v>0</v>
      </c>
      <c r="P2545" t="n">
        <v>0</v>
      </c>
      <c r="Q2545" t="n">
        <v>0</v>
      </c>
      <c r="R2545" s="2" t="inlineStr"/>
    </row>
    <row r="2546" ht="15" customHeight="1">
      <c r="A2546" t="inlineStr">
        <is>
          <t>A 32011-2023</t>
        </is>
      </c>
      <c r="B2546" s="1" t="n">
        <v>45119</v>
      </c>
      <c r="C2546" s="1" t="n">
        <v>45186</v>
      </c>
      <c r="D2546" t="inlineStr">
        <is>
          <t>STOCKHOLMS LÄN</t>
        </is>
      </c>
      <c r="E2546" t="inlineStr">
        <is>
          <t>NYNÄSHAMN</t>
        </is>
      </c>
      <c r="F2546" t="inlineStr">
        <is>
          <t>Kommuner</t>
        </is>
      </c>
      <c r="G2546" t="n">
        <v>5.4</v>
      </c>
      <c r="H2546" t="n">
        <v>0</v>
      </c>
      <c r="I2546" t="n">
        <v>0</v>
      </c>
      <c r="J2546" t="n">
        <v>0</v>
      </c>
      <c r="K2546" t="n">
        <v>0</v>
      </c>
      <c r="L2546" t="n">
        <v>0</v>
      </c>
      <c r="M2546" t="n">
        <v>0</v>
      </c>
      <c r="N2546" t="n">
        <v>0</v>
      </c>
      <c r="O2546" t="n">
        <v>0</v>
      </c>
      <c r="P2546" t="n">
        <v>0</v>
      </c>
      <c r="Q2546" t="n">
        <v>0</v>
      </c>
      <c r="R2546" s="2" t="inlineStr"/>
    </row>
    <row r="2547" ht="15" customHeight="1">
      <c r="A2547" t="inlineStr">
        <is>
          <t>A 32047-2023</t>
        </is>
      </c>
      <c r="B2547" s="1" t="n">
        <v>45119</v>
      </c>
      <c r="C2547" s="1" t="n">
        <v>45186</v>
      </c>
      <c r="D2547" t="inlineStr">
        <is>
          <t>STOCKHOLMS LÄN</t>
        </is>
      </c>
      <c r="E2547" t="inlineStr">
        <is>
          <t>SÖDERTÄLJE</t>
        </is>
      </c>
      <c r="F2547" t="inlineStr">
        <is>
          <t>Sveaskog</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32074-2023</t>
        </is>
      </c>
      <c r="B2548" s="1" t="n">
        <v>45119</v>
      </c>
      <c r="C2548" s="1" t="n">
        <v>45186</v>
      </c>
      <c r="D2548" t="inlineStr">
        <is>
          <t>STOCKHOLMS LÄN</t>
        </is>
      </c>
      <c r="E2548" t="inlineStr">
        <is>
          <t>NYNÄSHAMN</t>
        </is>
      </c>
      <c r="F2548" t="inlineStr">
        <is>
          <t>Kommuner</t>
        </is>
      </c>
      <c r="G2548" t="n">
        <v>13.1</v>
      </c>
      <c r="H2548" t="n">
        <v>0</v>
      </c>
      <c r="I2548" t="n">
        <v>0</v>
      </c>
      <c r="J2548" t="n">
        <v>0</v>
      </c>
      <c r="K2548" t="n">
        <v>0</v>
      </c>
      <c r="L2548" t="n">
        <v>0</v>
      </c>
      <c r="M2548" t="n">
        <v>0</v>
      </c>
      <c r="N2548" t="n">
        <v>0</v>
      </c>
      <c r="O2548" t="n">
        <v>0</v>
      </c>
      <c r="P2548" t="n">
        <v>0</v>
      </c>
      <c r="Q2548" t="n">
        <v>0</v>
      </c>
      <c r="R2548" s="2" t="inlineStr"/>
    </row>
    <row r="2549" ht="15" customHeight="1">
      <c r="A2549" t="inlineStr">
        <is>
          <t>A 32458-2023</t>
        </is>
      </c>
      <c r="B2549" s="1" t="n">
        <v>45120</v>
      </c>
      <c r="C2549" s="1" t="n">
        <v>45186</v>
      </c>
      <c r="D2549" t="inlineStr">
        <is>
          <t>STOCKHOLMS LÄN</t>
        </is>
      </c>
      <c r="E2549" t="inlineStr">
        <is>
          <t>VÄRMDÖ</t>
        </is>
      </c>
      <c r="G2549" t="n">
        <v>12.5</v>
      </c>
      <c r="H2549" t="n">
        <v>0</v>
      </c>
      <c r="I2549" t="n">
        <v>0</v>
      </c>
      <c r="J2549" t="n">
        <v>0</v>
      </c>
      <c r="K2549" t="n">
        <v>0</v>
      </c>
      <c r="L2549" t="n">
        <v>0</v>
      </c>
      <c r="M2549" t="n">
        <v>0</v>
      </c>
      <c r="N2549" t="n">
        <v>0</v>
      </c>
      <c r="O2549" t="n">
        <v>0</v>
      </c>
      <c r="P2549" t="n">
        <v>0</v>
      </c>
      <c r="Q2549" t="n">
        <v>0</v>
      </c>
      <c r="R2549" s="2" t="inlineStr"/>
    </row>
    <row r="2550" ht="15" customHeight="1">
      <c r="A2550" t="inlineStr">
        <is>
          <t>A 32455-2023</t>
        </is>
      </c>
      <c r="B2550" s="1" t="n">
        <v>45120</v>
      </c>
      <c r="C2550" s="1" t="n">
        <v>45186</v>
      </c>
      <c r="D2550" t="inlineStr">
        <is>
          <t>STOCKHOLMS LÄN</t>
        </is>
      </c>
      <c r="E2550" t="inlineStr">
        <is>
          <t>VÄRMDÖ</t>
        </is>
      </c>
      <c r="G2550" t="n">
        <v>4.1</v>
      </c>
      <c r="H2550" t="n">
        <v>0</v>
      </c>
      <c r="I2550" t="n">
        <v>0</v>
      </c>
      <c r="J2550" t="n">
        <v>0</v>
      </c>
      <c r="K2550" t="n">
        <v>0</v>
      </c>
      <c r="L2550" t="n">
        <v>0</v>
      </c>
      <c r="M2550" t="n">
        <v>0</v>
      </c>
      <c r="N2550" t="n">
        <v>0</v>
      </c>
      <c r="O2550" t="n">
        <v>0</v>
      </c>
      <c r="P2550" t="n">
        <v>0</v>
      </c>
      <c r="Q2550" t="n">
        <v>0</v>
      </c>
      <c r="R2550" s="2" t="inlineStr"/>
    </row>
    <row r="2551" ht="15" customHeight="1">
      <c r="A2551" t="inlineStr">
        <is>
          <t>A 32595-2023</t>
        </is>
      </c>
      <c r="B2551" s="1" t="n">
        <v>45121</v>
      </c>
      <c r="C2551" s="1" t="n">
        <v>45186</v>
      </c>
      <c r="D2551" t="inlineStr">
        <is>
          <t>STOCKHOLMS LÄN</t>
        </is>
      </c>
      <c r="E2551" t="inlineStr">
        <is>
          <t>NORRTÄLJE</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32621-2023</t>
        </is>
      </c>
      <c r="B2552" s="1" t="n">
        <v>45121</v>
      </c>
      <c r="C2552" s="1" t="n">
        <v>45186</v>
      </c>
      <c r="D2552" t="inlineStr">
        <is>
          <t>STOCKHOLMS LÄN</t>
        </is>
      </c>
      <c r="E2552" t="inlineStr">
        <is>
          <t>NORRTÄLJE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33792-2023</t>
        </is>
      </c>
      <c r="B2553" s="1" t="n">
        <v>45121</v>
      </c>
      <c r="C2553" s="1" t="n">
        <v>45186</v>
      </c>
      <c r="D2553" t="inlineStr">
        <is>
          <t>STOCKHOLMS LÄN</t>
        </is>
      </c>
      <c r="E2553" t="inlineStr">
        <is>
          <t>HANINGE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33958-2023</t>
        </is>
      </c>
      <c r="B2554" s="1" t="n">
        <v>45124</v>
      </c>
      <c r="C2554" s="1" t="n">
        <v>45186</v>
      </c>
      <c r="D2554" t="inlineStr">
        <is>
          <t>STOCKHOLMS LÄN</t>
        </is>
      </c>
      <c r="E2554" t="inlineStr">
        <is>
          <t>VÄRMDÖ</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32917-2023</t>
        </is>
      </c>
      <c r="B2555" s="1" t="n">
        <v>45125</v>
      </c>
      <c r="C2555" s="1" t="n">
        <v>45186</v>
      </c>
      <c r="D2555" t="inlineStr">
        <is>
          <t>STOCKHOLMS LÄN</t>
        </is>
      </c>
      <c r="E2555" t="inlineStr">
        <is>
          <t>NYNÄSHAMN</t>
        </is>
      </c>
      <c r="G2555" t="n">
        <v>6.3</v>
      </c>
      <c r="H2555" t="n">
        <v>0</v>
      </c>
      <c r="I2555" t="n">
        <v>0</v>
      </c>
      <c r="J2555" t="n">
        <v>0</v>
      </c>
      <c r="K2555" t="n">
        <v>0</v>
      </c>
      <c r="L2555" t="n">
        <v>0</v>
      </c>
      <c r="M2555" t="n">
        <v>0</v>
      </c>
      <c r="N2555" t="n">
        <v>0</v>
      </c>
      <c r="O2555" t="n">
        <v>0</v>
      </c>
      <c r="P2555" t="n">
        <v>0</v>
      </c>
      <c r="Q2555" t="n">
        <v>0</v>
      </c>
      <c r="R2555" s="2" t="inlineStr"/>
    </row>
    <row r="2556" ht="15" customHeight="1">
      <c r="A2556" t="inlineStr">
        <is>
          <t>A 33025-2023</t>
        </is>
      </c>
      <c r="B2556" s="1" t="n">
        <v>45125</v>
      </c>
      <c r="C2556" s="1" t="n">
        <v>45186</v>
      </c>
      <c r="D2556" t="inlineStr">
        <is>
          <t>STOCKHOLMS LÄN</t>
        </is>
      </c>
      <c r="E2556" t="inlineStr">
        <is>
          <t>NORRTÄLJE</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33130-2023</t>
        </is>
      </c>
      <c r="B2557" s="1" t="n">
        <v>45126</v>
      </c>
      <c r="C2557" s="1" t="n">
        <v>45186</v>
      </c>
      <c r="D2557" t="inlineStr">
        <is>
          <t>STOCKHOLMS LÄN</t>
        </is>
      </c>
      <c r="E2557" t="inlineStr">
        <is>
          <t>NORRTÄLJE</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33164-2023</t>
        </is>
      </c>
      <c r="B2558" s="1" t="n">
        <v>45126</v>
      </c>
      <c r="C2558" s="1" t="n">
        <v>45186</v>
      </c>
      <c r="D2558" t="inlineStr">
        <is>
          <t>STOCKHOLMS LÄN</t>
        </is>
      </c>
      <c r="E2558" t="inlineStr">
        <is>
          <t>VÄRMDÖ</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33167-2023</t>
        </is>
      </c>
      <c r="B2559" s="1" t="n">
        <v>45126</v>
      </c>
      <c r="C2559" s="1" t="n">
        <v>45186</v>
      </c>
      <c r="D2559" t="inlineStr">
        <is>
          <t>STOCKHOLMS LÄN</t>
        </is>
      </c>
      <c r="E2559" t="inlineStr">
        <is>
          <t>VÄRMDÖ</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34171-2023</t>
        </is>
      </c>
      <c r="B2560" s="1" t="n">
        <v>45126</v>
      </c>
      <c r="C2560" s="1" t="n">
        <v>45186</v>
      </c>
      <c r="D2560" t="inlineStr">
        <is>
          <t>STOCKHOLMS LÄN</t>
        </is>
      </c>
      <c r="E2560" t="inlineStr">
        <is>
          <t>HANINGE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33226-2023</t>
        </is>
      </c>
      <c r="B2561" s="1" t="n">
        <v>45127</v>
      </c>
      <c r="C2561" s="1" t="n">
        <v>45186</v>
      </c>
      <c r="D2561" t="inlineStr">
        <is>
          <t>STOCKHOLMS LÄN</t>
        </is>
      </c>
      <c r="E2561" t="inlineStr">
        <is>
          <t>NORRTÄLJE</t>
        </is>
      </c>
      <c r="F2561" t="inlineStr">
        <is>
          <t>Holmen skog AB</t>
        </is>
      </c>
      <c r="G2561" t="n">
        <v>8.199999999999999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33353-2023</t>
        </is>
      </c>
      <c r="B2562" s="1" t="n">
        <v>45128</v>
      </c>
      <c r="C2562" s="1" t="n">
        <v>45186</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33646-2023</t>
        </is>
      </c>
      <c r="B2563" s="1" t="n">
        <v>45132</v>
      </c>
      <c r="C2563" s="1" t="n">
        <v>45186</v>
      </c>
      <c r="D2563" t="inlineStr">
        <is>
          <t>STOCKHOLMS LÄN</t>
        </is>
      </c>
      <c r="E2563" t="inlineStr">
        <is>
          <t>NORRTÄLJE</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33641-2023</t>
        </is>
      </c>
      <c r="B2564" s="1" t="n">
        <v>45132</v>
      </c>
      <c r="C2564" s="1" t="n">
        <v>45186</v>
      </c>
      <c r="D2564" t="inlineStr">
        <is>
          <t>STOCKHOLMS LÄN</t>
        </is>
      </c>
      <c r="E2564" t="inlineStr">
        <is>
          <t>NORRTÄLJE</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34441-2023</t>
        </is>
      </c>
      <c r="B2565" s="1" t="n">
        <v>45139</v>
      </c>
      <c r="C2565" s="1" t="n">
        <v>45186</v>
      </c>
      <c r="D2565" t="inlineStr">
        <is>
          <t>STOCKHOLMS LÄN</t>
        </is>
      </c>
      <c r="E2565" t="inlineStr">
        <is>
          <t>VALLENTUNA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34460-2023</t>
        </is>
      </c>
      <c r="B2566" s="1" t="n">
        <v>45139</v>
      </c>
      <c r="C2566" s="1" t="n">
        <v>45186</v>
      </c>
      <c r="D2566" t="inlineStr">
        <is>
          <t>STOCKHOLMS LÄN</t>
        </is>
      </c>
      <c r="E2566" t="inlineStr">
        <is>
          <t>VALLENTUNA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34462-2023</t>
        </is>
      </c>
      <c r="B2567" s="1" t="n">
        <v>45139</v>
      </c>
      <c r="C2567" s="1" t="n">
        <v>45186</v>
      </c>
      <c r="D2567" t="inlineStr">
        <is>
          <t>STOCKHOLMS LÄN</t>
        </is>
      </c>
      <c r="E2567" t="inlineStr">
        <is>
          <t>NORRTÄLJE</t>
        </is>
      </c>
      <c r="G2567" t="n">
        <v>4.8</v>
      </c>
      <c r="H2567" t="n">
        <v>0</v>
      </c>
      <c r="I2567" t="n">
        <v>0</v>
      </c>
      <c r="J2567" t="n">
        <v>0</v>
      </c>
      <c r="K2567" t="n">
        <v>0</v>
      </c>
      <c r="L2567" t="n">
        <v>0</v>
      </c>
      <c r="M2567" t="n">
        <v>0</v>
      </c>
      <c r="N2567" t="n">
        <v>0</v>
      </c>
      <c r="O2567" t="n">
        <v>0</v>
      </c>
      <c r="P2567" t="n">
        <v>0</v>
      </c>
      <c r="Q2567" t="n">
        <v>0</v>
      </c>
      <c r="R2567" s="2" t="inlineStr"/>
    </row>
    <row r="2568" ht="15" customHeight="1">
      <c r="A2568" t="inlineStr">
        <is>
          <t>A 34385-2023</t>
        </is>
      </c>
      <c r="B2568" s="1" t="n">
        <v>45139</v>
      </c>
      <c r="C2568" s="1" t="n">
        <v>45186</v>
      </c>
      <c r="D2568" t="inlineStr">
        <is>
          <t>STOCKHOLMS LÄN</t>
        </is>
      </c>
      <c r="E2568" t="inlineStr">
        <is>
          <t>NYNÄSHAMN</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34458-2023</t>
        </is>
      </c>
      <c r="B2569" s="1" t="n">
        <v>45139</v>
      </c>
      <c r="C2569" s="1" t="n">
        <v>45186</v>
      </c>
      <c r="D2569" t="inlineStr">
        <is>
          <t>STOCKHOLMS LÄN</t>
        </is>
      </c>
      <c r="E2569" t="inlineStr">
        <is>
          <t>VALLENTUNA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34445-2023</t>
        </is>
      </c>
      <c r="B2570" s="1" t="n">
        <v>45139</v>
      </c>
      <c r="C2570" s="1" t="n">
        <v>45186</v>
      </c>
      <c r="D2570" t="inlineStr">
        <is>
          <t>STOCKHOLMS LÄN</t>
        </is>
      </c>
      <c r="E2570" t="inlineStr">
        <is>
          <t>VALLENTUNA</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34461-2023</t>
        </is>
      </c>
      <c r="B2571" s="1" t="n">
        <v>45139</v>
      </c>
      <c r="C2571" s="1" t="n">
        <v>45186</v>
      </c>
      <c r="D2571" t="inlineStr">
        <is>
          <t>STOCKHOLMS LÄN</t>
        </is>
      </c>
      <c r="E2571" t="inlineStr">
        <is>
          <t>NORRTÄLJE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34660-2023</t>
        </is>
      </c>
      <c r="B2572" s="1" t="n">
        <v>45140</v>
      </c>
      <c r="C2572" s="1" t="n">
        <v>45186</v>
      </c>
      <c r="D2572" t="inlineStr">
        <is>
          <t>STOCKHOLMS LÄN</t>
        </is>
      </c>
      <c r="E2572" t="inlineStr">
        <is>
          <t>NYNÄSHAMN</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34825-2023</t>
        </is>
      </c>
      <c r="B2573" s="1" t="n">
        <v>45141</v>
      </c>
      <c r="C2573" s="1" t="n">
        <v>45186</v>
      </c>
      <c r="D2573" t="inlineStr">
        <is>
          <t>STOCKHOLMS LÄN</t>
        </is>
      </c>
      <c r="E2573" t="inlineStr">
        <is>
          <t>NORRTÄLJE</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34880-2023</t>
        </is>
      </c>
      <c r="B2574" s="1" t="n">
        <v>45141</v>
      </c>
      <c r="C2574" s="1" t="n">
        <v>45186</v>
      </c>
      <c r="D2574" t="inlineStr">
        <is>
          <t>STOCKHOLMS LÄN</t>
        </is>
      </c>
      <c r="E2574" t="inlineStr">
        <is>
          <t>VAXHOLM</t>
        </is>
      </c>
      <c r="F2574" t="inlineStr">
        <is>
          <t>Övriga statliga verk och myndigheter</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35200-2023</t>
        </is>
      </c>
      <c r="B2575" s="1" t="n">
        <v>45145</v>
      </c>
      <c r="C2575" s="1" t="n">
        <v>45186</v>
      </c>
      <c r="D2575" t="inlineStr">
        <is>
          <t>STOCKHOLMS LÄN</t>
        </is>
      </c>
      <c r="E2575" t="inlineStr">
        <is>
          <t>SÖDERTÄLJE</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35113-2023</t>
        </is>
      </c>
      <c r="B2576" s="1" t="n">
        <v>45145</v>
      </c>
      <c r="C2576" s="1" t="n">
        <v>45186</v>
      </c>
      <c r="D2576" t="inlineStr">
        <is>
          <t>STOCKHOLMS LÄN</t>
        </is>
      </c>
      <c r="E2576" t="inlineStr">
        <is>
          <t>SÖDERTÄLJE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35145-2023</t>
        </is>
      </c>
      <c r="B2577" s="1" t="n">
        <v>45145</v>
      </c>
      <c r="C2577" s="1" t="n">
        <v>45186</v>
      </c>
      <c r="D2577" t="inlineStr">
        <is>
          <t>STOCKHOLMS LÄN</t>
        </is>
      </c>
      <c r="E2577" t="inlineStr">
        <is>
          <t>SÖDERTÄLJE</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35418-2023</t>
        </is>
      </c>
      <c r="B2578" s="1" t="n">
        <v>45146</v>
      </c>
      <c r="C2578" s="1" t="n">
        <v>45186</v>
      </c>
      <c r="D2578" t="inlineStr">
        <is>
          <t>STOCKHOLMS LÄN</t>
        </is>
      </c>
      <c r="E2578" t="inlineStr">
        <is>
          <t>SÖDERTÄLJE</t>
        </is>
      </c>
      <c r="F2578" t="inlineStr">
        <is>
          <t>Kommuner</t>
        </is>
      </c>
      <c r="G2578" t="n">
        <v>6</v>
      </c>
      <c r="H2578" t="n">
        <v>0</v>
      </c>
      <c r="I2578" t="n">
        <v>0</v>
      </c>
      <c r="J2578" t="n">
        <v>0</v>
      </c>
      <c r="K2578" t="n">
        <v>0</v>
      </c>
      <c r="L2578" t="n">
        <v>0</v>
      </c>
      <c r="M2578" t="n">
        <v>0</v>
      </c>
      <c r="N2578" t="n">
        <v>0</v>
      </c>
      <c r="O2578" t="n">
        <v>0</v>
      </c>
      <c r="P2578" t="n">
        <v>0</v>
      </c>
      <c r="Q2578" t="n">
        <v>0</v>
      </c>
      <c r="R2578" s="2" t="inlineStr"/>
    </row>
    <row r="2579" ht="15" customHeight="1">
      <c r="A2579" t="inlineStr">
        <is>
          <t>A 35438-2023</t>
        </is>
      </c>
      <c r="B2579" s="1" t="n">
        <v>45146</v>
      </c>
      <c r="C2579" s="1" t="n">
        <v>45186</v>
      </c>
      <c r="D2579" t="inlineStr">
        <is>
          <t>STOCKHOLMS LÄN</t>
        </is>
      </c>
      <c r="E2579" t="inlineStr">
        <is>
          <t>NORRTÄLJE</t>
        </is>
      </c>
      <c r="F2579" t="inlineStr">
        <is>
          <t>Kommuner</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35704-2023</t>
        </is>
      </c>
      <c r="B2580" s="1" t="n">
        <v>45147</v>
      </c>
      <c r="C2580" s="1" t="n">
        <v>45186</v>
      </c>
      <c r="D2580" t="inlineStr">
        <is>
          <t>STOCKHOLMS LÄN</t>
        </is>
      </c>
      <c r="E2580" t="inlineStr">
        <is>
          <t>NORRTÄLJE</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35696-2023</t>
        </is>
      </c>
      <c r="B2581" s="1" t="n">
        <v>45147</v>
      </c>
      <c r="C2581" s="1" t="n">
        <v>45186</v>
      </c>
      <c r="D2581" t="inlineStr">
        <is>
          <t>STOCKHOLMS LÄN</t>
        </is>
      </c>
      <c r="E2581" t="inlineStr">
        <is>
          <t>NORRTÄLJE</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35702-2023</t>
        </is>
      </c>
      <c r="B2582" s="1" t="n">
        <v>45147</v>
      </c>
      <c r="C2582" s="1" t="n">
        <v>45186</v>
      </c>
      <c r="D2582" t="inlineStr">
        <is>
          <t>STOCKHOLMS LÄN</t>
        </is>
      </c>
      <c r="E2582" t="inlineStr">
        <is>
          <t>NORRTÄLJE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35838-2023</t>
        </is>
      </c>
      <c r="B2583" s="1" t="n">
        <v>45147</v>
      </c>
      <c r="C2583" s="1" t="n">
        <v>45186</v>
      </c>
      <c r="D2583" t="inlineStr">
        <is>
          <t>STOCKHOLMS LÄN</t>
        </is>
      </c>
      <c r="E2583" t="inlineStr">
        <is>
          <t>VAXHOLM</t>
        </is>
      </c>
      <c r="F2583" t="inlineStr">
        <is>
          <t>Övriga statliga verk och myndigheter</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35698-2023</t>
        </is>
      </c>
      <c r="B2584" s="1" t="n">
        <v>45147</v>
      </c>
      <c r="C2584" s="1" t="n">
        <v>45186</v>
      </c>
      <c r="D2584" t="inlineStr">
        <is>
          <t>STOCKHOLMS LÄN</t>
        </is>
      </c>
      <c r="E2584" t="inlineStr">
        <is>
          <t>NORRTÄLJE</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35554-2023</t>
        </is>
      </c>
      <c r="B2585" s="1" t="n">
        <v>45147</v>
      </c>
      <c r="C2585" s="1" t="n">
        <v>45186</v>
      </c>
      <c r="D2585" t="inlineStr">
        <is>
          <t>STOCKHOLMS LÄN</t>
        </is>
      </c>
      <c r="E2585" t="inlineStr">
        <is>
          <t>VÄRMDÖ</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35700-2023</t>
        </is>
      </c>
      <c r="B2586" s="1" t="n">
        <v>45147</v>
      </c>
      <c r="C2586" s="1" t="n">
        <v>45186</v>
      </c>
      <c r="D2586" t="inlineStr">
        <is>
          <t>STOCKHOLMS LÄN</t>
        </is>
      </c>
      <c r="E2586" t="inlineStr">
        <is>
          <t>NORRTÄLJE</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35823-2023</t>
        </is>
      </c>
      <c r="B2587" s="1" t="n">
        <v>45148</v>
      </c>
      <c r="C2587" s="1" t="n">
        <v>45186</v>
      </c>
      <c r="D2587" t="inlineStr">
        <is>
          <t>STOCKHOLMS LÄN</t>
        </is>
      </c>
      <c r="E2587" t="inlineStr">
        <is>
          <t>NORRTÄLJE</t>
        </is>
      </c>
      <c r="G2587" t="n">
        <v>6.4</v>
      </c>
      <c r="H2587" t="n">
        <v>0</v>
      </c>
      <c r="I2587" t="n">
        <v>0</v>
      </c>
      <c r="J2587" t="n">
        <v>0</v>
      </c>
      <c r="K2587" t="n">
        <v>0</v>
      </c>
      <c r="L2587" t="n">
        <v>0</v>
      </c>
      <c r="M2587" t="n">
        <v>0</v>
      </c>
      <c r="N2587" t="n">
        <v>0</v>
      </c>
      <c r="O2587" t="n">
        <v>0</v>
      </c>
      <c r="P2587" t="n">
        <v>0</v>
      </c>
      <c r="Q2587" t="n">
        <v>0</v>
      </c>
      <c r="R2587" s="2" t="inlineStr"/>
    </row>
    <row r="2588" ht="15" customHeight="1">
      <c r="A2588" t="inlineStr">
        <is>
          <t>A 36052-2023</t>
        </is>
      </c>
      <c r="B2588" s="1" t="n">
        <v>45149</v>
      </c>
      <c r="C2588" s="1" t="n">
        <v>45186</v>
      </c>
      <c r="D2588" t="inlineStr">
        <is>
          <t>STOCKHOLMS LÄN</t>
        </is>
      </c>
      <c r="E2588" t="inlineStr">
        <is>
          <t>NYNÄSHAMN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36148-2023</t>
        </is>
      </c>
      <c r="B2589" s="1" t="n">
        <v>45149</v>
      </c>
      <c r="C2589" s="1" t="n">
        <v>45186</v>
      </c>
      <c r="D2589" t="inlineStr">
        <is>
          <t>STOCKHOLMS LÄN</t>
        </is>
      </c>
      <c r="E2589" t="inlineStr">
        <is>
          <t>VÄRMDÖ</t>
        </is>
      </c>
      <c r="F2589" t="inlineStr">
        <is>
          <t>Övriga statliga verk och myndigheter</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36060-2023</t>
        </is>
      </c>
      <c r="B2590" s="1" t="n">
        <v>45149</v>
      </c>
      <c r="C2590" s="1" t="n">
        <v>45186</v>
      </c>
      <c r="D2590" t="inlineStr">
        <is>
          <t>STOCKHOLMS LÄN</t>
        </is>
      </c>
      <c r="E2590" t="inlineStr">
        <is>
          <t>NYNÄSHAMN</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36056-2023</t>
        </is>
      </c>
      <c r="B2591" s="1" t="n">
        <v>45149</v>
      </c>
      <c r="C2591" s="1" t="n">
        <v>45186</v>
      </c>
      <c r="D2591" t="inlineStr">
        <is>
          <t>STOCKHOLMS LÄN</t>
        </is>
      </c>
      <c r="E2591" t="inlineStr">
        <is>
          <t>NYNÄSHAMN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36257-2023</t>
        </is>
      </c>
      <c r="B2592" s="1" t="n">
        <v>45151</v>
      </c>
      <c r="C2592" s="1" t="n">
        <v>45186</v>
      </c>
      <c r="D2592" t="inlineStr">
        <is>
          <t>STOCKHOLMS LÄN</t>
        </is>
      </c>
      <c r="E2592" t="inlineStr">
        <is>
          <t>NORRTÄLJE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36253-2023</t>
        </is>
      </c>
      <c r="B2593" s="1" t="n">
        <v>45151</v>
      </c>
      <c r="C2593" s="1" t="n">
        <v>45186</v>
      </c>
      <c r="D2593" t="inlineStr">
        <is>
          <t>STOCKHOLMS LÄN</t>
        </is>
      </c>
      <c r="E2593" t="inlineStr">
        <is>
          <t>NORRTÄLJE</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36258-2023</t>
        </is>
      </c>
      <c r="B2594" s="1" t="n">
        <v>45151</v>
      </c>
      <c r="C2594" s="1" t="n">
        <v>45186</v>
      </c>
      <c r="D2594" t="inlineStr">
        <is>
          <t>STOCKHOLMS LÄN</t>
        </is>
      </c>
      <c r="E2594" t="inlineStr">
        <is>
          <t>NORRTÄLJE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36254-2023</t>
        </is>
      </c>
      <c r="B2595" s="1" t="n">
        <v>45151</v>
      </c>
      <c r="C2595" s="1" t="n">
        <v>45186</v>
      </c>
      <c r="D2595" t="inlineStr">
        <is>
          <t>STOCKHOLMS LÄN</t>
        </is>
      </c>
      <c r="E2595" t="inlineStr">
        <is>
          <t>NORRTÄLJE</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36259-2023</t>
        </is>
      </c>
      <c r="B2596" s="1" t="n">
        <v>45151</v>
      </c>
      <c r="C2596" s="1" t="n">
        <v>45186</v>
      </c>
      <c r="D2596" t="inlineStr">
        <is>
          <t>STOCKHOLMS LÄN</t>
        </is>
      </c>
      <c r="E2596" t="inlineStr">
        <is>
          <t>NORRTÄLJE</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36689-2023</t>
        </is>
      </c>
      <c r="B2597" s="1" t="n">
        <v>45152</v>
      </c>
      <c r="C2597" s="1" t="n">
        <v>45186</v>
      </c>
      <c r="D2597" t="inlineStr">
        <is>
          <t>STOCKHOLMS LÄN</t>
        </is>
      </c>
      <c r="E2597" t="inlineStr">
        <is>
          <t>NORRTÄLJE</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36402-2023</t>
        </is>
      </c>
      <c r="B2598" s="1" t="n">
        <v>45152</v>
      </c>
      <c r="C2598" s="1" t="n">
        <v>45186</v>
      </c>
      <c r="D2598" t="inlineStr">
        <is>
          <t>STOCKHOLMS LÄN</t>
        </is>
      </c>
      <c r="E2598" t="inlineStr">
        <is>
          <t>BOTKYRKA</t>
        </is>
      </c>
      <c r="F2598" t="inlineStr">
        <is>
          <t>Övriga Aktiebolag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36467-2023</t>
        </is>
      </c>
      <c r="B2599" s="1" t="n">
        <v>45152</v>
      </c>
      <c r="C2599" s="1" t="n">
        <v>45186</v>
      </c>
      <c r="D2599" t="inlineStr">
        <is>
          <t>STOCKHOLMS LÄN</t>
        </is>
      </c>
      <c r="E2599" t="inlineStr">
        <is>
          <t>SALEM</t>
        </is>
      </c>
      <c r="F2599" t="inlineStr">
        <is>
          <t>Kommuner</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36865-2023</t>
        </is>
      </c>
      <c r="B2600" s="1" t="n">
        <v>45154</v>
      </c>
      <c r="C2600" s="1" t="n">
        <v>45186</v>
      </c>
      <c r="D2600" t="inlineStr">
        <is>
          <t>STOCKHOLMS LÄN</t>
        </is>
      </c>
      <c r="E2600" t="inlineStr">
        <is>
          <t>NORRTÄLJE</t>
        </is>
      </c>
      <c r="F2600" t="inlineStr">
        <is>
          <t>Kyrkan</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38049-2023</t>
        </is>
      </c>
      <c r="B2601" s="1" t="n">
        <v>45159</v>
      </c>
      <c r="C2601" s="1" t="n">
        <v>45186</v>
      </c>
      <c r="D2601" t="inlineStr">
        <is>
          <t>STOCKHOLMS LÄN</t>
        </is>
      </c>
      <c r="E2601" t="inlineStr">
        <is>
          <t>NORRTÄLJE</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37670-2023</t>
        </is>
      </c>
      <c r="B2602" s="1" t="n">
        <v>45159</v>
      </c>
      <c r="C2602" s="1" t="n">
        <v>45186</v>
      </c>
      <c r="D2602" t="inlineStr">
        <is>
          <t>STOCKHOLMS LÄN</t>
        </is>
      </c>
      <c r="E2602" t="inlineStr">
        <is>
          <t>NORRTÄLJE</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38487-2023</t>
        </is>
      </c>
      <c r="B2603" s="1" t="n">
        <v>45162</v>
      </c>
      <c r="C2603" s="1" t="n">
        <v>45186</v>
      </c>
      <c r="D2603" t="inlineStr">
        <is>
          <t>STOCKHOLMS LÄN</t>
        </is>
      </c>
      <c r="E2603" t="inlineStr">
        <is>
          <t>NORRTÄLJE</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38591-2023</t>
        </is>
      </c>
      <c r="B2604" s="1" t="n">
        <v>45162</v>
      </c>
      <c r="C2604" s="1" t="n">
        <v>45186</v>
      </c>
      <c r="D2604" t="inlineStr">
        <is>
          <t>STOCKHOLMS LÄN</t>
        </is>
      </c>
      <c r="E2604" t="inlineStr">
        <is>
          <t>NORRTÄLJE</t>
        </is>
      </c>
      <c r="F2604" t="inlineStr">
        <is>
          <t>Övriga Aktiebolag</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38465-2023</t>
        </is>
      </c>
      <c r="B2605" s="1" t="n">
        <v>45162</v>
      </c>
      <c r="C2605" s="1" t="n">
        <v>45186</v>
      </c>
      <c r="D2605" t="inlineStr">
        <is>
          <t>STOCKHOLMS LÄN</t>
        </is>
      </c>
      <c r="E2605" t="inlineStr">
        <is>
          <t>SIGTUNA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38482-2023</t>
        </is>
      </c>
      <c r="B2606" s="1" t="n">
        <v>45162</v>
      </c>
      <c r="C2606" s="1" t="n">
        <v>45186</v>
      </c>
      <c r="D2606" t="inlineStr">
        <is>
          <t>STOCKHOLMS LÄN</t>
        </is>
      </c>
      <c r="E2606" t="inlineStr">
        <is>
          <t>NORRTÄLJE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39620-2023</t>
        </is>
      </c>
      <c r="B2607" s="1" t="n">
        <v>45163</v>
      </c>
      <c r="C2607" s="1" t="n">
        <v>45186</v>
      </c>
      <c r="D2607" t="inlineStr">
        <is>
          <t>STOCKHOLMS LÄN</t>
        </is>
      </c>
      <c r="E2607" t="inlineStr">
        <is>
          <t>SIGTUNA</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39533-2023</t>
        </is>
      </c>
      <c r="B2608" s="1" t="n">
        <v>45167</v>
      </c>
      <c r="C2608" s="1" t="n">
        <v>45186</v>
      </c>
      <c r="D2608" t="inlineStr">
        <is>
          <t>STOCKHOLMS LÄN</t>
        </is>
      </c>
      <c r="E2608" t="inlineStr">
        <is>
          <t>NYKVARN</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39539-2023</t>
        </is>
      </c>
      <c r="B2609" s="1" t="n">
        <v>45167</v>
      </c>
      <c r="C2609" s="1" t="n">
        <v>45186</v>
      </c>
      <c r="D2609" t="inlineStr">
        <is>
          <t>STOCKHOLMS LÄN</t>
        </is>
      </c>
      <c r="E2609" t="inlineStr">
        <is>
          <t>NYKVARN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40190-2023</t>
        </is>
      </c>
      <c r="B2610" s="1" t="n">
        <v>45169</v>
      </c>
      <c r="C2610" s="1" t="n">
        <v>45186</v>
      </c>
      <c r="D2610" t="inlineStr">
        <is>
          <t>STOCKHOLMS LÄN</t>
        </is>
      </c>
      <c r="E2610" t="inlineStr">
        <is>
          <t>NORRTÄLJE</t>
        </is>
      </c>
      <c r="F2610" t="inlineStr">
        <is>
          <t>Kyrkan</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40717-2023</t>
        </is>
      </c>
      <c r="B2611" s="1" t="n">
        <v>45169</v>
      </c>
      <c r="C2611" s="1" t="n">
        <v>45186</v>
      </c>
      <c r="D2611" t="inlineStr">
        <is>
          <t>STOCKHOLMS LÄN</t>
        </is>
      </c>
      <c r="E2611" t="inlineStr">
        <is>
          <t>SALEM</t>
        </is>
      </c>
      <c r="F2611" t="inlineStr">
        <is>
          <t>Kommuner</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40711-2023</t>
        </is>
      </c>
      <c r="B2612" s="1" t="n">
        <v>45169</v>
      </c>
      <c r="C2612" s="1" t="n">
        <v>45186</v>
      </c>
      <c r="D2612" t="inlineStr">
        <is>
          <t>STOCKHOLMS LÄN</t>
        </is>
      </c>
      <c r="E2612" t="inlineStr">
        <is>
          <t>SALEM</t>
        </is>
      </c>
      <c r="F2612" t="inlineStr">
        <is>
          <t>Kommuner</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41702-2023</t>
        </is>
      </c>
      <c r="B2613" s="1" t="n">
        <v>45176</v>
      </c>
      <c r="C2613" s="1" t="n">
        <v>45186</v>
      </c>
      <c r="D2613" t="inlineStr">
        <is>
          <t>STOCKHOLMS LÄN</t>
        </is>
      </c>
      <c r="E2613" t="inlineStr">
        <is>
          <t>SIGTUNA</t>
        </is>
      </c>
      <c r="F2613" t="inlineStr">
        <is>
          <t>Allmännings- och besparingsskogar</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41723-2023</t>
        </is>
      </c>
      <c r="B2614" s="1" t="n">
        <v>45176</v>
      </c>
      <c r="C2614" s="1" t="n">
        <v>45186</v>
      </c>
      <c r="D2614" t="inlineStr">
        <is>
          <t>STOCKHOLMS LÄN</t>
        </is>
      </c>
      <c r="E2614" t="inlineStr">
        <is>
          <t>SIGTUNA</t>
        </is>
      </c>
      <c r="F2614" t="inlineStr">
        <is>
          <t>Allmännings- och besparingsskogar</t>
        </is>
      </c>
      <c r="G2614" t="n">
        <v>3.7</v>
      </c>
      <c r="H2614" t="n">
        <v>0</v>
      </c>
      <c r="I2614" t="n">
        <v>0</v>
      </c>
      <c r="J2614" t="n">
        <v>0</v>
      </c>
      <c r="K2614" t="n">
        <v>0</v>
      </c>
      <c r="L2614" t="n">
        <v>0</v>
      </c>
      <c r="M2614" t="n">
        <v>0</v>
      </c>
      <c r="N2614" t="n">
        <v>0</v>
      </c>
      <c r="O2614" t="n">
        <v>0</v>
      </c>
      <c r="P2614" t="n">
        <v>0</v>
      </c>
      <c r="Q2614" t="n">
        <v>0</v>
      </c>
      <c r="R2614" s="2" t="inlineStr"/>
    </row>
    <row r="2615" ht="15" customHeight="1">
      <c r="A2615" t="inlineStr">
        <is>
          <t>A 41952-2023</t>
        </is>
      </c>
      <c r="B2615" s="1" t="n">
        <v>45177</v>
      </c>
      <c r="C2615" s="1" t="n">
        <v>45186</v>
      </c>
      <c r="D2615" t="inlineStr">
        <is>
          <t>STOCKHOLMS LÄN</t>
        </is>
      </c>
      <c r="E2615" t="inlineStr">
        <is>
          <t>SIGTUNA</t>
        </is>
      </c>
      <c r="F2615" t="inlineStr">
        <is>
          <t>Allmännings- och besparingsskogar</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42742-2023</t>
        </is>
      </c>
      <c r="B2616" s="1" t="n">
        <v>45181</v>
      </c>
      <c r="C2616" s="1" t="n">
        <v>45186</v>
      </c>
      <c r="D2616" t="inlineStr">
        <is>
          <t>STOCKHOLMS LÄN</t>
        </is>
      </c>
      <c r="E2616" t="inlineStr">
        <is>
          <t>VALLENTUNA</t>
        </is>
      </c>
      <c r="G2616" t="n">
        <v>10.4</v>
      </c>
      <c r="H2616" t="n">
        <v>0</v>
      </c>
      <c r="I2616" t="n">
        <v>0</v>
      </c>
      <c r="J2616" t="n">
        <v>0</v>
      </c>
      <c r="K2616" t="n">
        <v>0</v>
      </c>
      <c r="L2616" t="n">
        <v>0</v>
      </c>
      <c r="M2616" t="n">
        <v>0</v>
      </c>
      <c r="N2616" t="n">
        <v>0</v>
      </c>
      <c r="O2616" t="n">
        <v>0</v>
      </c>
      <c r="P2616" t="n">
        <v>0</v>
      </c>
      <c r="Q2616" t="n">
        <v>0</v>
      </c>
      <c r="R2616" s="2" t="inlineStr"/>
    </row>
    <row r="2617">
      <c r="A2617" t="inlineStr">
        <is>
          <t>A 42977-2023</t>
        </is>
      </c>
      <c r="B2617" s="1" t="n">
        <v>45182</v>
      </c>
      <c r="C2617" s="1" t="n">
        <v>45186</v>
      </c>
      <c r="D2617" t="inlineStr">
        <is>
          <t>STOCKHOLMS LÄN</t>
        </is>
      </c>
      <c r="E2617" t="inlineStr">
        <is>
          <t>NORRTÄLJE</t>
        </is>
      </c>
      <c r="F2617" t="inlineStr">
        <is>
          <t>Sveaskog</t>
        </is>
      </c>
      <c r="G2617" t="n">
        <v>11.8</v>
      </c>
      <c r="H2617" t="n">
        <v>0</v>
      </c>
      <c r="I2617" t="n">
        <v>0</v>
      </c>
      <c r="J2617" t="n">
        <v>0</v>
      </c>
      <c r="K2617" t="n">
        <v>0</v>
      </c>
      <c r="L2617" t="n">
        <v>0</v>
      </c>
      <c r="M2617" t="n">
        <v>0</v>
      </c>
      <c r="N2617" t="n">
        <v>0</v>
      </c>
      <c r="O2617" t="n">
        <v>0</v>
      </c>
      <c r="P2617" t="n">
        <v>0</v>
      </c>
      <c r="Q2617" t="n">
        <v>0</v>
      </c>
      <c r="R26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2023-09-17T06:47:25Z</dcterms:created>
  <dcterms:modified xmlns:dcterms="http://purl.org/dc/terms/" xmlns:xsi="http://www.w3.org/2001/XMLSchema-instance" xsi:type="dcterms:W3CDTF">2023-09-17T06:47:26Z</dcterms:modified>
</cp:coreProperties>
</file>